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05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<sst xmlns="http://schemas.openxmlformats.org/spreadsheetml/2006/main" count="238" uniqueCount="103">
  <si>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</si>
  <si>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</si>
  <si>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</si>
  <si>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</si>
  <si>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</si>
  <si>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１　一般会計及び特別会計の財政状況（主として普通会計に係るもの）</t>
  </si>
  <si>
    <t>形式収支</t>
  </si>
  <si>
    <t>実質収支</t>
  </si>
  <si>
    <t>地方債現在高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</si>
  <si>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</si>
  <si>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</si>
  <si>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</si>
  <si>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</si>
  <si>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</si>
  <si>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</si>
  <si>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</si>
  <si>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</si>
  <si>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</si>
  <si>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</si>
  <si>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</si>
  <si>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</si>
  <si>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</si>
  <si>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経常損益</t>
  </si>
  <si>
    <t>資本又は
正味財産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</si>
  <si>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</si>
  <si>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</si>
  <si>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</si>
  <si>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</si>
  <si>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</si>
  <si>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</si>
  <si>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</si>
  <si>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</si>
  <si>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</si>
  <si>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</si>
  <si>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</si>
  <si>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</si>
  <si>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山　口　県</t>
  </si>
  <si>
    <t>３　第三セクター等の経営状況及び地方公共団体の財政的支援の状況</t>
  </si>
  <si>
    <t>４　財政指数</t>
  </si>
  <si>
    <t>農業改良資金特別会計</t>
  </si>
  <si>
    <t>中小企業近代化資金特別会計</t>
  </si>
  <si>
    <t>林業・木材産業改善資金特別会計</t>
  </si>
  <si>
    <t>土地取得事業特別会計</t>
  </si>
  <si>
    <t>収入証紙　　　　特別会計</t>
  </si>
  <si>
    <t>公債管理　　　　　特別会計</t>
  </si>
  <si>
    <t>下関漁港地方卸売市場特別会計</t>
  </si>
  <si>
    <t>流域下水道事業特別会計</t>
  </si>
  <si>
    <t>当せん金付証票発売事業特別会計</t>
  </si>
  <si>
    <t>工業用水道　　　事業会計</t>
  </si>
  <si>
    <t>こころの医療センター事業会計</t>
  </si>
  <si>
    <t>総合医療センター事業会計</t>
  </si>
  <si>
    <t>山口県
道路公社</t>
  </si>
  <si>
    <t>やまぐち
女性財団</t>
  </si>
  <si>
    <t>やまぐち森林
担い手財団</t>
  </si>
  <si>
    <t>やまぐち産業
振興財団</t>
  </si>
  <si>
    <t>やまぐち農林
振興公社</t>
  </si>
  <si>
    <t>無角和種
振興公社</t>
  </si>
  <si>
    <t>山口県
流通センター</t>
  </si>
  <si>
    <t>山口県栽培
漁業公社</t>
  </si>
  <si>
    <t>山口県畜産
振興協会</t>
  </si>
  <si>
    <t>山口県ひと
づくり財団</t>
  </si>
  <si>
    <t>山口県ニュー
メディア推進財団</t>
  </si>
  <si>
    <t>テレビ山口</t>
  </si>
  <si>
    <t>山口県国際　　総合センター</t>
  </si>
  <si>
    <t>山口県施設　　　管理財団</t>
  </si>
  <si>
    <t>やまぐち県民活動きらめき財団</t>
  </si>
  <si>
    <t>山口県国際　　　交流協会</t>
  </si>
  <si>
    <t>山口県建設　　技術センター</t>
  </si>
  <si>
    <t>山口県
振興財団</t>
  </si>
  <si>
    <t>やまぐち角膜・腎臓等複合バンク</t>
  </si>
  <si>
    <t>山口宇部　　　　空港ビル</t>
  </si>
  <si>
    <t>周南地域地場産業振興センター</t>
  </si>
  <si>
    <t>宇部小野田廃棄物処理事業団</t>
  </si>
  <si>
    <t>山口･防府地域工芸地場産業振興センター</t>
  </si>
  <si>
    <t>母子寡婦福祉　　資金特別会計</t>
  </si>
  <si>
    <t>電気事業　　　　　会計</t>
  </si>
  <si>
    <t>山口県住宅　　　供給公社</t>
  </si>
  <si>
    <t>山口県土地　　開発公社</t>
  </si>
  <si>
    <t>山口県文化　　　振興財団</t>
  </si>
  <si>
    <t>山口県健康　　　福祉財団</t>
  </si>
  <si>
    <t>山口県暴力　　追放県民会議</t>
  </si>
  <si>
    <t>山口朝日　　　　　　　放送</t>
  </si>
  <si>
    <r>
      <t xml:space="preserve">基金繰入金 </t>
    </r>
    <r>
      <rPr>
        <sz val="11"/>
        <rFont val="ＭＳ Ｐゴシック"/>
        <family val="3"/>
      </rPr>
      <t xml:space="preserve"> 　　　　34,056百万円</t>
    </r>
  </si>
  <si>
    <t>－</t>
  </si>
  <si>
    <t>公立大学法人　　　山口県立大学</t>
  </si>
  <si>
    <t>－</t>
  </si>
  <si>
    <t>－</t>
  </si>
  <si>
    <t>－</t>
  </si>
  <si>
    <t>－</t>
  </si>
  <si>
    <t>他会計からの　　　繰入金</t>
  </si>
  <si>
    <t>山口県青果物生産出荷安定基金協会</t>
  </si>
  <si>
    <t>　（注）　1.損益計算書を作成していない民法法人は「経常損益」の欄には当期正味財産増減額を記入している。</t>
  </si>
  <si>
    <t>　　　　　2.本県の出資が25％以上のもの及び25％未満で県の財政的支援(補助､貸付､債務保証､損失補償)を受けているものを掲載している。</t>
  </si>
  <si>
    <t>沿岸漁業改善　　資金特別会計</t>
  </si>
  <si>
    <t>県からの　　　　　出資金</t>
  </si>
  <si>
    <t>県からの　　　　　　補助金</t>
  </si>
  <si>
    <t>県からの　　　　　貸付金</t>
  </si>
  <si>
    <t>県からの債務　　　　保証に係る　　　　　　債務残高</t>
  </si>
  <si>
    <t>県からの損失　　　　　　補償に係る　　　　　　債務残高</t>
  </si>
  <si>
    <t>備　　考</t>
  </si>
  <si>
    <t>歳　　入</t>
  </si>
  <si>
    <t>歳　　出</t>
  </si>
  <si>
    <t>合　　計
（A）＋（B)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</si>
</sst>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#,##0;&quot;△ &quot;#,##0"/>
    <numFmt numFmtId="179" formatCode="#,##0.0;&quot;△ &quot;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 wrapText="1"/>
    </xf>
    <xf numFmtId="178" fontId="9" fillId="0" borderId="20" xfId="0" applyNumberFormat="1" applyFont="1" applyBorder="1" applyAlignment="1">
      <alignment vertical="center" wrapText="1"/>
    </xf>
    <xf numFmtId="178" fontId="9" fillId="0" borderId="15" xfId="0" applyNumberFormat="1" applyFont="1" applyBorder="1" applyAlignment="1">
      <alignment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vertical="center" wrapText="1"/>
    </xf>
    <xf numFmtId="176" fontId="0" fillId="0" borderId="22" xfId="0" applyNumberFormat="1" applyFont="1" applyBorder="1" applyAlignment="1">
      <alignment horizontal="distributed" vertical="center" wrapText="1"/>
    </xf>
    <xf numFmtId="176" fontId="0" fillId="0" borderId="23" xfId="0" applyNumberFormat="1" applyFont="1" applyBorder="1" applyAlignment="1">
      <alignment horizontal="distributed" vertical="center" wrapText="1"/>
    </xf>
    <xf numFmtId="176" fontId="10" fillId="0" borderId="22" xfId="0" applyNumberFormat="1" applyFont="1" applyBorder="1" applyAlignment="1">
      <alignment horizontal="distributed" vertical="center" wrapText="1"/>
    </xf>
    <xf numFmtId="176" fontId="9" fillId="0" borderId="22" xfId="0" applyNumberFormat="1" applyFont="1" applyBorder="1" applyAlignment="1">
      <alignment horizontal="distributed" vertical="center" wrapText="1"/>
    </xf>
    <xf numFmtId="176" fontId="9" fillId="0" borderId="24" xfId="0" applyNumberFormat="1" applyFont="1" applyBorder="1" applyAlignment="1">
      <alignment horizontal="distributed" vertical="center" wrapText="1"/>
    </xf>
    <xf numFmtId="176" fontId="0" fillId="0" borderId="24" xfId="0" applyNumberFormat="1" applyFont="1" applyBorder="1" applyAlignment="1">
      <alignment horizontal="distributed" vertical="center" wrapText="1"/>
    </xf>
    <xf numFmtId="176" fontId="11" fillId="0" borderId="22" xfId="0" applyNumberFormat="1" applyFont="1" applyBorder="1" applyAlignment="1">
      <alignment horizontal="distributed" vertical="center" wrapText="1"/>
    </xf>
    <xf numFmtId="176" fontId="12" fillId="0" borderId="22" xfId="0" applyNumberFormat="1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/>
    </xf>
    <xf numFmtId="178" fontId="0" fillId="0" borderId="15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distributed" vertical="center" wrapText="1"/>
    </xf>
    <xf numFmtId="176" fontId="10" fillId="0" borderId="28" xfId="0" applyNumberFormat="1" applyFont="1" applyBorder="1" applyAlignment="1">
      <alignment horizontal="distributed" vertical="center" wrapText="1"/>
    </xf>
    <xf numFmtId="178" fontId="0" fillId="0" borderId="29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36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8" xfId="0" applyNumberFormat="1" applyFont="1" applyBorder="1" applyAlignment="1">
      <alignment horizontal="center" vertical="center"/>
    </xf>
    <xf numFmtId="178" fontId="0" fillId="0" borderId="39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right"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horizontal="center" vertical="center"/>
    </xf>
    <xf numFmtId="178" fontId="0" fillId="0" borderId="40" xfId="0" applyNumberFormat="1" applyFont="1" applyBorder="1" applyAlignment="1">
      <alignment horizontal="center" vertical="center"/>
    </xf>
    <xf numFmtId="178" fontId="0" fillId="0" borderId="41" xfId="0" applyNumberFormat="1" applyFont="1" applyBorder="1" applyAlignment="1">
      <alignment horizontal="center"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37" xfId="0" applyNumberFormat="1" applyFont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178" fontId="0" fillId="0" borderId="43" xfId="0" applyNumberFormat="1" applyBorder="1" applyAlignment="1">
      <alignment vertical="center" wrapText="1"/>
    </xf>
    <xf numFmtId="178" fontId="0" fillId="0" borderId="14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8" fontId="0" fillId="0" borderId="32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right" vertical="center"/>
    </xf>
    <xf numFmtId="178" fontId="0" fillId="0" borderId="45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8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8" fontId="0" fillId="0" borderId="48" xfId="0" applyNumberFormat="1" applyFont="1" applyFill="1" applyBorder="1" applyAlignment="1">
      <alignment horizontal="right" vertical="center"/>
    </xf>
    <xf numFmtId="178" fontId="0" fillId="0" borderId="49" xfId="0" applyNumberFormat="1" applyFont="1" applyFill="1" applyBorder="1" applyAlignment="1">
      <alignment horizontal="center" vertical="center"/>
    </xf>
    <xf numFmtId="178" fontId="0" fillId="0" borderId="50" xfId="0" applyNumberFormat="1" applyFont="1" applyFill="1" applyBorder="1" applyAlignment="1">
      <alignment horizontal="center" vertical="center"/>
    </xf>
    <xf numFmtId="178" fontId="0" fillId="0" borderId="51" xfId="0" applyNumberFormat="1" applyFont="1" applyFill="1" applyBorder="1" applyAlignment="1">
      <alignment horizontal="center" vertical="center"/>
    </xf>
    <xf numFmtId="178" fontId="0" fillId="0" borderId="52" xfId="0" applyNumberFormat="1" applyFont="1" applyBorder="1" applyAlignment="1">
      <alignment horizontal="center" vertical="center"/>
    </xf>
    <xf numFmtId="178" fontId="0" fillId="0" borderId="53" xfId="0" applyNumberFormat="1" applyFont="1" applyFill="1" applyBorder="1" applyAlignment="1">
      <alignment horizontal="center" vertical="center"/>
    </xf>
    <xf numFmtId="178" fontId="0" fillId="0" borderId="54" xfId="0" applyNumberFormat="1" applyFont="1" applyFill="1" applyBorder="1" applyAlignment="1">
      <alignment horizontal="center" vertical="center"/>
    </xf>
    <xf numFmtId="178" fontId="0" fillId="0" borderId="46" xfId="0" applyNumberFormat="1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horizontal="center" vertical="center"/>
    </xf>
    <xf numFmtId="178" fontId="0" fillId="0" borderId="56" xfId="0" applyNumberFormat="1" applyFont="1" applyFill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horizontal="center" vertical="center"/>
    </xf>
    <xf numFmtId="178" fontId="0" fillId="0" borderId="56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horizontal="center" vertical="center"/>
    </xf>
    <xf numFmtId="178" fontId="0" fillId="0" borderId="61" xfId="0" applyNumberFormat="1" applyFont="1" applyBorder="1" applyAlignment="1">
      <alignment vertical="center" wrapText="1"/>
    </xf>
    <xf numFmtId="178" fontId="0" fillId="0" borderId="32" xfId="0" applyNumberFormat="1" applyFont="1" applyBorder="1" applyAlignment="1">
      <alignment vertical="center" wrapText="1"/>
    </xf>
    <xf numFmtId="178" fontId="0" fillId="0" borderId="31" xfId="0" applyNumberFormat="1" applyFont="1" applyBorder="1" applyAlignment="1">
      <alignment vertical="center" wrapText="1"/>
    </xf>
    <xf numFmtId="178" fontId="0" fillId="0" borderId="62" xfId="0" applyNumberFormat="1" applyFont="1" applyBorder="1" applyAlignment="1">
      <alignment vertical="center" wrapText="1"/>
    </xf>
    <xf numFmtId="178" fontId="0" fillId="0" borderId="34" xfId="0" applyNumberFormat="1" applyFont="1" applyBorder="1" applyAlignment="1">
      <alignment vertical="center" wrapText="1"/>
    </xf>
    <xf numFmtId="176" fontId="0" fillId="0" borderId="63" xfId="0" applyNumberFormat="1" applyFont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176" fontId="0" fillId="0" borderId="64" xfId="0" applyNumberFormat="1" applyFont="1" applyBorder="1" applyAlignment="1">
      <alignment horizontal="distributed" vertical="center" wrapText="1"/>
    </xf>
    <xf numFmtId="178" fontId="0" fillId="0" borderId="65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center" vertical="center"/>
    </xf>
    <xf numFmtId="178" fontId="0" fillId="0" borderId="66" xfId="0" applyNumberFormat="1" applyFont="1" applyFill="1" applyBorder="1" applyAlignment="1">
      <alignment horizontal="right" vertical="center"/>
    </xf>
    <xf numFmtId="178" fontId="0" fillId="0" borderId="6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8" fontId="0" fillId="0" borderId="56" xfId="0" applyNumberFormat="1" applyFont="1" applyFill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178" fontId="0" fillId="0" borderId="14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178" fontId="0" fillId="0" borderId="69" xfId="0" applyNumberFormat="1" applyFont="1" applyFill="1" applyBorder="1" applyAlignment="1">
      <alignment horizontal="center" vertical="center"/>
    </xf>
    <xf numFmtId="178" fontId="0" fillId="0" borderId="70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8" fontId="0" fillId="0" borderId="32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8" fontId="0" fillId="0" borderId="46" xfId="0" applyNumberFormat="1" applyFont="1" applyFill="1" applyBorder="1" applyAlignment="1">
      <alignment vertical="center"/>
    </xf>
    <xf numFmtId="178" fontId="0" fillId="0" borderId="73" xfId="0" applyNumberFormat="1" applyFont="1" applyFill="1" applyBorder="1" applyAlignment="1">
      <alignment vertical="center"/>
    </xf>
    <xf numFmtId="178" fontId="0" fillId="0" borderId="46" xfId="0" applyNumberFormat="1" applyFont="1" applyFill="1" applyBorder="1" applyAlignment="1">
      <alignment horizontal="center" vertical="center"/>
    </xf>
    <xf numFmtId="178" fontId="0" fillId="0" borderId="73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8" fontId="0" fillId="0" borderId="75" xfId="0" applyNumberFormat="1" applyFont="1" applyFill="1" applyBorder="1" applyAlignment="1">
      <alignment horizontal="center" vertical="center"/>
    </xf>
    <xf numFmtId="178" fontId="0" fillId="0" borderId="76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6" fontId="0" fillId="0" borderId="77" xfId="0" applyNumberFormat="1" applyFont="1" applyFill="1" applyBorder="1" applyAlignment="1">
      <alignment horizontal="center" vertical="center"/>
    </xf>
    <xf numFmtId="178" fontId="0" fillId="0" borderId="37" xfId="0" applyNumberFormat="1" applyFont="1" applyFill="1" applyBorder="1" applyAlignment="1">
      <alignment horizontal="center" vertical="center"/>
    </xf>
    <xf numFmtId="178" fontId="0" fillId="0" borderId="65" xfId="0" applyNumberFormat="1" applyFont="1" applyFill="1" applyBorder="1" applyAlignment="1">
      <alignment horizontal="center" vertical="center"/>
    </xf>
    <xf numFmtId="0" fontId="2" fillId="1" borderId="74" xfId="0" applyFont="1" applyFill="1" applyBorder="1" applyAlignment="1">
      <alignment horizontal="center" vertical="center"/>
    </xf>
    <xf numFmtId="178" fontId="2" fillId="0" borderId="78" xfId="0" applyNumberFormat="1" applyFont="1" applyBorder="1" applyAlignment="1">
      <alignment vertical="center"/>
    </xf>
    <xf numFmtId="178" fontId="0" fillId="0" borderId="79" xfId="0" applyNumberFormat="1" applyFont="1" applyBorder="1" applyAlignment="1">
      <alignment vertical="center"/>
    </xf>
    <xf numFmtId="0" fontId="0" fillId="0" borderId="80" xfId="0" applyFont="1" applyFill="1" applyBorder="1" applyAlignment="1">
      <alignment vertical="center" wrapText="1"/>
    </xf>
    <xf numFmtId="0" fontId="0" fillId="0" borderId="81" xfId="0" applyFont="1" applyFill="1" applyBorder="1" applyAlignment="1">
      <alignment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vertical="center" wrapText="1"/>
    </xf>
    <xf numFmtId="0" fontId="0" fillId="0" borderId="85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79" fontId="2" fillId="0" borderId="7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87" xfId="0" applyNumberFormat="1" applyFont="1" applyFill="1" applyBorder="1" applyAlignment="1">
      <alignment horizontal="center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Border="1" applyAlignment="1">
      <alignment/>
    </xf>
    <xf numFmtId="178" fontId="0" fillId="0" borderId="38" xfId="0" applyNumberFormat="1" applyFont="1" applyFill="1" applyBorder="1" applyAlignment="1">
      <alignment horizontal="center" vertical="center"/>
    </xf>
    <xf numFmtId="178" fontId="0" fillId="0" borderId="3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6" fontId="11" fillId="0" borderId="24" xfId="0" applyNumberFormat="1" applyFont="1" applyBorder="1" applyAlignment="1">
      <alignment horizontal="distributed" vertical="center" wrapText="1"/>
    </xf>
    <xf numFmtId="176" fontId="11" fillId="0" borderId="91" xfId="0" applyNumberFormat="1" applyFont="1" applyBorder="1" applyAlignment="1">
      <alignment horizontal="distributed" vertical="center" wrapText="1"/>
    </xf>
    <xf numFmtId="178" fontId="0" fillId="0" borderId="92" xfId="0" applyNumberFormat="1" applyFon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6" fontId="9" fillId="0" borderId="24" xfId="0" applyNumberFormat="1" applyFont="1" applyBorder="1" applyAlignment="1">
      <alignment horizontal="distributed" vertical="center" wrapText="1"/>
    </xf>
    <xf numFmtId="176" fontId="9" fillId="0" borderId="93" xfId="0" applyNumberFormat="1" applyFont="1" applyBorder="1" applyAlignment="1">
      <alignment horizontal="distributed" vertical="center" wrapText="1"/>
    </xf>
    <xf numFmtId="178" fontId="0" fillId="0" borderId="94" xfId="0" applyNumberFormat="1" applyBorder="1" applyAlignment="1">
      <alignment horizontal="center" vertical="center"/>
    </xf>
    <xf numFmtId="176" fontId="10" fillId="0" borderId="24" xfId="0" applyNumberFormat="1" applyFont="1" applyBorder="1" applyAlignment="1">
      <alignment horizontal="distributed" vertical="center" wrapText="1"/>
    </xf>
    <xf numFmtId="176" fontId="10" fillId="0" borderId="93" xfId="0" applyNumberFormat="1" applyFont="1" applyBorder="1" applyAlignment="1">
      <alignment horizontal="distributed" vertical="center" wrapText="1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9" fontId="0" fillId="0" borderId="95" xfId="0" applyNumberFormat="1" applyFont="1" applyFill="1" applyBorder="1" applyAlignment="1">
      <alignment horizontal="right" vertical="center"/>
    </xf>
    <xf numFmtId="179" fontId="0" fillId="0" borderId="96" xfId="0" applyNumberFormat="1" applyFont="1" applyFill="1" applyBorder="1" applyAlignment="1">
      <alignment horizontal="right" vertical="center"/>
    </xf>
    <xf numFmtId="179" fontId="0" fillId="0" borderId="9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8"/>
  <sheetViews>
    <sheetView tabSelected="1" workbookViewId="0" topLeftCell="A22">
      <selection activeCell="I29" sqref="I29:J29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67" t="s">
        <v>0</v>
      </c>
      <c r="D1" s="167"/>
      <c r="E1" s="167"/>
      <c r="F1" s="167"/>
      <c r="G1" s="167"/>
      <c r="H1" s="167"/>
      <c r="I1" s="167"/>
      <c r="J1" s="167"/>
    </row>
    <row r="2" spans="9:10" ht="26.25" customHeight="1">
      <c r="I2" s="2"/>
      <c r="J2" s="52" t="s">
        <v>1</v>
      </c>
    </row>
    <row r="3" spans="2:10" ht="45" customHeight="1" thickBot="1">
      <c r="B3" s="3" t="s">
        <v>2</v>
      </c>
      <c r="C3" s="4" t="s">
        <v>36</v>
      </c>
      <c r="D3" s="5"/>
      <c r="E3" s="5"/>
      <c r="G3" s="12" t="s">
        <v>3</v>
      </c>
      <c r="H3" s="13" t="s">
        <v>4</v>
      </c>
      <c r="I3" s="147" t="s">
        <v>102</v>
      </c>
      <c r="J3" s="172"/>
    </row>
    <row r="4" spans="7:11" ht="26.25" customHeight="1" thickTop="1">
      <c r="G4" s="31">
        <v>348639</v>
      </c>
      <c r="H4" s="32">
        <v>20722</v>
      </c>
      <c r="I4" s="156">
        <f>+G4+H4</f>
        <v>369361</v>
      </c>
      <c r="J4" s="157"/>
      <c r="K4" s="15"/>
    </row>
    <row r="5" spans="8:9" ht="16.5" customHeight="1">
      <c r="H5" s="6"/>
      <c r="I5" s="6"/>
    </row>
    <row r="6" spans="2:14" ht="18.75">
      <c r="B6" s="7" t="s">
        <v>5</v>
      </c>
      <c r="J6" s="16"/>
      <c r="L6" s="16"/>
      <c r="M6" s="16"/>
      <c r="N6" s="16"/>
    </row>
    <row r="7" spans="2:14" ht="15" customHeight="1">
      <c r="B7" s="8"/>
      <c r="I7" s="16"/>
      <c r="J7" s="20" t="s">
        <v>29</v>
      </c>
      <c r="K7" s="16"/>
      <c r="L7" s="16"/>
      <c r="M7" s="16"/>
      <c r="N7" s="16"/>
    </row>
    <row r="8" spans="2:14" s="10" customFormat="1" ht="29.25" customHeight="1" thickBot="1">
      <c r="B8" s="9"/>
      <c r="C8" s="17" t="s">
        <v>100</v>
      </c>
      <c r="D8" s="14" t="s">
        <v>101</v>
      </c>
      <c r="E8" s="14" t="s">
        <v>6</v>
      </c>
      <c r="F8" s="14" t="s">
        <v>7</v>
      </c>
      <c r="G8" s="14" t="s">
        <v>8</v>
      </c>
      <c r="H8" s="14" t="s">
        <v>89</v>
      </c>
      <c r="I8" s="160" t="s">
        <v>99</v>
      </c>
      <c r="J8" s="161"/>
      <c r="K8" s="18"/>
      <c r="L8" s="16"/>
      <c r="M8" s="16"/>
      <c r="N8" s="16"/>
    </row>
    <row r="9" spans="2:14" ht="33" customHeight="1" thickTop="1">
      <c r="B9" s="44" t="s">
        <v>9</v>
      </c>
      <c r="C9" s="33">
        <v>747087</v>
      </c>
      <c r="D9" s="34">
        <v>738658</v>
      </c>
      <c r="E9" s="34">
        <v>8429</v>
      </c>
      <c r="F9" s="34">
        <v>3579</v>
      </c>
      <c r="G9" s="34">
        <v>1140303</v>
      </c>
      <c r="H9" s="34">
        <v>9188</v>
      </c>
      <c r="I9" s="162" t="s">
        <v>82</v>
      </c>
      <c r="J9" s="163"/>
      <c r="K9" s="18"/>
      <c r="L9" s="16"/>
      <c r="M9" s="16"/>
      <c r="N9" s="16"/>
    </row>
    <row r="10" spans="2:14" ht="33" customHeight="1">
      <c r="B10" s="46" t="s">
        <v>74</v>
      </c>
      <c r="C10" s="33">
        <v>417</v>
      </c>
      <c r="D10" s="34">
        <v>360</v>
      </c>
      <c r="E10" s="34">
        <v>57</v>
      </c>
      <c r="F10" s="34">
        <v>57</v>
      </c>
      <c r="G10" s="34">
        <v>1829</v>
      </c>
      <c r="H10" s="34">
        <v>41</v>
      </c>
      <c r="I10" s="164"/>
      <c r="J10" s="165"/>
      <c r="K10" s="19"/>
      <c r="L10" s="16"/>
      <c r="M10" s="16"/>
      <c r="N10" s="16"/>
    </row>
    <row r="11" spans="2:14" ht="33" customHeight="1">
      <c r="B11" s="44" t="s">
        <v>39</v>
      </c>
      <c r="C11" s="33">
        <v>208</v>
      </c>
      <c r="D11" s="34">
        <v>66</v>
      </c>
      <c r="E11" s="34">
        <v>142</v>
      </c>
      <c r="F11" s="34">
        <v>142</v>
      </c>
      <c r="G11" s="34">
        <v>211</v>
      </c>
      <c r="H11" s="34">
        <v>1</v>
      </c>
      <c r="I11" s="164"/>
      <c r="J11" s="165"/>
      <c r="K11" s="18"/>
      <c r="L11" s="16"/>
      <c r="M11" s="16"/>
      <c r="N11" s="16"/>
    </row>
    <row r="12" spans="2:14" ht="33" customHeight="1">
      <c r="B12" s="47" t="s">
        <v>40</v>
      </c>
      <c r="C12" s="33">
        <v>4516</v>
      </c>
      <c r="D12" s="34">
        <v>2888</v>
      </c>
      <c r="E12" s="34">
        <v>1628</v>
      </c>
      <c r="F12" s="34">
        <v>1628</v>
      </c>
      <c r="G12" s="34">
        <v>9076</v>
      </c>
      <c r="H12" s="34">
        <v>17</v>
      </c>
      <c r="I12" s="164"/>
      <c r="J12" s="165"/>
      <c r="K12" s="18"/>
      <c r="L12" s="16"/>
      <c r="M12" s="16"/>
      <c r="N12" s="16"/>
    </row>
    <row r="13" spans="2:14" ht="33" customHeight="1">
      <c r="B13" s="50" t="s">
        <v>41</v>
      </c>
      <c r="C13" s="33">
        <v>256</v>
      </c>
      <c r="D13" s="34">
        <v>18</v>
      </c>
      <c r="E13" s="34">
        <v>238</v>
      </c>
      <c r="F13" s="34">
        <v>238</v>
      </c>
      <c r="G13" s="53" t="s">
        <v>83</v>
      </c>
      <c r="H13" s="34">
        <v>1</v>
      </c>
      <c r="I13" s="164"/>
      <c r="J13" s="165"/>
      <c r="K13" s="18"/>
      <c r="L13" s="16"/>
      <c r="M13" s="16"/>
      <c r="N13" s="16"/>
    </row>
    <row r="14" spans="2:14" ht="33" customHeight="1">
      <c r="B14" s="46" t="s">
        <v>93</v>
      </c>
      <c r="C14" s="33">
        <v>102</v>
      </c>
      <c r="D14" s="34">
        <v>9</v>
      </c>
      <c r="E14" s="34">
        <v>93</v>
      </c>
      <c r="F14" s="34">
        <v>93</v>
      </c>
      <c r="G14" s="53" t="s">
        <v>83</v>
      </c>
      <c r="H14" s="34">
        <v>0</v>
      </c>
      <c r="I14" s="164"/>
      <c r="J14" s="165"/>
      <c r="K14" s="18"/>
      <c r="L14" s="16"/>
      <c r="M14" s="16"/>
      <c r="N14" s="16"/>
    </row>
    <row r="15" spans="2:14" ht="33" customHeight="1">
      <c r="B15" s="44" t="s">
        <v>43</v>
      </c>
      <c r="C15" s="33">
        <v>9188</v>
      </c>
      <c r="D15" s="34">
        <v>8892</v>
      </c>
      <c r="E15" s="34">
        <v>296</v>
      </c>
      <c r="F15" s="34">
        <v>296</v>
      </c>
      <c r="G15" s="53" t="s">
        <v>83</v>
      </c>
      <c r="H15" s="53" t="s">
        <v>83</v>
      </c>
      <c r="I15" s="164"/>
      <c r="J15" s="165"/>
      <c r="K15" s="18"/>
      <c r="L15" s="16"/>
      <c r="M15" s="16"/>
      <c r="N15" s="16"/>
    </row>
    <row r="16" spans="2:14" ht="33" customHeight="1">
      <c r="B16" s="44" t="s">
        <v>42</v>
      </c>
      <c r="C16" s="33">
        <v>10</v>
      </c>
      <c r="D16" s="34">
        <v>10</v>
      </c>
      <c r="E16" s="34">
        <v>0</v>
      </c>
      <c r="F16" s="34">
        <v>0</v>
      </c>
      <c r="G16" s="53" t="s">
        <v>83</v>
      </c>
      <c r="H16" s="53" t="s">
        <v>83</v>
      </c>
      <c r="I16" s="164"/>
      <c r="J16" s="165"/>
      <c r="K16" s="18"/>
      <c r="L16" s="16"/>
      <c r="M16" s="16"/>
      <c r="N16" s="16"/>
    </row>
    <row r="17" spans="2:14" ht="33" customHeight="1" thickBot="1">
      <c r="B17" s="45" t="s">
        <v>44</v>
      </c>
      <c r="C17" s="35">
        <v>98868</v>
      </c>
      <c r="D17" s="36">
        <v>98868</v>
      </c>
      <c r="E17" s="36">
        <v>0</v>
      </c>
      <c r="F17" s="36">
        <v>0</v>
      </c>
      <c r="G17" s="54" t="s">
        <v>83</v>
      </c>
      <c r="H17" s="36">
        <v>98868</v>
      </c>
      <c r="I17" s="170"/>
      <c r="J17" s="171"/>
      <c r="K17" s="18"/>
      <c r="L17" s="16"/>
      <c r="M17" s="16"/>
      <c r="N17" s="16"/>
    </row>
    <row r="18" spans="2:14" ht="33" customHeight="1" thickTop="1">
      <c r="B18" s="42" t="s">
        <v>10</v>
      </c>
      <c r="C18" s="37">
        <v>716287</v>
      </c>
      <c r="D18" s="38">
        <v>705626</v>
      </c>
      <c r="E18" s="38">
        <v>10661</v>
      </c>
      <c r="F18" s="38">
        <v>3653</v>
      </c>
      <c r="G18" s="38">
        <v>1129571</v>
      </c>
      <c r="H18" s="38">
        <v>3226</v>
      </c>
      <c r="I18" s="158" t="s">
        <v>82</v>
      </c>
      <c r="J18" s="159"/>
      <c r="K18" s="18"/>
      <c r="L18" s="16"/>
      <c r="M18" s="16"/>
      <c r="N18" s="16"/>
    </row>
    <row r="19" spans="9:14" ht="37.5" customHeight="1">
      <c r="I19" s="16"/>
      <c r="J19" s="16"/>
      <c r="K19" s="16"/>
      <c r="L19" s="16"/>
      <c r="M19" s="16"/>
      <c r="N19" s="16"/>
    </row>
    <row r="20" spans="2:14" ht="18.75">
      <c r="B20" s="7" t="s">
        <v>30</v>
      </c>
      <c r="J20" s="16"/>
      <c r="K20" s="16"/>
      <c r="L20" s="16"/>
      <c r="M20" s="20" t="s">
        <v>31</v>
      </c>
      <c r="N20" s="16"/>
    </row>
    <row r="21" spans="2:14" ht="7.5" customHeight="1">
      <c r="B21" s="8"/>
      <c r="I21" s="16"/>
      <c r="J21" s="16"/>
      <c r="K21" s="16"/>
      <c r="L21" s="16"/>
      <c r="M21" s="16"/>
      <c r="N21" s="16"/>
    </row>
    <row r="22" spans="2:14" s="10" customFormat="1" ht="29.25" customHeight="1" thickBot="1">
      <c r="B22" s="9"/>
      <c r="C22" s="17" t="s">
        <v>11</v>
      </c>
      <c r="D22" s="14" t="s">
        <v>12</v>
      </c>
      <c r="E22" s="21" t="s">
        <v>32</v>
      </c>
      <c r="F22" s="14" t="s">
        <v>13</v>
      </c>
      <c r="G22" s="14" t="s">
        <v>14</v>
      </c>
      <c r="H22" s="14" t="s">
        <v>89</v>
      </c>
      <c r="I22" s="168" t="s">
        <v>33</v>
      </c>
      <c r="J22" s="169"/>
      <c r="K22" s="22" t="s">
        <v>34</v>
      </c>
      <c r="L22" s="22" t="s">
        <v>35</v>
      </c>
      <c r="M22" s="23" t="s">
        <v>99</v>
      </c>
      <c r="N22" s="16"/>
    </row>
    <row r="23" spans="2:14" ht="10.5" customHeight="1" thickTop="1">
      <c r="B23" s="176" t="s">
        <v>47</v>
      </c>
      <c r="C23" s="39" t="s">
        <v>16</v>
      </c>
      <c r="D23" s="41" t="s">
        <v>17</v>
      </c>
      <c r="E23" s="40"/>
      <c r="F23" s="43" t="s">
        <v>18</v>
      </c>
      <c r="G23" s="100"/>
      <c r="H23" s="57"/>
      <c r="I23" s="101"/>
      <c r="J23" s="102"/>
      <c r="K23" s="103"/>
      <c r="L23" s="103"/>
      <c r="M23" s="178"/>
      <c r="N23" s="16"/>
    </row>
    <row r="24" spans="2:14" ht="22.5" customHeight="1">
      <c r="B24" s="177" t="s">
        <v>47</v>
      </c>
      <c r="C24" s="117">
        <v>5342</v>
      </c>
      <c r="D24" s="118">
        <v>5192</v>
      </c>
      <c r="E24" s="84">
        <v>150</v>
      </c>
      <c r="F24" s="131">
        <v>150</v>
      </c>
      <c r="G24" s="108" t="s">
        <v>86</v>
      </c>
      <c r="H24" s="109">
        <v>1</v>
      </c>
      <c r="I24" s="138" t="s">
        <v>83</v>
      </c>
      <c r="J24" s="139"/>
      <c r="K24" s="110" t="s">
        <v>85</v>
      </c>
      <c r="L24" s="110" t="s">
        <v>85</v>
      </c>
      <c r="M24" s="179"/>
      <c r="N24" s="16"/>
    </row>
    <row r="25" spans="2:14" ht="10.5" customHeight="1">
      <c r="B25" s="180" t="s">
        <v>45</v>
      </c>
      <c r="C25" s="39" t="s">
        <v>16</v>
      </c>
      <c r="D25" s="40" t="s">
        <v>17</v>
      </c>
      <c r="E25" s="34"/>
      <c r="F25" s="41" t="s">
        <v>18</v>
      </c>
      <c r="G25" s="56"/>
      <c r="H25" s="57"/>
      <c r="I25" s="104"/>
      <c r="J25" s="105"/>
      <c r="K25" s="103"/>
      <c r="L25" s="103"/>
      <c r="M25" s="178"/>
      <c r="N25" s="16"/>
    </row>
    <row r="26" spans="2:14" ht="22.5" customHeight="1">
      <c r="B26" s="181" t="s">
        <v>45</v>
      </c>
      <c r="C26" s="62">
        <v>363</v>
      </c>
      <c r="D26" s="63">
        <v>352</v>
      </c>
      <c r="E26" s="133">
        <v>11</v>
      </c>
      <c r="F26" s="114">
        <v>11</v>
      </c>
      <c r="G26" s="111">
        <v>3056</v>
      </c>
      <c r="H26" s="112">
        <v>151</v>
      </c>
      <c r="I26" s="140" t="s">
        <v>85</v>
      </c>
      <c r="J26" s="141"/>
      <c r="K26" s="113" t="s">
        <v>85</v>
      </c>
      <c r="L26" s="113" t="s">
        <v>85</v>
      </c>
      <c r="M26" s="182"/>
      <c r="N26" s="16"/>
    </row>
    <row r="27" spans="2:14" ht="10.5" customHeight="1">
      <c r="B27" s="183" t="s">
        <v>46</v>
      </c>
      <c r="C27" s="39" t="s">
        <v>16</v>
      </c>
      <c r="D27" s="40" t="s">
        <v>17</v>
      </c>
      <c r="E27" s="34"/>
      <c r="F27" s="41" t="s">
        <v>18</v>
      </c>
      <c r="G27" s="56"/>
      <c r="H27" s="57"/>
      <c r="I27" s="106"/>
      <c r="J27" s="107"/>
      <c r="K27" s="103"/>
      <c r="L27" s="103"/>
      <c r="M27" s="178"/>
      <c r="N27" s="16"/>
    </row>
    <row r="28" spans="2:14" ht="22.5" customHeight="1">
      <c r="B28" s="184" t="s">
        <v>46</v>
      </c>
      <c r="C28" s="116">
        <v>1275</v>
      </c>
      <c r="D28" s="115">
        <v>1269</v>
      </c>
      <c r="E28" s="55">
        <v>6</v>
      </c>
      <c r="F28" s="132">
        <v>0</v>
      </c>
      <c r="G28" s="111">
        <v>4876</v>
      </c>
      <c r="H28" s="112">
        <v>140</v>
      </c>
      <c r="I28" s="140" t="s">
        <v>85</v>
      </c>
      <c r="J28" s="141"/>
      <c r="K28" s="113" t="s">
        <v>85</v>
      </c>
      <c r="L28" s="113" t="s">
        <v>85</v>
      </c>
      <c r="M28" s="182"/>
      <c r="N28" s="16"/>
    </row>
    <row r="29" spans="2:14" ht="33" customHeight="1">
      <c r="B29" s="44" t="s">
        <v>75</v>
      </c>
      <c r="C29" s="64">
        <v>1642</v>
      </c>
      <c r="D29" s="65">
        <v>1449</v>
      </c>
      <c r="E29" s="81" t="s">
        <v>86</v>
      </c>
      <c r="F29" s="67">
        <v>193</v>
      </c>
      <c r="G29" s="67">
        <v>2989</v>
      </c>
      <c r="H29" s="66" t="s">
        <v>86</v>
      </c>
      <c r="I29" s="187">
        <v>113.8</v>
      </c>
      <c r="J29" s="187"/>
      <c r="K29" s="68" t="s">
        <v>86</v>
      </c>
      <c r="L29" s="68" t="s">
        <v>86</v>
      </c>
      <c r="M29" s="69" t="s">
        <v>15</v>
      </c>
      <c r="N29" s="16"/>
    </row>
    <row r="30" spans="2:14" ht="33" customHeight="1">
      <c r="B30" s="44" t="s">
        <v>48</v>
      </c>
      <c r="C30" s="70">
        <v>9643</v>
      </c>
      <c r="D30" s="71">
        <v>6199</v>
      </c>
      <c r="E30" s="82" t="s">
        <v>87</v>
      </c>
      <c r="F30" s="79">
        <v>3444</v>
      </c>
      <c r="G30" s="71">
        <v>36728</v>
      </c>
      <c r="H30" s="71">
        <v>620</v>
      </c>
      <c r="I30" s="188">
        <v>164.4</v>
      </c>
      <c r="J30" s="188"/>
      <c r="K30" s="72" t="s">
        <v>87</v>
      </c>
      <c r="L30" s="72" t="s">
        <v>87</v>
      </c>
      <c r="M30" s="73" t="s">
        <v>15</v>
      </c>
      <c r="N30" s="24"/>
    </row>
    <row r="31" spans="2:14" ht="33" customHeight="1">
      <c r="B31" s="44" t="s">
        <v>50</v>
      </c>
      <c r="C31" s="64">
        <v>10667</v>
      </c>
      <c r="D31" s="65">
        <v>10614</v>
      </c>
      <c r="E31" s="81" t="s">
        <v>87</v>
      </c>
      <c r="F31" s="67">
        <v>53</v>
      </c>
      <c r="G31" s="67">
        <v>6558</v>
      </c>
      <c r="H31" s="67">
        <v>1929</v>
      </c>
      <c r="I31" s="187">
        <v>100.5</v>
      </c>
      <c r="J31" s="187"/>
      <c r="K31" s="68" t="s">
        <v>87</v>
      </c>
      <c r="L31" s="74">
        <v>5150</v>
      </c>
      <c r="M31" s="69" t="s">
        <v>15</v>
      </c>
      <c r="N31" s="16"/>
    </row>
    <row r="32" spans="2:14" ht="33" customHeight="1">
      <c r="B32" s="58" t="s">
        <v>49</v>
      </c>
      <c r="C32" s="75">
        <v>1352</v>
      </c>
      <c r="D32" s="60">
        <v>1393</v>
      </c>
      <c r="E32" s="83" t="s">
        <v>87</v>
      </c>
      <c r="F32" s="80">
        <v>-41</v>
      </c>
      <c r="G32" s="60">
        <v>3472</v>
      </c>
      <c r="H32" s="60">
        <v>261</v>
      </c>
      <c r="I32" s="189">
        <v>97.1</v>
      </c>
      <c r="J32" s="189"/>
      <c r="K32" s="77" t="s">
        <v>87</v>
      </c>
      <c r="L32" s="77" t="s">
        <v>87</v>
      </c>
      <c r="M32" s="78" t="s">
        <v>15</v>
      </c>
      <c r="N32" s="24"/>
    </row>
    <row r="33" spans="2:14" ht="13.5" customHeight="1">
      <c r="B33" s="27" t="s">
        <v>19</v>
      </c>
      <c r="C33" s="26"/>
      <c r="D33" s="26"/>
      <c r="E33" s="26"/>
      <c r="F33" s="26"/>
      <c r="G33" s="26"/>
      <c r="H33" s="26"/>
      <c r="I33" s="25"/>
      <c r="J33" s="25"/>
      <c r="K33" s="28"/>
      <c r="L33" s="16"/>
      <c r="M33" s="16"/>
      <c r="N33" s="16"/>
    </row>
    <row r="34" spans="2:14" ht="13.5" customHeight="1">
      <c r="B34" s="27" t="s">
        <v>20</v>
      </c>
      <c r="C34" s="26"/>
      <c r="D34" s="26"/>
      <c r="E34" s="26"/>
      <c r="F34" s="26"/>
      <c r="G34" s="26"/>
      <c r="H34" s="26"/>
      <c r="I34" s="25"/>
      <c r="J34" s="25"/>
      <c r="K34" s="28"/>
      <c r="L34" s="16"/>
      <c r="M34" s="16"/>
      <c r="N34" s="16"/>
    </row>
    <row r="35" spans="2:14" ht="13.5" customHeight="1">
      <c r="B35" s="27" t="s">
        <v>21</v>
      </c>
      <c r="C35" s="26"/>
      <c r="D35" s="26"/>
      <c r="E35" s="26"/>
      <c r="F35" s="26"/>
      <c r="G35" s="26"/>
      <c r="H35" s="26"/>
      <c r="I35" s="25"/>
      <c r="J35" s="25"/>
      <c r="K35" s="28"/>
      <c r="L35" s="16"/>
      <c r="M35" s="16"/>
      <c r="N35" s="16"/>
    </row>
    <row r="36" spans="2:14" ht="37.5" customHeight="1">
      <c r="B36" s="6"/>
      <c r="C36" s="6"/>
      <c r="D36" s="6"/>
      <c r="E36" s="6"/>
      <c r="F36" s="6"/>
      <c r="G36" s="6"/>
      <c r="H36" s="6"/>
      <c r="I36" s="16"/>
      <c r="J36" s="16"/>
      <c r="K36" s="16"/>
      <c r="L36" s="16"/>
      <c r="M36" s="16"/>
      <c r="N36" s="16"/>
    </row>
    <row r="37" spans="2:14" ht="18.75">
      <c r="B37" s="7" t="s">
        <v>37</v>
      </c>
      <c r="J37" s="16"/>
      <c r="K37" s="20" t="s">
        <v>29</v>
      </c>
      <c r="L37" s="16"/>
      <c r="M37" s="16"/>
      <c r="N37" s="16"/>
    </row>
    <row r="38" spans="2:14" ht="7.5" customHeight="1">
      <c r="B38" s="8"/>
      <c r="J38" s="16"/>
      <c r="K38" s="16"/>
      <c r="L38" s="16"/>
      <c r="M38" s="16"/>
      <c r="N38" s="16"/>
    </row>
    <row r="39" spans="2:14" s="10" customFormat="1" ht="48.75" customHeight="1" thickBot="1">
      <c r="B39" s="9"/>
      <c r="C39" s="17" t="s">
        <v>22</v>
      </c>
      <c r="D39" s="14" t="s">
        <v>23</v>
      </c>
      <c r="E39" s="14" t="s">
        <v>94</v>
      </c>
      <c r="F39" s="14" t="s">
        <v>95</v>
      </c>
      <c r="G39" s="14" t="s">
        <v>96</v>
      </c>
      <c r="H39" s="13" t="s">
        <v>97</v>
      </c>
      <c r="I39" s="147" t="s">
        <v>98</v>
      </c>
      <c r="J39" s="148"/>
      <c r="K39" s="29" t="s">
        <v>99</v>
      </c>
      <c r="L39" s="18"/>
      <c r="M39" s="16"/>
      <c r="N39" s="16"/>
    </row>
    <row r="40" spans="2:14" ht="33" customHeight="1" thickTop="1">
      <c r="B40" s="44" t="s">
        <v>51</v>
      </c>
      <c r="C40" s="85">
        <f>287623/1000</f>
        <v>287.623</v>
      </c>
      <c r="D40" s="86">
        <f>7489708/1000</f>
        <v>7489.708</v>
      </c>
      <c r="E40" s="86">
        <f>6064000/1000</f>
        <v>6064</v>
      </c>
      <c r="F40" s="89" t="s">
        <v>85</v>
      </c>
      <c r="G40" s="87">
        <f>1670625/1000</f>
        <v>1670.625</v>
      </c>
      <c r="H40" s="86">
        <v>3986</v>
      </c>
      <c r="I40" s="149" t="s">
        <v>85</v>
      </c>
      <c r="J40" s="150"/>
      <c r="K40" s="88"/>
      <c r="L40" s="18"/>
      <c r="M40" s="16"/>
      <c r="N40" s="16"/>
    </row>
    <row r="41" spans="2:14" ht="33" customHeight="1">
      <c r="B41" s="44" t="s">
        <v>76</v>
      </c>
      <c r="C41" s="85">
        <f>33890/1000</f>
        <v>33.89</v>
      </c>
      <c r="D41" s="86">
        <f>699461/1000</f>
        <v>699.461</v>
      </c>
      <c r="E41" s="86">
        <f>20000/1000</f>
        <v>20</v>
      </c>
      <c r="F41" s="86">
        <f>13523/1000</f>
        <v>13.523</v>
      </c>
      <c r="G41" s="86">
        <f>4051089/1000</f>
        <v>4051.089</v>
      </c>
      <c r="H41" s="89" t="s">
        <v>85</v>
      </c>
      <c r="I41" s="142">
        <v>17487</v>
      </c>
      <c r="J41" s="143"/>
      <c r="K41" s="88"/>
      <c r="L41" s="18"/>
      <c r="M41" s="16"/>
      <c r="N41" s="16"/>
    </row>
    <row r="42" spans="2:14" ht="33" customHeight="1">
      <c r="B42" s="44" t="s">
        <v>77</v>
      </c>
      <c r="C42" s="85">
        <f>30953/1000</f>
        <v>30.953</v>
      </c>
      <c r="D42" s="86">
        <f>2110859/1000</f>
        <v>2110.859</v>
      </c>
      <c r="E42" s="86">
        <f>30000/1000</f>
        <v>30</v>
      </c>
      <c r="F42" s="89" t="s">
        <v>85</v>
      </c>
      <c r="G42" s="89" t="s">
        <v>85</v>
      </c>
      <c r="H42" s="86">
        <v>33853</v>
      </c>
      <c r="I42" s="144" t="s">
        <v>85</v>
      </c>
      <c r="J42" s="145"/>
      <c r="K42" s="88"/>
      <c r="L42" s="18"/>
      <c r="M42" s="16"/>
      <c r="N42" s="16"/>
    </row>
    <row r="43" spans="2:14" ht="33" customHeight="1">
      <c r="B43" s="44" t="s">
        <v>78</v>
      </c>
      <c r="C43" s="85">
        <f>-17413/1000</f>
        <v>-17.413</v>
      </c>
      <c r="D43" s="86">
        <f>1112926/1000</f>
        <v>1112.926</v>
      </c>
      <c r="E43" s="86">
        <f>1000000/1000</f>
        <v>1000</v>
      </c>
      <c r="F43" s="89" t="s">
        <v>85</v>
      </c>
      <c r="G43" s="89" t="s">
        <v>85</v>
      </c>
      <c r="H43" s="89" t="s">
        <v>85</v>
      </c>
      <c r="I43" s="144" t="s">
        <v>85</v>
      </c>
      <c r="J43" s="145"/>
      <c r="K43" s="88"/>
      <c r="L43" s="18"/>
      <c r="M43" s="16"/>
      <c r="N43" s="16"/>
    </row>
    <row r="44" spans="2:14" ht="33" customHeight="1">
      <c r="B44" s="44" t="s">
        <v>52</v>
      </c>
      <c r="C44" s="85">
        <f>-1575/1000</f>
        <v>-1.575</v>
      </c>
      <c r="D44" s="86">
        <f>1002997/1000</f>
        <v>1002.997</v>
      </c>
      <c r="E44" s="86">
        <f>994000/1000</f>
        <v>994</v>
      </c>
      <c r="F44" s="89" t="s">
        <v>85</v>
      </c>
      <c r="G44" s="89" t="s">
        <v>85</v>
      </c>
      <c r="H44" s="89" t="s">
        <v>85</v>
      </c>
      <c r="I44" s="144" t="s">
        <v>85</v>
      </c>
      <c r="J44" s="145"/>
      <c r="K44" s="88"/>
      <c r="L44" s="18"/>
      <c r="M44" s="16"/>
      <c r="N44" s="16"/>
    </row>
    <row r="45" spans="2:14" ht="33" customHeight="1">
      <c r="B45" s="44" t="s">
        <v>79</v>
      </c>
      <c r="C45" s="85">
        <f>39156/1000</f>
        <v>39.156</v>
      </c>
      <c r="D45" s="86">
        <f>2137409/1000</f>
        <v>2137.409</v>
      </c>
      <c r="E45" s="86">
        <f>1520000/1000</f>
        <v>1520</v>
      </c>
      <c r="F45" s="89" t="s">
        <v>85</v>
      </c>
      <c r="G45" s="89" t="s">
        <v>85</v>
      </c>
      <c r="H45" s="89" t="s">
        <v>85</v>
      </c>
      <c r="I45" s="144" t="s">
        <v>85</v>
      </c>
      <c r="J45" s="145"/>
      <c r="K45" s="88"/>
      <c r="L45" s="18"/>
      <c r="M45" s="16"/>
      <c r="N45" s="16"/>
    </row>
    <row r="46" spans="2:14" ht="33" customHeight="1">
      <c r="B46" s="122" t="s">
        <v>53</v>
      </c>
      <c r="C46" s="123">
        <f>-6227/1000</f>
        <v>-6.227</v>
      </c>
      <c r="D46" s="124">
        <f>1327885/1000</f>
        <v>1327.885</v>
      </c>
      <c r="E46" s="124">
        <f>1167785/1000</f>
        <v>1167.785</v>
      </c>
      <c r="F46" s="124">
        <f>3112/1000</f>
        <v>3.112</v>
      </c>
      <c r="G46" s="124">
        <f>26100/1000</f>
        <v>26.1</v>
      </c>
      <c r="H46" s="125" t="s">
        <v>85</v>
      </c>
      <c r="I46" s="136" t="s">
        <v>85</v>
      </c>
      <c r="J46" s="137"/>
      <c r="K46" s="126"/>
      <c r="L46" s="18"/>
      <c r="M46" s="16"/>
      <c r="N46" s="16"/>
    </row>
    <row r="47" spans="2:14" ht="33" customHeight="1">
      <c r="B47" s="122" t="s">
        <v>63</v>
      </c>
      <c r="C47" s="123">
        <f>-18502/1000</f>
        <v>-18.502</v>
      </c>
      <c r="D47" s="124">
        <f>1313779/1000</f>
        <v>1313.779</v>
      </c>
      <c r="E47" s="124">
        <f>508500/1000</f>
        <v>508.5</v>
      </c>
      <c r="F47" s="124">
        <f>3578/1000</f>
        <v>3.578</v>
      </c>
      <c r="G47" s="124">
        <f>190000/1000</f>
        <v>190</v>
      </c>
      <c r="H47" s="125" t="s">
        <v>85</v>
      </c>
      <c r="I47" s="173" t="s">
        <v>85</v>
      </c>
      <c r="J47" s="154"/>
      <c r="K47" s="127"/>
      <c r="L47" s="18"/>
      <c r="M47" s="16"/>
      <c r="N47" s="16"/>
    </row>
    <row r="48" spans="2:14" ht="33" customHeight="1">
      <c r="B48" s="122" t="s">
        <v>54</v>
      </c>
      <c r="C48" s="123">
        <f>60901/1000</f>
        <v>60.901</v>
      </c>
      <c r="D48" s="124">
        <f>4505674/1000</f>
        <v>4505.674</v>
      </c>
      <c r="E48" s="124">
        <f>2601020/1000</f>
        <v>2601.02</v>
      </c>
      <c r="F48" s="124">
        <f>333002/1000</f>
        <v>333.002</v>
      </c>
      <c r="G48" s="124">
        <f>4790073/1000</f>
        <v>4790.073</v>
      </c>
      <c r="H48" s="125" t="s">
        <v>85</v>
      </c>
      <c r="I48" s="173" t="s">
        <v>85</v>
      </c>
      <c r="J48" s="154"/>
      <c r="K48" s="127"/>
      <c r="L48" s="18"/>
      <c r="M48" s="16"/>
      <c r="N48" s="16"/>
    </row>
    <row r="49" spans="2:14" ht="33" customHeight="1">
      <c r="B49" s="119" t="s">
        <v>64</v>
      </c>
      <c r="C49" s="120">
        <f>2853/1000</f>
        <v>2.853</v>
      </c>
      <c r="D49" s="121">
        <f>21652/1000</f>
        <v>21.652</v>
      </c>
      <c r="E49" s="121">
        <f>5000/1000</f>
        <v>5</v>
      </c>
      <c r="F49" s="94" t="s">
        <v>85</v>
      </c>
      <c r="G49" s="94" t="s">
        <v>85</v>
      </c>
      <c r="H49" s="94" t="s">
        <v>85</v>
      </c>
      <c r="I49" s="174" t="s">
        <v>85</v>
      </c>
      <c r="J49" s="175"/>
      <c r="K49" s="88"/>
      <c r="L49" s="18"/>
      <c r="M49" s="16"/>
      <c r="N49" s="16"/>
    </row>
    <row r="50" spans="2:14" ht="33" customHeight="1">
      <c r="B50" s="44" t="s">
        <v>55</v>
      </c>
      <c r="C50" s="85">
        <f>-5952/1000</f>
        <v>-5.952</v>
      </c>
      <c r="D50" s="86">
        <f>588053/1000</f>
        <v>588.053</v>
      </c>
      <c r="E50" s="86">
        <f>24000/1000</f>
        <v>24</v>
      </c>
      <c r="F50" s="86">
        <f>483596/1000</f>
        <v>483.596</v>
      </c>
      <c r="G50" s="86">
        <f>20389321/1000</f>
        <v>20389.321</v>
      </c>
      <c r="H50" s="89" t="s">
        <v>85</v>
      </c>
      <c r="I50" s="142">
        <v>13732</v>
      </c>
      <c r="J50" s="143"/>
      <c r="K50" s="88"/>
      <c r="L50" s="18"/>
      <c r="M50" s="16"/>
      <c r="N50" s="16"/>
    </row>
    <row r="51" spans="2:14" ht="33" customHeight="1">
      <c r="B51" s="46" t="s">
        <v>65</v>
      </c>
      <c r="C51" s="85">
        <f>14786/1000</f>
        <v>14.786</v>
      </c>
      <c r="D51" s="86">
        <f>1659163/1000</f>
        <v>1659.163</v>
      </c>
      <c r="E51" s="86">
        <f>800000/1000</f>
        <v>800</v>
      </c>
      <c r="F51" s="89" t="s">
        <v>85</v>
      </c>
      <c r="G51" s="89" t="s">
        <v>85</v>
      </c>
      <c r="H51" s="89" t="s">
        <v>85</v>
      </c>
      <c r="I51" s="144" t="s">
        <v>85</v>
      </c>
      <c r="J51" s="145"/>
      <c r="K51" s="88"/>
      <c r="L51" s="18"/>
      <c r="M51" s="16"/>
      <c r="N51" s="16"/>
    </row>
    <row r="52" spans="2:14" ht="33" customHeight="1">
      <c r="B52" s="44" t="s">
        <v>66</v>
      </c>
      <c r="C52" s="85">
        <f>-3510/1000</f>
        <v>-3.51</v>
      </c>
      <c r="D52" s="86">
        <f>738416/1000</f>
        <v>738.416</v>
      </c>
      <c r="E52" s="86">
        <f>450000/1000</f>
        <v>450</v>
      </c>
      <c r="F52" s="86">
        <f>19603/1000</f>
        <v>19.603</v>
      </c>
      <c r="G52" s="89" t="s">
        <v>85</v>
      </c>
      <c r="H52" s="89" t="s">
        <v>85</v>
      </c>
      <c r="I52" s="144" t="s">
        <v>85</v>
      </c>
      <c r="J52" s="145"/>
      <c r="K52" s="88"/>
      <c r="L52" s="18"/>
      <c r="M52" s="16"/>
      <c r="N52" s="16"/>
    </row>
    <row r="53" spans="2:14" ht="33" customHeight="1">
      <c r="B53" s="44" t="s">
        <v>67</v>
      </c>
      <c r="C53" s="85">
        <f>5074/1000</f>
        <v>5.074</v>
      </c>
      <c r="D53" s="86">
        <f>109648/1000</f>
        <v>109.648</v>
      </c>
      <c r="E53" s="86">
        <f>5000/1000</f>
        <v>5</v>
      </c>
      <c r="F53" s="89" t="s">
        <v>85</v>
      </c>
      <c r="G53" s="89" t="s">
        <v>85</v>
      </c>
      <c r="H53" s="89" t="s">
        <v>85</v>
      </c>
      <c r="I53" s="144" t="s">
        <v>85</v>
      </c>
      <c r="J53" s="145"/>
      <c r="K53" s="88"/>
      <c r="L53" s="18"/>
      <c r="M53" s="16"/>
      <c r="N53" s="16"/>
    </row>
    <row r="54" spans="2:14" ht="33" customHeight="1">
      <c r="B54" s="44" t="s">
        <v>68</v>
      </c>
      <c r="C54" s="85">
        <f>-751959/1000</f>
        <v>-751.959</v>
      </c>
      <c r="D54" s="86">
        <f>12128334/1000</f>
        <v>12128.334</v>
      </c>
      <c r="E54" s="86">
        <f>11025737/1000</f>
        <v>11025.737</v>
      </c>
      <c r="F54" s="89" t="s">
        <v>85</v>
      </c>
      <c r="G54" s="89" t="s">
        <v>85</v>
      </c>
      <c r="H54" s="89" t="s">
        <v>85</v>
      </c>
      <c r="I54" s="144" t="s">
        <v>85</v>
      </c>
      <c r="J54" s="145"/>
      <c r="K54" s="88"/>
      <c r="L54" s="18"/>
      <c r="M54" s="16"/>
      <c r="N54" s="16"/>
    </row>
    <row r="55" spans="2:14" ht="33" customHeight="1">
      <c r="B55" s="46" t="s">
        <v>80</v>
      </c>
      <c r="C55" s="85">
        <f>-32/1000*-1</f>
        <v>0.032</v>
      </c>
      <c r="D55" s="86">
        <f>504271/1000</f>
        <v>504.271</v>
      </c>
      <c r="E55" s="86">
        <f>200000/1000</f>
        <v>200</v>
      </c>
      <c r="F55" s="89" t="s">
        <v>85</v>
      </c>
      <c r="G55" s="89" t="s">
        <v>85</v>
      </c>
      <c r="H55" s="89" t="s">
        <v>85</v>
      </c>
      <c r="I55" s="144" t="s">
        <v>85</v>
      </c>
      <c r="J55" s="145"/>
      <c r="K55" s="88"/>
      <c r="L55" s="18"/>
      <c r="M55" s="16"/>
      <c r="N55" s="16"/>
    </row>
    <row r="56" spans="2:14" ht="33" customHeight="1">
      <c r="B56" s="47" t="s">
        <v>69</v>
      </c>
      <c r="C56" s="85">
        <f>757/1000</f>
        <v>0.757</v>
      </c>
      <c r="D56" s="86">
        <f>313774/1000</f>
        <v>313.774</v>
      </c>
      <c r="E56" s="86">
        <f>100000/1000</f>
        <v>100</v>
      </c>
      <c r="F56" s="86">
        <f>8074/1000</f>
        <v>8.074</v>
      </c>
      <c r="G56" s="89" t="s">
        <v>85</v>
      </c>
      <c r="H56" s="89" t="s">
        <v>85</v>
      </c>
      <c r="I56" s="144" t="s">
        <v>85</v>
      </c>
      <c r="J56" s="145"/>
      <c r="K56" s="88"/>
      <c r="L56" s="18"/>
      <c r="M56" s="16"/>
      <c r="N56" s="16"/>
    </row>
    <row r="57" spans="2:14" ht="33" customHeight="1">
      <c r="B57" s="50" t="s">
        <v>90</v>
      </c>
      <c r="C57" s="85">
        <f>2452/1000</f>
        <v>2.452</v>
      </c>
      <c r="D57" s="86">
        <f>140086/1000</f>
        <v>140.086</v>
      </c>
      <c r="E57" s="86">
        <f>116200/1000</f>
        <v>116.2</v>
      </c>
      <c r="F57" s="87">
        <f>4947/1000</f>
        <v>4.947</v>
      </c>
      <c r="G57" s="89" t="s">
        <v>85</v>
      </c>
      <c r="H57" s="89" t="s">
        <v>85</v>
      </c>
      <c r="I57" s="144" t="s">
        <v>85</v>
      </c>
      <c r="J57" s="145"/>
      <c r="K57" s="88"/>
      <c r="L57" s="18"/>
      <c r="M57" s="16"/>
      <c r="N57" s="16"/>
    </row>
    <row r="58" spans="2:14" ht="33" customHeight="1">
      <c r="B58" s="44" t="s">
        <v>56</v>
      </c>
      <c r="C58" s="85">
        <f>-5574/1000</f>
        <v>-5.574</v>
      </c>
      <c r="D58" s="86">
        <f>245737/1000</f>
        <v>245.737</v>
      </c>
      <c r="E58" s="86">
        <f>50000/1000</f>
        <v>50</v>
      </c>
      <c r="F58" s="89" t="s">
        <v>85</v>
      </c>
      <c r="G58" s="89" t="s">
        <v>85</v>
      </c>
      <c r="H58" s="89" t="s">
        <v>85</v>
      </c>
      <c r="I58" s="144" t="s">
        <v>85</v>
      </c>
      <c r="J58" s="145"/>
      <c r="K58" s="88"/>
      <c r="L58" s="18"/>
      <c r="M58" s="16"/>
      <c r="N58" s="16"/>
    </row>
    <row r="59" spans="2:14" ht="33" customHeight="1">
      <c r="B59" s="44" t="s">
        <v>70</v>
      </c>
      <c r="C59" s="85">
        <f>154990/1000</f>
        <v>154.99</v>
      </c>
      <c r="D59" s="86">
        <f>986268/1000</f>
        <v>986.268</v>
      </c>
      <c r="E59" s="86">
        <f>96000/1000</f>
        <v>96</v>
      </c>
      <c r="F59" s="89" t="s">
        <v>85</v>
      </c>
      <c r="G59" s="86">
        <f>331000/1000</f>
        <v>331</v>
      </c>
      <c r="H59" s="89" t="s">
        <v>85</v>
      </c>
      <c r="I59" s="144" t="s">
        <v>85</v>
      </c>
      <c r="J59" s="145"/>
      <c r="K59" s="88"/>
      <c r="L59" s="18"/>
      <c r="M59" s="16"/>
      <c r="N59" s="16"/>
    </row>
    <row r="60" spans="2:14" ht="33" customHeight="1">
      <c r="B60" s="44" t="s">
        <v>57</v>
      </c>
      <c r="C60" s="85">
        <f>3019/1000</f>
        <v>3.019</v>
      </c>
      <c r="D60" s="86">
        <f>266006/1000</f>
        <v>266.006</v>
      </c>
      <c r="E60" s="86">
        <f>90000/1000</f>
        <v>90</v>
      </c>
      <c r="F60" s="89" t="s">
        <v>85</v>
      </c>
      <c r="G60" s="89" t="s">
        <v>85</v>
      </c>
      <c r="H60" s="89" t="s">
        <v>85</v>
      </c>
      <c r="I60" s="144" t="s">
        <v>85</v>
      </c>
      <c r="J60" s="145"/>
      <c r="K60" s="88"/>
      <c r="L60" s="18"/>
      <c r="M60" s="16"/>
      <c r="N60" s="16"/>
    </row>
    <row r="61" spans="2:14" ht="33" customHeight="1">
      <c r="B61" s="44" t="s">
        <v>58</v>
      </c>
      <c r="C61" s="85">
        <f>-7466/1000</f>
        <v>-7.466</v>
      </c>
      <c r="D61" s="86">
        <f>1078830/1000</f>
        <v>1078.83</v>
      </c>
      <c r="E61" s="86">
        <f>293036/1000</f>
        <v>293.036</v>
      </c>
      <c r="F61" s="86">
        <f>7746/1000</f>
        <v>7.746</v>
      </c>
      <c r="G61" s="89" t="s">
        <v>85</v>
      </c>
      <c r="H61" s="89" t="s">
        <v>85</v>
      </c>
      <c r="I61" s="144" t="s">
        <v>85</v>
      </c>
      <c r="J61" s="145"/>
      <c r="K61" s="88"/>
      <c r="L61" s="18"/>
      <c r="M61" s="16"/>
      <c r="N61" s="16"/>
    </row>
    <row r="62" spans="2:14" ht="33" customHeight="1">
      <c r="B62" s="44" t="s">
        <v>59</v>
      </c>
      <c r="C62" s="85">
        <f>3778/1000</f>
        <v>3.778</v>
      </c>
      <c r="D62" s="86">
        <f>96240/1000</f>
        <v>96.24</v>
      </c>
      <c r="E62" s="86">
        <f>71500/1000</f>
        <v>71.5</v>
      </c>
      <c r="F62" s="86">
        <f>10024/1000</f>
        <v>10.024</v>
      </c>
      <c r="G62" s="89" t="s">
        <v>85</v>
      </c>
      <c r="H62" s="89" t="s">
        <v>85</v>
      </c>
      <c r="I62" s="144" t="s">
        <v>85</v>
      </c>
      <c r="J62" s="145"/>
      <c r="K62" s="88"/>
      <c r="L62" s="18"/>
      <c r="M62" s="16"/>
      <c r="N62" s="16"/>
    </row>
    <row r="63" spans="2:14" ht="33" customHeight="1">
      <c r="B63" s="44" t="s">
        <v>60</v>
      </c>
      <c r="C63" s="85">
        <f>311953/1000</f>
        <v>311.953</v>
      </c>
      <c r="D63" s="86">
        <f>7647654/1000</f>
        <v>7647.654</v>
      </c>
      <c r="E63" s="86">
        <f>255500/1000</f>
        <v>255.5</v>
      </c>
      <c r="F63" s="86">
        <f>291967/1000</f>
        <v>291.967</v>
      </c>
      <c r="G63" s="89" t="s">
        <v>85</v>
      </c>
      <c r="H63" s="89" t="s">
        <v>85</v>
      </c>
      <c r="I63" s="144" t="s">
        <v>85</v>
      </c>
      <c r="J63" s="145"/>
      <c r="K63" s="88"/>
      <c r="L63" s="18"/>
      <c r="M63" s="16"/>
      <c r="N63" s="16"/>
    </row>
    <row r="64" spans="2:14" ht="33" customHeight="1">
      <c r="B64" s="47" t="s">
        <v>71</v>
      </c>
      <c r="C64" s="85">
        <f>-7096/1000</f>
        <v>-7.096</v>
      </c>
      <c r="D64" s="86">
        <f>1091036/1000</f>
        <v>1091.036</v>
      </c>
      <c r="E64" s="86">
        <f>7500/1000</f>
        <v>7.5</v>
      </c>
      <c r="F64" s="86">
        <f>6000/1000</f>
        <v>6</v>
      </c>
      <c r="G64" s="89" t="s">
        <v>85</v>
      </c>
      <c r="H64" s="89" t="s">
        <v>85</v>
      </c>
      <c r="I64" s="144" t="s">
        <v>85</v>
      </c>
      <c r="J64" s="145"/>
      <c r="K64" s="88"/>
      <c r="L64" s="18"/>
      <c r="M64" s="16"/>
      <c r="N64" s="16"/>
    </row>
    <row r="65" spans="2:14" ht="33" customHeight="1">
      <c r="B65" s="47" t="s">
        <v>72</v>
      </c>
      <c r="C65" s="85">
        <f>68162/1000</f>
        <v>68.162</v>
      </c>
      <c r="D65" s="86">
        <f>50877/1000</f>
        <v>50.877</v>
      </c>
      <c r="E65" s="86">
        <f>6000/1000</f>
        <v>6</v>
      </c>
      <c r="F65" s="89" t="s">
        <v>85</v>
      </c>
      <c r="G65" s="86">
        <f>122340/1000</f>
        <v>122.34</v>
      </c>
      <c r="H65" s="89" t="s">
        <v>85</v>
      </c>
      <c r="I65" s="144" t="s">
        <v>85</v>
      </c>
      <c r="J65" s="145"/>
      <c r="K65" s="90"/>
      <c r="L65" s="18"/>
      <c r="M65" s="16"/>
      <c r="N65" s="16"/>
    </row>
    <row r="66" spans="2:14" ht="33" customHeight="1">
      <c r="B66" s="51" t="s">
        <v>73</v>
      </c>
      <c r="C66" s="85">
        <f>24360/1000</f>
        <v>24.36</v>
      </c>
      <c r="D66" s="86">
        <f>819152/1000</f>
        <v>819.152</v>
      </c>
      <c r="E66" s="86">
        <f>4000/1000</f>
        <v>4</v>
      </c>
      <c r="F66" s="86">
        <f>821/1000</f>
        <v>0.821</v>
      </c>
      <c r="G66" s="87">
        <f>70760/1000</f>
        <v>70.76</v>
      </c>
      <c r="H66" s="89" t="s">
        <v>85</v>
      </c>
      <c r="I66" s="151" t="s">
        <v>85</v>
      </c>
      <c r="J66" s="134"/>
      <c r="K66" s="90"/>
      <c r="L66" s="18"/>
      <c r="M66" s="16"/>
      <c r="N66" s="16"/>
    </row>
    <row r="67" spans="2:14" ht="33" customHeight="1">
      <c r="B67" s="48" t="s">
        <v>61</v>
      </c>
      <c r="C67" s="91">
        <f>-19767/1000</f>
        <v>-19.767</v>
      </c>
      <c r="D67" s="92">
        <f>1886271/1000</f>
        <v>1886.271</v>
      </c>
      <c r="E67" s="92">
        <f>112500/1000</f>
        <v>112.5</v>
      </c>
      <c r="F67" s="92">
        <f>8826/1000</f>
        <v>8.826</v>
      </c>
      <c r="G67" s="93" t="s">
        <v>85</v>
      </c>
      <c r="H67" s="93" t="s">
        <v>85</v>
      </c>
      <c r="I67" s="151" t="s">
        <v>85</v>
      </c>
      <c r="J67" s="134"/>
      <c r="K67" s="90"/>
      <c r="L67" s="18"/>
      <c r="M67" s="16"/>
      <c r="N67" s="16"/>
    </row>
    <row r="68" spans="2:14" ht="33" customHeight="1">
      <c r="B68" s="49" t="s">
        <v>81</v>
      </c>
      <c r="C68" s="91">
        <f>336059/1000</f>
        <v>336.059</v>
      </c>
      <c r="D68" s="92">
        <f>4160224/1000</f>
        <v>4160.224</v>
      </c>
      <c r="E68" s="92">
        <f>150000/1000</f>
        <v>150</v>
      </c>
      <c r="F68" s="93" t="s">
        <v>85</v>
      </c>
      <c r="G68" s="92">
        <f>355000/1000</f>
        <v>355</v>
      </c>
      <c r="H68" s="93" t="s">
        <v>85</v>
      </c>
      <c r="I68" s="153" t="s">
        <v>85</v>
      </c>
      <c r="J68" s="154"/>
      <c r="K68" s="90"/>
      <c r="L68" s="18"/>
      <c r="M68" s="16"/>
      <c r="N68" s="16"/>
    </row>
    <row r="69" spans="2:14" ht="33" customHeight="1">
      <c r="B69" s="49" t="s">
        <v>62</v>
      </c>
      <c r="C69" s="91">
        <f>351084/1000</f>
        <v>351.084</v>
      </c>
      <c r="D69" s="92">
        <f>2628330/1000</f>
        <v>2628.33</v>
      </c>
      <c r="E69" s="92">
        <f>25000/1000</f>
        <v>25</v>
      </c>
      <c r="F69" s="93" t="s">
        <v>85</v>
      </c>
      <c r="G69" s="92">
        <f>137932/1000</f>
        <v>137.932</v>
      </c>
      <c r="H69" s="93" t="s">
        <v>85</v>
      </c>
      <c r="I69" s="185" t="s">
        <v>85</v>
      </c>
      <c r="J69" s="186"/>
      <c r="K69" s="95"/>
      <c r="L69" s="18"/>
      <c r="M69" s="16"/>
      <c r="N69" s="16"/>
    </row>
    <row r="70" spans="2:14" ht="33" customHeight="1">
      <c r="B70" s="59" t="s">
        <v>84</v>
      </c>
      <c r="C70" s="96">
        <f>33214/1000</f>
        <v>33.214</v>
      </c>
      <c r="D70" s="97">
        <f>5733784/1000</f>
        <v>5733.784</v>
      </c>
      <c r="E70" s="97">
        <f>5810493/1000</f>
        <v>5810.493</v>
      </c>
      <c r="F70" s="98">
        <f>1155774/1000</f>
        <v>1155.774</v>
      </c>
      <c r="G70" s="76" t="s">
        <v>88</v>
      </c>
      <c r="H70" s="61" t="s">
        <v>85</v>
      </c>
      <c r="I70" s="135" t="s">
        <v>85</v>
      </c>
      <c r="J70" s="152"/>
      <c r="K70" s="99"/>
      <c r="L70" s="18"/>
      <c r="M70" s="16"/>
      <c r="N70" s="16"/>
    </row>
    <row r="71" spans="2:14" ht="15" customHeight="1">
      <c r="B71" s="30" t="s">
        <v>91</v>
      </c>
      <c r="J71" s="16"/>
      <c r="K71" s="16"/>
      <c r="L71" s="16"/>
      <c r="M71" s="16"/>
      <c r="N71" s="16"/>
    </row>
    <row r="72" spans="2:14" s="128" customFormat="1" ht="15" customHeight="1">
      <c r="B72" s="129" t="s">
        <v>92</v>
      </c>
      <c r="J72" s="130"/>
      <c r="K72" s="130"/>
      <c r="L72" s="130"/>
      <c r="M72" s="130"/>
      <c r="N72" s="130"/>
    </row>
    <row r="73" ht="26.25" customHeight="1"/>
    <row r="74" spans="2:14" ht="18.75">
      <c r="B74" s="11" t="s">
        <v>38</v>
      </c>
      <c r="J74" s="16"/>
      <c r="K74" s="16"/>
      <c r="L74" s="16"/>
      <c r="M74" s="16"/>
      <c r="N74" s="16"/>
    </row>
    <row r="75" ht="7.5" customHeight="1"/>
    <row r="76" spans="2:9" ht="37.5" customHeight="1">
      <c r="B76" s="155" t="s">
        <v>24</v>
      </c>
      <c r="C76" s="155"/>
      <c r="D76" s="146">
        <v>0.40885</v>
      </c>
      <c r="E76" s="146"/>
      <c r="F76" s="155" t="s">
        <v>25</v>
      </c>
      <c r="G76" s="155"/>
      <c r="H76" s="166">
        <v>1</v>
      </c>
      <c r="I76" s="166"/>
    </row>
    <row r="77" spans="2:9" ht="37.5" customHeight="1">
      <c r="B77" s="155" t="s">
        <v>26</v>
      </c>
      <c r="C77" s="155"/>
      <c r="D77" s="146">
        <v>12.6</v>
      </c>
      <c r="E77" s="146"/>
      <c r="F77" s="155" t="s">
        <v>27</v>
      </c>
      <c r="G77" s="155"/>
      <c r="H77" s="146">
        <v>92.5</v>
      </c>
      <c r="I77" s="146"/>
    </row>
    <row r="78" spans="2:14" ht="21" customHeight="1">
      <c r="B78" s="30" t="s">
        <v>28</v>
      </c>
      <c r="J78" s="16"/>
      <c r="K78" s="16"/>
      <c r="L78" s="16"/>
      <c r="M78" s="16"/>
      <c r="N78" s="16"/>
    </row>
  </sheetData>
  <mergeCells count="68">
    <mergeCell ref="M27:M28"/>
    <mergeCell ref="B27:B28"/>
    <mergeCell ref="I69:J69"/>
    <mergeCell ref="I64:J64"/>
    <mergeCell ref="I60:J60"/>
    <mergeCell ref="I61:J61"/>
    <mergeCell ref="I62:J62"/>
    <mergeCell ref="I55:J55"/>
    <mergeCell ref="I63:J63"/>
    <mergeCell ref="I56:J56"/>
    <mergeCell ref="I16:J16"/>
    <mergeCell ref="B23:B24"/>
    <mergeCell ref="M23:M24"/>
    <mergeCell ref="B25:B26"/>
    <mergeCell ref="M25:M26"/>
    <mergeCell ref="I57:J57"/>
    <mergeCell ref="I58:J58"/>
    <mergeCell ref="I59:J59"/>
    <mergeCell ref="I51:J51"/>
    <mergeCell ref="I52:J52"/>
    <mergeCell ref="I53:J53"/>
    <mergeCell ref="I54:J54"/>
    <mergeCell ref="I47:J47"/>
    <mergeCell ref="I48:J48"/>
    <mergeCell ref="I49:J49"/>
    <mergeCell ref="I50:J50"/>
    <mergeCell ref="C1:J1"/>
    <mergeCell ref="I22:J22"/>
    <mergeCell ref="I29:J29"/>
    <mergeCell ref="I30:J30"/>
    <mergeCell ref="I12:J12"/>
    <mergeCell ref="I17:J17"/>
    <mergeCell ref="I3:J3"/>
    <mergeCell ref="I13:J13"/>
    <mergeCell ref="I14:J14"/>
    <mergeCell ref="I15:J15"/>
    <mergeCell ref="I4:J4"/>
    <mergeCell ref="I18:J18"/>
    <mergeCell ref="I8:J8"/>
    <mergeCell ref="B76:C76"/>
    <mergeCell ref="I9:J9"/>
    <mergeCell ref="I10:J10"/>
    <mergeCell ref="I11:J11"/>
    <mergeCell ref="H76:I76"/>
    <mergeCell ref="I31:J31"/>
    <mergeCell ref="I32:J32"/>
    <mergeCell ref="B77:C77"/>
    <mergeCell ref="F76:G76"/>
    <mergeCell ref="F77:G77"/>
    <mergeCell ref="D76:E76"/>
    <mergeCell ref="D77:E77"/>
    <mergeCell ref="H77:I77"/>
    <mergeCell ref="I39:J39"/>
    <mergeCell ref="I40:J40"/>
    <mergeCell ref="I65:J65"/>
    <mergeCell ref="I66:J66"/>
    <mergeCell ref="I70:J70"/>
    <mergeCell ref="I67:J67"/>
    <mergeCell ref="I68:J68"/>
    <mergeCell ref="I44:J44"/>
    <mergeCell ref="I45:J45"/>
    <mergeCell ref="I46:J46"/>
    <mergeCell ref="I24:J24"/>
    <mergeCell ref="I26:J26"/>
    <mergeCell ref="I28:J28"/>
    <mergeCell ref="I41:J41"/>
    <mergeCell ref="I42:J42"/>
    <mergeCell ref="I43:J43"/>
  </mergeCells>
  <printOptions/>
  <pageMargins left="0.7480314960629921" right="0" top="0.5905511811023623" bottom="0.3937007874015748" header="0.31496062992125984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2008-03-03T05:20:35Z</cp:lastPrinted>
  <dcterms:created xsi:type="dcterms:W3CDTF">2008-02-15T06:55:04Z</dcterms:created>
  <dcterms:modified xsi:type="dcterms:W3CDTF">2008-03-05T07:24:38Z</dcterms:modified>
  <cp:category/>
  <cp:version/>
  <cp:contentType/>
  <cp:contentStatus/>
</cp:coreProperties>
</file>