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461" windowWidth="15480" windowHeight="10950" activeTab="0"/>
  </bookViews>
  <sheets>
    <sheet name="様式" sheetId="1" r:id="rId1"/>
  </sheets>
  <definedNames>
    <definedName name="_xlnm.Print_Area" localSheetId="0">'様式'!$A$1:$L$108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7" authorId="0">
      <text>
        <r>
          <rPr>
            <b/>
            <sz val="9"/>
            <rFont val="ＭＳ Ｐゴシック"/>
            <family val="3"/>
          </rPr>
          <t>法適：22表01行12列－01行25列</t>
        </r>
      </text>
    </comment>
    <comment ref="G27" authorId="0">
      <text>
        <r>
          <rPr>
            <b/>
            <sz val="9"/>
            <rFont val="ＭＳ Ｐゴシック"/>
            <family val="3"/>
          </rPr>
          <t>20表02行03列＋23表02行29列</t>
        </r>
      </text>
    </comment>
    <comment ref="E35" authorId="0">
      <text>
        <r>
          <rPr>
            <b/>
            <sz val="9"/>
            <rFont val="ＭＳ Ｐゴシック"/>
            <family val="3"/>
          </rPr>
          <t>26表02行08列もしくは9列</t>
        </r>
      </text>
    </comment>
  </commentList>
</comments>
</file>

<file path=xl/sharedStrings.xml><?xml version="1.0" encoding="utf-8"?>
<sst xmlns="http://schemas.openxmlformats.org/spreadsheetml/2006/main" count="164" uniqueCount="132">
  <si>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</si>
  <si>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</si>
  <si>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</si>
  <si>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</si>
  <si>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</si>
  <si>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</si>
  <si>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</si>
  <si>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</si>
  <si>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</si>
  <si>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</si>
  <si>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</si>
  <si>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</si>
  <si>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</si>
  <si>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</si>
  <si>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</si>
  <si>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</si>
  <si>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</si>
  <si>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</si>
  <si>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</si>
  <si>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</si>
  <si>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</si>
  <si>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</si>
  <si>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</si>
  <si>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</si>
  <si>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</si>
  <si>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</si>
  <si>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</si>
  <si>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</si>
  <si>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</si>
  <si>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</si>
  <si>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</si>
  <si>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</si>
  <si>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</si>
  <si>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</si>
  <si>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</si>
  <si>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</si>
  <si>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</si>
  <si>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</si>
  <si>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</si>
  <si>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</si>
  <si>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</si>
  <si>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</si>
  <si>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</si>
  <si>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</si>
  <si>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</si>
  <si>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</si>
  <si>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</si>
  <si>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</si>
  <si>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</si>
  <si>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</si>
  <si>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</si>
  <si>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</si>
  <si>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</si>
  <si>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</si>
  <si>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兵庫県</t>
  </si>
  <si>
    <t>県行造林事業特別会計</t>
  </si>
  <si>
    <t>公共事業用地先行取得事業特別会計</t>
  </si>
  <si>
    <t>県営住宅事業特別会計</t>
  </si>
  <si>
    <t>勤労者総合福祉施設整備事業特別会計</t>
  </si>
  <si>
    <t>庁用自動車管理特別会計</t>
  </si>
  <si>
    <t>公債費特別会計</t>
  </si>
  <si>
    <t>自治振興助成事業特別会計</t>
  </si>
  <si>
    <t>母子寡婦福祉資金特別会計</t>
  </si>
  <si>
    <t>農林水産資金特別会計</t>
  </si>
  <si>
    <t>産業開発資金特別会計</t>
  </si>
  <si>
    <t>基金管理特別会計</t>
  </si>
  <si>
    <t>病院事業会計</t>
  </si>
  <si>
    <t>水道用水供給事業会計</t>
  </si>
  <si>
    <t>工業用水道事業会計</t>
  </si>
  <si>
    <t>電気事業会計</t>
  </si>
  <si>
    <t>水源開発事業会計</t>
  </si>
  <si>
    <t>地域整備事業会計</t>
  </si>
  <si>
    <t>企業資産運用事業会計</t>
  </si>
  <si>
    <t>港湾整備事業特別会計</t>
  </si>
  <si>
    <t>（歳入）</t>
  </si>
  <si>
    <t>（形式収支）</t>
  </si>
  <si>
    <t>流域下水道事業特別会計</t>
  </si>
  <si>
    <t>兵庫県競馬組合</t>
  </si>
  <si>
    <t>-</t>
  </si>
  <si>
    <t>兵庫県青果物価格安定資金協会</t>
  </si>
  <si>
    <t>兵庫みどり公社</t>
  </si>
  <si>
    <t>兵庫県農業会館</t>
  </si>
  <si>
    <t>兵庫県私学振興協会</t>
  </si>
  <si>
    <t>兵庫県園芸・公園協会</t>
  </si>
  <si>
    <t>兵庫県まちづくり技術センター</t>
  </si>
  <si>
    <t>兵庫県住宅建築総合センター</t>
  </si>
  <si>
    <t>兵庫県営林緑化労働基金</t>
  </si>
  <si>
    <t>ひょうご産業活性化センター</t>
  </si>
  <si>
    <t>新産業創造研究機構</t>
  </si>
  <si>
    <t>ひょうご科学技術協会</t>
  </si>
  <si>
    <t>兵庫県科学技術振興財団</t>
  </si>
  <si>
    <t>但馬地域地場産業振興センター</t>
  </si>
  <si>
    <t>兵庫県健康財団</t>
  </si>
  <si>
    <t>兵庫県勤労福祉協会</t>
  </si>
  <si>
    <t>兵庫県雇用開発協会</t>
  </si>
  <si>
    <t>兵庫県下水道公社</t>
  </si>
  <si>
    <t>兵庫県環境ｸﾘｴｲﾄｾﾝﾀｰ</t>
  </si>
  <si>
    <t>兵庫県高齢者生きがい創造協会</t>
  </si>
  <si>
    <t>兵庫県警察育英会</t>
  </si>
  <si>
    <t>兵庫県体育協会</t>
  </si>
  <si>
    <t>兵庫県青少年本部</t>
  </si>
  <si>
    <t>野外活動協会</t>
  </si>
  <si>
    <t>兵庫県芸術文化協会</t>
  </si>
  <si>
    <t>ひょうご環境創造協会</t>
  </si>
  <si>
    <t>兵庫県国際交流協会</t>
  </si>
  <si>
    <t>兵庫県自治協会</t>
  </si>
  <si>
    <t>兵庫県人権啓発協会</t>
  </si>
  <si>
    <t>淡路花博記念事業協会</t>
  </si>
  <si>
    <t>阪神・淡路大震災復興基金</t>
  </si>
  <si>
    <t>ひょうご震災記念21世紀研究機構</t>
  </si>
  <si>
    <t>暴力団追放兵庫県民センター</t>
  </si>
  <si>
    <t>新西宮ヨットハーバー</t>
  </si>
  <si>
    <t>夢舞台</t>
  </si>
  <si>
    <t>おのころ愛ランド</t>
  </si>
  <si>
    <t>阪神友愛食品</t>
  </si>
  <si>
    <t>播磨三洋工業</t>
  </si>
  <si>
    <t>ひょうご埠頭</t>
  </si>
  <si>
    <t>但馬空港ターミナル</t>
  </si>
  <si>
    <t>神戸国際会館</t>
  </si>
  <si>
    <t>兵庫県住宅供給公社</t>
  </si>
  <si>
    <t>兵庫県道路公社</t>
  </si>
  <si>
    <t>兵庫県土地開発公社</t>
  </si>
  <si>
    <t>兵庫県住宅再建共済基金</t>
  </si>
  <si>
    <t>ひょうご情報教育機構</t>
  </si>
  <si>
    <t>神戸ファッション協会</t>
  </si>
  <si>
    <t>西播地域地場産業振興センター</t>
  </si>
  <si>
    <t>北条鉄道</t>
  </si>
  <si>
    <t>大阪湾ベイエリア開発推進機構</t>
  </si>
  <si>
    <t>北近畿タンゴ鉄道</t>
  </si>
  <si>
    <t>－</t>
  </si>
  <si>
    <t>－</t>
  </si>
  <si>
    <t>滋賀県造林公社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</si>
</sst>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);[Red]\(#,##0\)"/>
    <numFmt numFmtId="178" formatCode="#,##0;&quot;▲ &quot;#,##0"/>
    <numFmt numFmtId="179" formatCode="#,##0_ "/>
    <numFmt numFmtId="180" formatCode="0;&quot;▲ 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hair"/>
      <right>
        <color indexed="63"/>
      </right>
      <top>
        <color indexed="63"/>
      </top>
      <bottom style="thin">
        <color indexed="8"/>
      </bottom>
      <diagonal style="hair"/>
    </border>
    <border diagonalUp="1">
      <left style="hair"/>
      <right style="hair"/>
      <top>
        <color indexed="63"/>
      </top>
      <bottom style="thin">
        <color indexed="8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thin">
        <color indexed="8"/>
      </bottom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 diagonalUp="1">
      <left style="hair"/>
      <right style="hair"/>
      <top style="double"/>
      <bottom style="thin">
        <color indexed="8"/>
      </bottom>
      <diagonal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0" fillId="33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33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7" xfId="0" applyNumberFormat="1" applyBorder="1" applyAlignment="1">
      <alignment horizontal="left" vertical="center" shrinkToFit="1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6" fontId="10" fillId="0" borderId="36" xfId="0" applyNumberFormat="1" applyFont="1" applyBorder="1" applyAlignment="1">
      <alignment horizontal="left" vertical="center"/>
    </xf>
    <xf numFmtId="176" fontId="10" fillId="0" borderId="37" xfId="0" applyNumberFormat="1" applyFont="1" applyBorder="1" applyAlignment="1">
      <alignment horizontal="left" vertical="center"/>
    </xf>
    <xf numFmtId="177" fontId="10" fillId="0" borderId="29" xfId="0" applyNumberFormat="1" applyFont="1" applyBorder="1" applyAlignment="1">
      <alignment horizontal="left" vertical="center"/>
    </xf>
    <xf numFmtId="176" fontId="0" fillId="0" borderId="38" xfId="0" applyNumberFormat="1" applyFont="1" applyFill="1" applyBorder="1" applyAlignment="1">
      <alignment horizontal="right" vertical="center" wrapText="1"/>
    </xf>
    <xf numFmtId="176" fontId="0" fillId="0" borderId="39" xfId="0" applyNumberFormat="1" applyFont="1" applyFill="1" applyBorder="1" applyAlignment="1">
      <alignment horizontal="right" vertical="center" wrapText="1"/>
    </xf>
    <xf numFmtId="177" fontId="0" fillId="0" borderId="34" xfId="0" applyNumberFormat="1" applyFont="1" applyFill="1" applyBorder="1" applyAlignment="1">
      <alignment horizontal="right" vertical="center" wrapText="1"/>
    </xf>
    <xf numFmtId="176" fontId="0" fillId="0" borderId="40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right" vertical="center"/>
    </xf>
    <xf numFmtId="178" fontId="2" fillId="0" borderId="48" xfId="0" applyNumberFormat="1" applyFont="1" applyBorder="1" applyAlignment="1">
      <alignment horizontal="right"/>
    </xf>
    <xf numFmtId="178" fontId="0" fillId="0" borderId="4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179" fontId="2" fillId="0" borderId="52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44" xfId="0" applyNumberFormat="1" applyFont="1" applyBorder="1" applyAlignment="1">
      <alignment horizontal="center" vertical="center"/>
    </xf>
    <xf numFmtId="177" fontId="0" fillId="0" borderId="56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7" fontId="0" fillId="0" borderId="58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8" fontId="0" fillId="0" borderId="59" xfId="0" applyNumberFormat="1" applyFill="1" applyBorder="1" applyAlignment="1">
      <alignment horizontal="right" vertical="center"/>
    </xf>
    <xf numFmtId="176" fontId="10" fillId="0" borderId="60" xfId="0" applyNumberFormat="1" applyFont="1" applyBorder="1" applyAlignment="1">
      <alignment horizontal="left" vertical="center"/>
    </xf>
    <xf numFmtId="176" fontId="10" fillId="0" borderId="39" xfId="0" applyNumberFormat="1" applyFont="1" applyBorder="1" applyAlignment="1">
      <alignment horizontal="left" vertical="center"/>
    </xf>
    <xf numFmtId="177" fontId="10" fillId="0" borderId="34" xfId="0" applyNumberFormat="1" applyFont="1" applyBorder="1" applyAlignment="1">
      <alignment horizontal="left" vertical="center"/>
    </xf>
    <xf numFmtId="176" fontId="0" fillId="0" borderId="35" xfId="0" applyNumberFormat="1" applyFill="1" applyBorder="1" applyAlignment="1">
      <alignment horizontal="right" vertical="center"/>
    </xf>
    <xf numFmtId="0" fontId="9" fillId="0" borderId="27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8" fontId="0" fillId="0" borderId="35" xfId="0" applyNumberFormat="1" applyBorder="1" applyAlignment="1">
      <alignment horizontal="right" vertical="center"/>
    </xf>
    <xf numFmtId="178" fontId="0" fillId="0" borderId="49" xfId="0" applyNumberFormat="1" applyBorder="1" applyAlignment="1">
      <alignment horizontal="right" vertical="center"/>
    </xf>
    <xf numFmtId="0" fontId="2" fillId="1" borderId="7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82" xfId="0" applyFont="1" applyBorder="1" applyAlignment="1">
      <alignment/>
    </xf>
    <xf numFmtId="179" fontId="2" fillId="0" borderId="33" xfId="0" applyNumberFormat="1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left" vertical="center" wrapText="1"/>
    </xf>
    <xf numFmtId="0" fontId="0" fillId="0" borderId="61" xfId="0" applyBorder="1" applyAlignment="1">
      <alignment wrapText="1"/>
    </xf>
    <xf numFmtId="176" fontId="0" fillId="0" borderId="37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87" xfId="0" applyNumberFormat="1" applyFill="1" applyBorder="1" applyAlignment="1">
      <alignment horizontal="right" vertical="center"/>
    </xf>
    <xf numFmtId="176" fontId="0" fillId="0" borderId="88" xfId="0" applyNumberFormat="1" applyFill="1" applyBorder="1" applyAlignment="1">
      <alignment horizontal="right" vertical="center"/>
    </xf>
    <xf numFmtId="176" fontId="0" fillId="0" borderId="89" xfId="0" applyNumberFormat="1" applyFill="1" applyBorder="1" applyAlignment="1">
      <alignment horizontal="left" vertical="center" wrapText="1"/>
    </xf>
    <xf numFmtId="0" fontId="0" fillId="0" borderId="90" xfId="0" applyBorder="1" applyAlignment="1">
      <alignment wrapText="1"/>
    </xf>
    <xf numFmtId="176" fontId="0" fillId="0" borderId="39" xfId="0" applyNumberFormat="1" applyFont="1" applyFill="1" applyBorder="1" applyAlignment="1">
      <alignment horizontal="right" vertical="center" wrapText="1"/>
    </xf>
    <xf numFmtId="176" fontId="0" fillId="0" borderId="91" xfId="0" applyNumberFormat="1" applyFont="1" applyFill="1" applyBorder="1" applyAlignment="1">
      <alignment horizontal="right" vertical="center" wrapText="1"/>
    </xf>
    <xf numFmtId="176" fontId="0" fillId="0" borderId="92" xfId="0" applyNumberFormat="1" applyFont="1" applyFill="1" applyBorder="1" applyAlignment="1">
      <alignment horizontal="right" vertical="center" wrapText="1"/>
    </xf>
    <xf numFmtId="176" fontId="0" fillId="0" borderId="93" xfId="0" applyNumberFormat="1" applyFont="1" applyFill="1" applyBorder="1" applyAlignment="1">
      <alignment horizontal="right" vertical="center" wrapText="1"/>
    </xf>
    <xf numFmtId="0" fontId="0" fillId="0" borderId="49" xfId="0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94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95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view="pageBreakPreview" zoomScale="85" zoomScaleSheetLayoutView="85" zoomScalePageLayoutView="0" workbookViewId="0" topLeftCell="A1">
      <selection activeCell="D9" sqref="D9"/>
    </sheetView>
  </sheetViews>
  <sheetFormatPr defaultColWidth="9.00390625" defaultRowHeight="13.5"/>
  <cols>
    <col min="1" max="1" width="15.875" style="1" customWidth="1"/>
    <col min="2" max="3" width="11.25390625" style="1" customWidth="1"/>
    <col min="4" max="5" width="11.875" style="1" customWidth="1"/>
    <col min="6" max="6" width="12.75390625" style="1" customWidth="1"/>
    <col min="7" max="7" width="13.75390625" style="1" customWidth="1"/>
    <col min="8" max="8" width="8.125" style="1" customWidth="1"/>
    <col min="9" max="9" width="5.00390625" style="1" customWidth="1"/>
    <col min="10" max="12" width="13.125" style="1" customWidth="1"/>
    <col min="13" max="15" width="11.75390625" style="1" customWidth="1"/>
    <col min="16" max="16384" width="9.00390625" style="1" customWidth="1"/>
  </cols>
  <sheetData>
    <row r="1" ht="51" customHeight="1"/>
    <row r="2" spans="2:9" ht="26.25">
      <c r="B2" s="119" t="s">
        <v>0</v>
      </c>
      <c r="C2" s="119"/>
      <c r="D2" s="119"/>
      <c r="E2" s="119"/>
      <c r="F2" s="119"/>
      <c r="G2" s="119"/>
      <c r="H2" s="119"/>
      <c r="I2" s="119"/>
    </row>
    <row r="3" spans="8:9" ht="26.25" customHeight="1">
      <c r="H3" s="2"/>
      <c r="I3" s="2" t="s">
        <v>1</v>
      </c>
    </row>
    <row r="4" spans="1:9" ht="45" customHeight="1" thickBot="1">
      <c r="A4" s="3" t="s">
        <v>2</v>
      </c>
      <c r="B4" s="4" t="s">
        <v>54</v>
      </c>
      <c r="C4" s="5"/>
      <c r="D4" s="5"/>
      <c r="F4" s="12" t="s">
        <v>3</v>
      </c>
      <c r="G4" s="13" t="s">
        <v>4</v>
      </c>
      <c r="H4" s="114" t="s">
        <v>5</v>
      </c>
      <c r="I4" s="124"/>
    </row>
    <row r="5" spans="6:10" ht="26.25" customHeight="1" thickTop="1">
      <c r="F5" s="75">
        <v>946126</v>
      </c>
      <c r="G5" s="76">
        <v>51166</v>
      </c>
      <c r="H5" s="125">
        <f>F5+G5</f>
        <v>997292</v>
      </c>
      <c r="I5" s="126"/>
      <c r="J5" s="15"/>
    </row>
    <row r="6" spans="7:8" ht="27.75" customHeight="1">
      <c r="G6" s="6"/>
      <c r="H6" s="6"/>
    </row>
    <row r="7" spans="1:13" ht="20.25">
      <c r="A7" s="7" t="s">
        <v>6</v>
      </c>
      <c r="I7" s="16"/>
      <c r="J7" s="16" t="s">
        <v>46</v>
      </c>
      <c r="K7" s="16"/>
      <c r="L7" s="16"/>
      <c r="M7" s="16"/>
    </row>
    <row r="8" spans="1:13" ht="7.5" customHeight="1">
      <c r="A8" s="8"/>
      <c r="H8" s="16"/>
      <c r="I8" s="16"/>
      <c r="J8" s="16"/>
      <c r="K8" s="16"/>
      <c r="L8" s="16"/>
      <c r="M8" s="16"/>
    </row>
    <row r="9" spans="1:13" s="10" customFormat="1" ht="29.25" customHeight="1" thickBot="1">
      <c r="A9" s="9"/>
      <c r="B9" s="17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09" t="s">
        <v>13</v>
      </c>
      <c r="I9" s="110"/>
      <c r="J9" s="18"/>
      <c r="K9" s="16"/>
      <c r="L9" s="16"/>
      <c r="M9" s="16"/>
    </row>
    <row r="10" spans="1:13" ht="24.75" customHeight="1" thickTop="1">
      <c r="A10" s="36" t="s">
        <v>14</v>
      </c>
      <c r="B10" s="37">
        <v>2039783</v>
      </c>
      <c r="C10" s="38">
        <v>2035845</v>
      </c>
      <c r="D10" s="38">
        <f>B10-C10</f>
        <v>3938</v>
      </c>
      <c r="E10" s="38">
        <v>79</v>
      </c>
      <c r="F10" s="38">
        <v>3272100</v>
      </c>
      <c r="G10" s="38">
        <v>241227</v>
      </c>
      <c r="H10" s="111"/>
      <c r="I10" s="112"/>
      <c r="J10" s="18"/>
      <c r="K10" s="16"/>
      <c r="L10" s="16"/>
      <c r="M10" s="16"/>
    </row>
    <row r="11" spans="1:13" ht="24.75" customHeight="1">
      <c r="A11" s="36" t="s">
        <v>55</v>
      </c>
      <c r="B11" s="37">
        <v>26</v>
      </c>
      <c r="C11" s="38">
        <v>26</v>
      </c>
      <c r="D11" s="38">
        <f aca="true" t="shared" si="0" ref="D11:D21">B11-C11</f>
        <v>0</v>
      </c>
      <c r="E11" s="38">
        <v>0</v>
      </c>
      <c r="F11" s="38">
        <v>0</v>
      </c>
      <c r="G11" s="38">
        <v>25</v>
      </c>
      <c r="H11" s="39"/>
      <c r="I11" s="40"/>
      <c r="J11" s="19"/>
      <c r="K11" s="16"/>
      <c r="L11" s="16"/>
      <c r="M11" s="16"/>
    </row>
    <row r="12" spans="1:13" ht="24.75" customHeight="1">
      <c r="A12" s="36" t="s">
        <v>56</v>
      </c>
      <c r="B12" s="37">
        <v>31729</v>
      </c>
      <c r="C12" s="38">
        <v>31729</v>
      </c>
      <c r="D12" s="38">
        <f t="shared" si="0"/>
        <v>0</v>
      </c>
      <c r="E12" s="38">
        <v>0</v>
      </c>
      <c r="F12" s="38">
        <v>170407</v>
      </c>
      <c r="G12" s="38">
        <v>12491</v>
      </c>
      <c r="H12" s="39"/>
      <c r="I12" s="40"/>
      <c r="J12" s="19"/>
      <c r="K12" s="16"/>
      <c r="L12" s="16"/>
      <c r="M12" s="16"/>
    </row>
    <row r="13" spans="1:13" ht="24.75" customHeight="1">
      <c r="A13" s="36" t="s">
        <v>57</v>
      </c>
      <c r="B13" s="37">
        <v>35063</v>
      </c>
      <c r="C13" s="38">
        <v>34964</v>
      </c>
      <c r="D13" s="38">
        <f t="shared" si="0"/>
        <v>99</v>
      </c>
      <c r="E13" s="38">
        <v>98</v>
      </c>
      <c r="F13" s="38">
        <v>190158</v>
      </c>
      <c r="G13" s="38">
        <v>6677</v>
      </c>
      <c r="H13" s="39"/>
      <c r="I13" s="40"/>
      <c r="J13" s="19"/>
      <c r="K13" s="16"/>
      <c r="L13" s="16"/>
      <c r="M13" s="16"/>
    </row>
    <row r="14" spans="1:13" ht="24.75" customHeight="1">
      <c r="A14" s="36" t="s">
        <v>58</v>
      </c>
      <c r="B14" s="37">
        <v>4990</v>
      </c>
      <c r="C14" s="38">
        <v>4990</v>
      </c>
      <c r="D14" s="38">
        <f t="shared" si="0"/>
        <v>0</v>
      </c>
      <c r="E14" s="38">
        <v>0</v>
      </c>
      <c r="F14" s="38">
        <v>0</v>
      </c>
      <c r="G14" s="38">
        <v>4871</v>
      </c>
      <c r="H14" s="39"/>
      <c r="I14" s="40"/>
      <c r="J14" s="19"/>
      <c r="K14" s="16"/>
      <c r="L14" s="16"/>
      <c r="M14" s="16"/>
    </row>
    <row r="15" spans="1:13" ht="24.75" customHeight="1">
      <c r="A15" s="36" t="s">
        <v>59</v>
      </c>
      <c r="B15" s="37">
        <v>340</v>
      </c>
      <c r="C15" s="38">
        <v>337</v>
      </c>
      <c r="D15" s="38">
        <f t="shared" si="0"/>
        <v>3</v>
      </c>
      <c r="E15" s="38">
        <v>3</v>
      </c>
      <c r="F15" s="38">
        <v>0</v>
      </c>
      <c r="G15" s="38">
        <v>124</v>
      </c>
      <c r="H15" s="39"/>
      <c r="I15" s="40"/>
      <c r="J15" s="19"/>
      <c r="K15" s="16"/>
      <c r="L15" s="16"/>
      <c r="M15" s="16"/>
    </row>
    <row r="16" spans="1:13" ht="24.75" customHeight="1">
      <c r="A16" s="36" t="s">
        <v>60</v>
      </c>
      <c r="B16" s="37">
        <v>512401</v>
      </c>
      <c r="C16" s="38">
        <v>512401</v>
      </c>
      <c r="D16" s="38">
        <f t="shared" si="0"/>
        <v>0</v>
      </c>
      <c r="E16" s="38">
        <v>0</v>
      </c>
      <c r="F16" s="38">
        <v>0</v>
      </c>
      <c r="G16" s="38">
        <v>271143</v>
      </c>
      <c r="H16" s="39"/>
      <c r="I16" s="40"/>
      <c r="J16" s="19"/>
      <c r="K16" s="16"/>
      <c r="L16" s="16"/>
      <c r="M16" s="16"/>
    </row>
    <row r="17" spans="1:13" ht="24.75" customHeight="1">
      <c r="A17" s="36" t="s">
        <v>61</v>
      </c>
      <c r="B17" s="37">
        <v>2069</v>
      </c>
      <c r="C17" s="38">
        <v>2055</v>
      </c>
      <c r="D17" s="38">
        <f t="shared" si="0"/>
        <v>14</v>
      </c>
      <c r="E17" s="38">
        <v>14</v>
      </c>
      <c r="F17" s="38">
        <v>0</v>
      </c>
      <c r="G17" s="38">
        <v>809</v>
      </c>
      <c r="H17" s="39"/>
      <c r="I17" s="40"/>
      <c r="J17" s="19"/>
      <c r="K17" s="16"/>
      <c r="L17" s="16"/>
      <c r="M17" s="16"/>
    </row>
    <row r="18" spans="1:13" ht="24.75" customHeight="1">
      <c r="A18" s="36" t="s">
        <v>62</v>
      </c>
      <c r="B18" s="37">
        <v>801</v>
      </c>
      <c r="C18" s="38">
        <v>283</v>
      </c>
      <c r="D18" s="38">
        <f t="shared" si="0"/>
        <v>518</v>
      </c>
      <c r="E18" s="38">
        <v>518</v>
      </c>
      <c r="F18" s="38">
        <v>2247</v>
      </c>
      <c r="G18" s="38">
        <v>17</v>
      </c>
      <c r="H18" s="39"/>
      <c r="I18" s="40"/>
      <c r="J18" s="19"/>
      <c r="K18" s="16"/>
      <c r="L18" s="16"/>
      <c r="M18" s="16"/>
    </row>
    <row r="19" spans="1:13" ht="24.75" customHeight="1">
      <c r="A19" s="36" t="s">
        <v>63</v>
      </c>
      <c r="B19" s="37">
        <v>15030</v>
      </c>
      <c r="C19" s="38">
        <v>12765</v>
      </c>
      <c r="D19" s="38">
        <f t="shared" si="0"/>
        <v>2265</v>
      </c>
      <c r="E19" s="38">
        <v>2265</v>
      </c>
      <c r="F19" s="38">
        <v>326</v>
      </c>
      <c r="G19" s="38">
        <v>274</v>
      </c>
      <c r="H19" s="39"/>
      <c r="I19" s="40"/>
      <c r="J19" s="19"/>
      <c r="K19" s="16"/>
      <c r="L19" s="16"/>
      <c r="M19" s="16"/>
    </row>
    <row r="20" spans="1:13" ht="24.75" customHeight="1">
      <c r="A20" s="36" t="s">
        <v>64</v>
      </c>
      <c r="B20" s="37">
        <v>428804</v>
      </c>
      <c r="C20" s="38">
        <v>426316</v>
      </c>
      <c r="D20" s="38">
        <f t="shared" si="0"/>
        <v>2488</v>
      </c>
      <c r="E20" s="38">
        <v>2488</v>
      </c>
      <c r="F20" s="38">
        <v>51187</v>
      </c>
      <c r="G20" s="38">
        <v>210637</v>
      </c>
      <c r="H20" s="39"/>
      <c r="I20" s="40"/>
      <c r="J20" s="19"/>
      <c r="K20" s="16"/>
      <c r="L20" s="16"/>
      <c r="M20" s="16"/>
    </row>
    <row r="21" spans="1:13" ht="24.75" customHeight="1" thickBot="1">
      <c r="A21" s="36" t="s">
        <v>65</v>
      </c>
      <c r="B21" s="37">
        <v>194699</v>
      </c>
      <c r="C21" s="38">
        <v>194699</v>
      </c>
      <c r="D21" s="38">
        <f t="shared" si="0"/>
        <v>0</v>
      </c>
      <c r="E21" s="38">
        <v>0</v>
      </c>
      <c r="F21" s="38">
        <v>0</v>
      </c>
      <c r="G21" s="38">
        <v>0</v>
      </c>
      <c r="H21" s="41"/>
      <c r="I21" s="42"/>
      <c r="J21" s="18"/>
      <c r="K21" s="16"/>
      <c r="L21" s="16"/>
      <c r="M21" s="16"/>
    </row>
    <row r="22" spans="1:13" ht="24.75" customHeight="1" thickTop="1">
      <c r="A22" s="43" t="s">
        <v>15</v>
      </c>
      <c r="B22" s="44">
        <v>2196850</v>
      </c>
      <c r="C22" s="45">
        <v>2187526</v>
      </c>
      <c r="D22" s="45">
        <v>9324</v>
      </c>
      <c r="E22" s="45">
        <v>180</v>
      </c>
      <c r="F22" s="45">
        <v>3680175</v>
      </c>
      <c r="G22" s="45">
        <v>20000</v>
      </c>
      <c r="H22" s="128"/>
      <c r="I22" s="129"/>
      <c r="J22" s="18"/>
      <c r="K22" s="16"/>
      <c r="L22" s="16"/>
      <c r="M22" s="16"/>
    </row>
    <row r="23" spans="8:13" ht="37.5" customHeight="1">
      <c r="H23" s="16"/>
      <c r="I23" s="16"/>
      <c r="J23" s="16"/>
      <c r="K23" s="16"/>
      <c r="L23" s="16"/>
      <c r="M23" s="16"/>
    </row>
    <row r="24" spans="1:13" ht="20.25">
      <c r="A24" s="7" t="s">
        <v>47</v>
      </c>
      <c r="I24" s="16"/>
      <c r="J24" s="16"/>
      <c r="K24" s="16"/>
      <c r="L24" s="21" t="s">
        <v>48</v>
      </c>
      <c r="M24" s="16"/>
    </row>
    <row r="25" spans="1:13" ht="7.5" customHeight="1">
      <c r="A25" s="8"/>
      <c r="H25" s="16"/>
      <c r="I25" s="16"/>
      <c r="J25" s="16"/>
      <c r="K25" s="16"/>
      <c r="L25" s="16"/>
      <c r="M25" s="16"/>
    </row>
    <row r="26" spans="1:13" s="10" customFormat="1" ht="29.25" customHeight="1" thickBot="1">
      <c r="A26" s="9"/>
      <c r="B26" s="17" t="s">
        <v>16</v>
      </c>
      <c r="C26" s="14" t="s">
        <v>17</v>
      </c>
      <c r="D26" s="22" t="s">
        <v>49</v>
      </c>
      <c r="E26" s="14" t="s">
        <v>18</v>
      </c>
      <c r="F26" s="14" t="s">
        <v>19</v>
      </c>
      <c r="G26" s="14" t="s">
        <v>12</v>
      </c>
      <c r="H26" s="120" t="s">
        <v>50</v>
      </c>
      <c r="I26" s="121"/>
      <c r="J26" s="23" t="s">
        <v>51</v>
      </c>
      <c r="K26" s="23" t="s">
        <v>52</v>
      </c>
      <c r="L26" s="24" t="s">
        <v>13</v>
      </c>
      <c r="M26" s="16"/>
    </row>
    <row r="27" spans="1:13" ht="24.75" customHeight="1" thickTop="1">
      <c r="A27" s="36" t="s">
        <v>66</v>
      </c>
      <c r="B27" s="46">
        <v>80089</v>
      </c>
      <c r="C27" s="47">
        <v>86489</v>
      </c>
      <c r="D27" s="86"/>
      <c r="E27" s="47">
        <v>1101</v>
      </c>
      <c r="F27" s="49">
        <v>67996</v>
      </c>
      <c r="G27" s="49">
        <v>16278</v>
      </c>
      <c r="H27" s="122">
        <v>92.7</v>
      </c>
      <c r="I27" s="123"/>
      <c r="J27" s="25" t="s">
        <v>130</v>
      </c>
      <c r="K27" s="79">
        <v>72397</v>
      </c>
      <c r="L27" s="26" t="s">
        <v>20</v>
      </c>
      <c r="M27" s="16"/>
    </row>
    <row r="28" spans="1:13" ht="24.75" customHeight="1">
      <c r="A28" s="61" t="s">
        <v>67</v>
      </c>
      <c r="B28" s="84">
        <v>15554</v>
      </c>
      <c r="C28" s="85">
        <v>14326</v>
      </c>
      <c r="D28" s="86"/>
      <c r="E28" s="85">
        <v>1228</v>
      </c>
      <c r="F28" s="90">
        <v>106057</v>
      </c>
      <c r="G28" s="90">
        <v>1909</v>
      </c>
      <c r="H28" s="99">
        <v>111.9</v>
      </c>
      <c r="I28" s="100"/>
      <c r="J28" s="63" t="s">
        <v>130</v>
      </c>
      <c r="K28" s="80" t="s">
        <v>130</v>
      </c>
      <c r="L28" s="64" t="s">
        <v>20</v>
      </c>
      <c r="M28" s="16"/>
    </row>
    <row r="29" spans="1:13" ht="24.75" customHeight="1">
      <c r="A29" s="61" t="s">
        <v>68</v>
      </c>
      <c r="B29" s="84">
        <v>3679</v>
      </c>
      <c r="C29" s="85">
        <v>3066</v>
      </c>
      <c r="D29" s="86"/>
      <c r="E29" s="81">
        <v>613</v>
      </c>
      <c r="F29" s="82">
        <v>17337</v>
      </c>
      <c r="G29" s="83">
        <v>0</v>
      </c>
      <c r="H29" s="99">
        <v>142.9</v>
      </c>
      <c r="I29" s="100"/>
      <c r="J29" s="63" t="s">
        <v>130</v>
      </c>
      <c r="K29" s="80" t="s">
        <v>129</v>
      </c>
      <c r="L29" s="64" t="s">
        <v>20</v>
      </c>
      <c r="M29" s="16"/>
    </row>
    <row r="30" spans="1:13" ht="24.75" customHeight="1">
      <c r="A30" s="61" t="s">
        <v>69</v>
      </c>
      <c r="B30" s="84">
        <v>285</v>
      </c>
      <c r="C30" s="85">
        <v>259</v>
      </c>
      <c r="D30" s="86"/>
      <c r="E30" s="81">
        <v>26</v>
      </c>
      <c r="F30" s="82">
        <v>404</v>
      </c>
      <c r="G30" s="83">
        <v>0</v>
      </c>
      <c r="H30" s="99">
        <v>109.9</v>
      </c>
      <c r="I30" s="100"/>
      <c r="J30" s="63" t="s">
        <v>130</v>
      </c>
      <c r="K30" s="80" t="s">
        <v>129</v>
      </c>
      <c r="L30" s="64" t="s">
        <v>20</v>
      </c>
      <c r="M30" s="16"/>
    </row>
    <row r="31" spans="1:13" ht="24.75" customHeight="1">
      <c r="A31" s="61" t="s">
        <v>70</v>
      </c>
      <c r="B31" s="84">
        <v>0</v>
      </c>
      <c r="C31" s="85">
        <v>0</v>
      </c>
      <c r="D31" s="86"/>
      <c r="E31" s="81">
        <v>0</v>
      </c>
      <c r="F31" s="82">
        <v>672</v>
      </c>
      <c r="G31" s="83">
        <v>0</v>
      </c>
      <c r="H31" s="99">
        <v>0</v>
      </c>
      <c r="I31" s="100"/>
      <c r="J31" s="63" t="s">
        <v>130</v>
      </c>
      <c r="K31" s="80" t="s">
        <v>129</v>
      </c>
      <c r="L31" s="64" t="s">
        <v>20</v>
      </c>
      <c r="M31" s="16"/>
    </row>
    <row r="32" spans="1:13" ht="24.75" customHeight="1">
      <c r="A32" s="61" t="s">
        <v>71</v>
      </c>
      <c r="B32" s="84">
        <v>20328</v>
      </c>
      <c r="C32" s="85">
        <v>20072</v>
      </c>
      <c r="D32" s="86"/>
      <c r="E32" s="81">
        <v>256</v>
      </c>
      <c r="F32" s="82">
        <v>117264</v>
      </c>
      <c r="G32" s="83">
        <v>0</v>
      </c>
      <c r="H32" s="99">
        <v>110.1</v>
      </c>
      <c r="I32" s="100"/>
      <c r="J32" s="63" t="s">
        <v>130</v>
      </c>
      <c r="K32" s="80" t="s">
        <v>129</v>
      </c>
      <c r="L32" s="64" t="s">
        <v>20</v>
      </c>
      <c r="M32" s="16"/>
    </row>
    <row r="33" spans="1:13" ht="24.75" customHeight="1">
      <c r="A33" s="62" t="s">
        <v>72</v>
      </c>
      <c r="B33" s="84">
        <v>124</v>
      </c>
      <c r="C33" s="85">
        <v>57</v>
      </c>
      <c r="D33" s="86"/>
      <c r="E33" s="85">
        <v>67</v>
      </c>
      <c r="F33" s="82">
        <v>0</v>
      </c>
      <c r="G33" s="83">
        <v>0</v>
      </c>
      <c r="H33" s="99">
        <v>230.6</v>
      </c>
      <c r="I33" s="100"/>
      <c r="J33" s="63" t="s">
        <v>130</v>
      </c>
      <c r="K33" s="80" t="s">
        <v>129</v>
      </c>
      <c r="L33" s="64" t="s">
        <v>20</v>
      </c>
      <c r="M33" s="16"/>
    </row>
    <row r="34" spans="1:13" ht="21.75" customHeight="1">
      <c r="A34" s="136" t="s">
        <v>73</v>
      </c>
      <c r="B34" s="87" t="s">
        <v>74</v>
      </c>
      <c r="C34" s="88" t="s">
        <v>21</v>
      </c>
      <c r="D34" s="88" t="s">
        <v>75</v>
      </c>
      <c r="E34" s="89" t="s">
        <v>22</v>
      </c>
      <c r="F34" s="138">
        <v>14259</v>
      </c>
      <c r="G34" s="140">
        <v>0</v>
      </c>
      <c r="H34" s="101"/>
      <c r="I34" s="102"/>
      <c r="J34" s="96"/>
      <c r="K34" s="96"/>
      <c r="L34" s="26"/>
      <c r="M34" s="16"/>
    </row>
    <row r="35" spans="1:13" ht="21.75" customHeight="1">
      <c r="A35" s="137"/>
      <c r="B35" s="54">
        <v>3179</v>
      </c>
      <c r="C35" s="55">
        <v>3229</v>
      </c>
      <c r="D35" s="55">
        <v>17</v>
      </c>
      <c r="E35" s="56">
        <v>17</v>
      </c>
      <c r="F35" s="139"/>
      <c r="G35" s="141"/>
      <c r="H35" s="103"/>
      <c r="I35" s="104"/>
      <c r="J35" s="97"/>
      <c r="K35" s="97"/>
      <c r="L35" s="26"/>
      <c r="M35" s="16"/>
    </row>
    <row r="36" spans="1:13" ht="21.75" customHeight="1">
      <c r="A36" s="130" t="s">
        <v>76</v>
      </c>
      <c r="B36" s="51" t="s">
        <v>74</v>
      </c>
      <c r="C36" s="52" t="s">
        <v>21</v>
      </c>
      <c r="D36" s="52" t="s">
        <v>75</v>
      </c>
      <c r="E36" s="53" t="s">
        <v>22</v>
      </c>
      <c r="F36" s="132">
        <v>124019</v>
      </c>
      <c r="G36" s="134">
        <v>8597</v>
      </c>
      <c r="H36" s="105"/>
      <c r="I36" s="106"/>
      <c r="J36" s="96"/>
      <c r="K36" s="96"/>
      <c r="L36" s="65"/>
      <c r="M36" s="16"/>
    </row>
    <row r="37" spans="1:13" ht="21.75" customHeight="1">
      <c r="A37" s="131"/>
      <c r="B37" s="57">
        <v>31719</v>
      </c>
      <c r="C37" s="58">
        <v>31554</v>
      </c>
      <c r="D37" s="58">
        <v>359</v>
      </c>
      <c r="E37" s="59">
        <v>34</v>
      </c>
      <c r="F37" s="133"/>
      <c r="G37" s="135"/>
      <c r="H37" s="107"/>
      <c r="I37" s="108"/>
      <c r="J37" s="98"/>
      <c r="K37" s="98"/>
      <c r="L37" s="60"/>
      <c r="M37" s="16"/>
    </row>
    <row r="38" spans="1:13" ht="13.5" customHeight="1">
      <c r="A38" s="29" t="s">
        <v>23</v>
      </c>
      <c r="B38" s="28"/>
      <c r="C38" s="28"/>
      <c r="D38" s="28"/>
      <c r="E38" s="28"/>
      <c r="F38" s="28"/>
      <c r="G38" s="28"/>
      <c r="H38" s="27"/>
      <c r="I38" s="27"/>
      <c r="J38" s="30"/>
      <c r="K38" s="16"/>
      <c r="L38" s="16"/>
      <c r="M38" s="16"/>
    </row>
    <row r="39" spans="1:13" ht="13.5" customHeight="1">
      <c r="A39" s="29" t="s">
        <v>24</v>
      </c>
      <c r="B39" s="28"/>
      <c r="C39" s="28"/>
      <c r="D39" s="28"/>
      <c r="E39" s="28"/>
      <c r="F39" s="28"/>
      <c r="G39" s="28"/>
      <c r="H39" s="27"/>
      <c r="I39" s="27"/>
      <c r="J39" s="30"/>
      <c r="K39" s="16"/>
      <c r="L39" s="16"/>
      <c r="M39" s="16"/>
    </row>
    <row r="40" spans="1:13" ht="13.5" customHeight="1">
      <c r="A40" s="29" t="s">
        <v>25</v>
      </c>
      <c r="B40" s="28"/>
      <c r="C40" s="28"/>
      <c r="D40" s="28"/>
      <c r="E40" s="28"/>
      <c r="F40" s="28"/>
      <c r="G40" s="28"/>
      <c r="H40" s="27"/>
      <c r="I40" s="27"/>
      <c r="J40" s="30"/>
      <c r="K40" s="16"/>
      <c r="L40" s="16"/>
      <c r="M40" s="16"/>
    </row>
    <row r="41" spans="1:13" ht="13.5" customHeight="1">
      <c r="A41" s="29"/>
      <c r="B41" s="28"/>
      <c r="C41" s="28"/>
      <c r="D41" s="28"/>
      <c r="E41" s="28"/>
      <c r="F41" s="28"/>
      <c r="G41" s="28"/>
      <c r="H41" s="27"/>
      <c r="I41" s="27"/>
      <c r="J41" s="30"/>
      <c r="K41" s="16"/>
      <c r="L41" s="16"/>
      <c r="M41" s="16"/>
    </row>
    <row r="42" spans="1:13" ht="33.75" customHeight="1">
      <c r="A42" s="6"/>
      <c r="B42" s="6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</row>
    <row r="43" spans="1:13" ht="18.75">
      <c r="A43" s="7" t="s">
        <v>26</v>
      </c>
      <c r="I43" s="16"/>
      <c r="J43" s="16"/>
      <c r="K43" s="16"/>
      <c r="L43" s="21" t="s">
        <v>48</v>
      </c>
      <c r="M43" s="16"/>
    </row>
    <row r="44" spans="1:13" ht="7.5" customHeight="1">
      <c r="A44" s="8"/>
      <c r="H44" s="16"/>
      <c r="I44" s="16"/>
      <c r="J44" s="16"/>
      <c r="K44" s="16"/>
      <c r="L44" s="16"/>
      <c r="M44" s="16"/>
    </row>
    <row r="45" spans="1:13" s="10" customFormat="1" ht="29.25" customHeight="1" thickBot="1">
      <c r="A45" s="9"/>
      <c r="B45" s="17" t="s">
        <v>27</v>
      </c>
      <c r="C45" s="14" t="s">
        <v>28</v>
      </c>
      <c r="D45" s="22" t="s">
        <v>49</v>
      </c>
      <c r="E45" s="14" t="s">
        <v>44</v>
      </c>
      <c r="F45" s="14" t="s">
        <v>45</v>
      </c>
      <c r="G45" s="14" t="s">
        <v>53</v>
      </c>
      <c r="H45" s="120" t="s">
        <v>50</v>
      </c>
      <c r="I45" s="121"/>
      <c r="J45" s="23" t="s">
        <v>51</v>
      </c>
      <c r="K45" s="23" t="s">
        <v>52</v>
      </c>
      <c r="L45" s="24" t="s">
        <v>13</v>
      </c>
      <c r="M45" s="16"/>
    </row>
    <row r="46" spans="1:13" ht="38.25" customHeight="1" thickTop="1">
      <c r="A46" s="66" t="s">
        <v>77</v>
      </c>
      <c r="B46" s="31">
        <v>34861</v>
      </c>
      <c r="C46" s="32">
        <v>34578</v>
      </c>
      <c r="D46" s="32">
        <v>283</v>
      </c>
      <c r="E46" s="20">
        <v>340</v>
      </c>
      <c r="F46" s="20" t="s">
        <v>78</v>
      </c>
      <c r="G46" s="20" t="s">
        <v>78</v>
      </c>
      <c r="H46" s="127"/>
      <c r="I46" s="127"/>
      <c r="J46" s="94"/>
      <c r="K46" s="95"/>
      <c r="L46" s="60"/>
      <c r="M46" s="16"/>
    </row>
    <row r="47" spans="1:13" ht="37.5" customHeight="1">
      <c r="A47" s="6"/>
      <c r="B47" s="6"/>
      <c r="C47" s="6"/>
      <c r="D47" s="6"/>
      <c r="E47" s="6"/>
      <c r="F47" s="6"/>
      <c r="G47" s="6"/>
      <c r="H47" s="16"/>
      <c r="I47" s="16"/>
      <c r="J47" s="16"/>
      <c r="K47" s="16"/>
      <c r="L47" s="16"/>
      <c r="M47" s="16"/>
    </row>
    <row r="48" spans="1:13" ht="18.75">
      <c r="A48" s="7" t="s">
        <v>29</v>
      </c>
      <c r="I48" s="16"/>
      <c r="J48" s="21" t="s">
        <v>46</v>
      </c>
      <c r="K48" s="16"/>
      <c r="L48" s="16"/>
      <c r="M48" s="16"/>
    </row>
    <row r="49" spans="1:13" ht="7.5" customHeight="1">
      <c r="A49" s="8"/>
      <c r="I49" s="16"/>
      <c r="J49" s="16"/>
      <c r="K49" s="16"/>
      <c r="L49" s="16"/>
      <c r="M49" s="16"/>
    </row>
    <row r="50" spans="1:13" s="10" customFormat="1" ht="48.75" customHeight="1" thickBot="1">
      <c r="A50" s="9"/>
      <c r="B50" s="17" t="s">
        <v>30</v>
      </c>
      <c r="C50" s="14" t="s">
        <v>31</v>
      </c>
      <c r="D50" s="14" t="s">
        <v>32</v>
      </c>
      <c r="E50" s="14" t="s">
        <v>33</v>
      </c>
      <c r="F50" s="14" t="s">
        <v>34</v>
      </c>
      <c r="G50" s="13" t="s">
        <v>35</v>
      </c>
      <c r="H50" s="114" t="s">
        <v>36</v>
      </c>
      <c r="I50" s="115"/>
      <c r="J50" s="33" t="s">
        <v>13</v>
      </c>
      <c r="K50" s="18"/>
      <c r="L50" s="16"/>
      <c r="M50" s="16"/>
    </row>
    <row r="51" spans="1:13" ht="19.5" customHeight="1" thickTop="1">
      <c r="A51" s="91" t="s">
        <v>79</v>
      </c>
      <c r="B51" s="67">
        <f>-1262/1000</f>
        <v>-1.262</v>
      </c>
      <c r="C51" s="68">
        <f>197718/1000</f>
        <v>197.718</v>
      </c>
      <c r="D51" s="48">
        <f>10000/1000</f>
        <v>10</v>
      </c>
      <c r="E51" s="48">
        <f>211465/1000</f>
        <v>211.465</v>
      </c>
      <c r="F51" s="48">
        <v>0</v>
      </c>
      <c r="G51" s="48">
        <v>0</v>
      </c>
      <c r="H51" s="116">
        <v>0</v>
      </c>
      <c r="I51" s="117"/>
      <c r="J51" s="34"/>
      <c r="K51" s="18"/>
      <c r="L51" s="16"/>
      <c r="M51" s="16"/>
    </row>
    <row r="52" spans="1:13" ht="19.5" customHeight="1">
      <c r="A52" s="91" t="s">
        <v>80</v>
      </c>
      <c r="B52" s="67">
        <f>11571/1000</f>
        <v>11.571</v>
      </c>
      <c r="C52" s="48">
        <f>2428694/1000</f>
        <v>2428.694</v>
      </c>
      <c r="D52" s="48">
        <f>5000/1000</f>
        <v>5</v>
      </c>
      <c r="E52" s="48">
        <f>1178308/1000</f>
        <v>1178.308</v>
      </c>
      <c r="F52" s="48">
        <f>18701015/1000</f>
        <v>18701.015</v>
      </c>
      <c r="G52" s="48">
        <v>0</v>
      </c>
      <c r="H52" s="116">
        <v>43083</v>
      </c>
      <c r="I52" s="117"/>
      <c r="J52" s="34"/>
      <c r="K52" s="18"/>
      <c r="L52" s="16"/>
      <c r="M52" s="16"/>
    </row>
    <row r="53" spans="1:13" ht="19.5" customHeight="1">
      <c r="A53" s="91" t="s">
        <v>81</v>
      </c>
      <c r="B53" s="67">
        <f>524/1000</f>
        <v>0.524</v>
      </c>
      <c r="C53" s="48">
        <f>928234/1000</f>
        <v>928.234</v>
      </c>
      <c r="D53" s="48">
        <f>280000/1000</f>
        <v>280</v>
      </c>
      <c r="E53" s="48">
        <v>0</v>
      </c>
      <c r="F53" s="48">
        <v>0</v>
      </c>
      <c r="G53" s="48">
        <v>0</v>
      </c>
      <c r="H53" s="116">
        <v>0</v>
      </c>
      <c r="I53" s="142"/>
      <c r="J53" s="34"/>
      <c r="K53" s="18"/>
      <c r="L53" s="16"/>
      <c r="M53" s="16"/>
    </row>
    <row r="54" spans="1:13" ht="19.5" customHeight="1">
      <c r="A54" s="91" t="s">
        <v>82</v>
      </c>
      <c r="B54" s="67">
        <f>28715/1000</f>
        <v>28.715</v>
      </c>
      <c r="C54" s="48">
        <f>4074757/1000</f>
        <v>4074.757</v>
      </c>
      <c r="D54" s="48">
        <f>850000/1000</f>
        <v>850</v>
      </c>
      <c r="E54" s="48">
        <f>15508/1000</f>
        <v>15.508</v>
      </c>
      <c r="F54" s="48">
        <v>0</v>
      </c>
      <c r="G54" s="48">
        <v>0</v>
      </c>
      <c r="H54" s="116">
        <v>0</v>
      </c>
      <c r="I54" s="117"/>
      <c r="J54" s="34"/>
      <c r="K54" s="18"/>
      <c r="L54" s="16"/>
      <c r="M54" s="16"/>
    </row>
    <row r="55" spans="1:13" ht="19.5" customHeight="1">
      <c r="A55" s="91" t="s">
        <v>83</v>
      </c>
      <c r="B55" s="67">
        <f>-1568/1000</f>
        <v>-1.568</v>
      </c>
      <c r="C55" s="48">
        <f>1162934/1000</f>
        <v>1162.934</v>
      </c>
      <c r="D55" s="48">
        <f>5000/1000</f>
        <v>5</v>
      </c>
      <c r="E55" s="48">
        <f>66718/1000</f>
        <v>66.718</v>
      </c>
      <c r="F55" s="48">
        <v>0</v>
      </c>
      <c r="G55" s="48">
        <v>0</v>
      </c>
      <c r="H55" s="116">
        <v>5</v>
      </c>
      <c r="I55" s="117"/>
      <c r="J55" s="34"/>
      <c r="K55" s="18"/>
      <c r="L55" s="16"/>
      <c r="M55" s="16"/>
    </row>
    <row r="56" spans="1:13" ht="19.5" customHeight="1">
      <c r="A56" s="91" t="s">
        <v>84</v>
      </c>
      <c r="B56" s="67">
        <f>186800/1000</f>
        <v>186.8</v>
      </c>
      <c r="C56" s="48">
        <f>2426677/1000</f>
        <v>2426.677</v>
      </c>
      <c r="D56" s="48">
        <f>200000/1000</f>
        <v>200</v>
      </c>
      <c r="E56" s="48">
        <f>27575/1000</f>
        <v>27.575</v>
      </c>
      <c r="F56" s="48">
        <v>0</v>
      </c>
      <c r="G56" s="48">
        <v>0</v>
      </c>
      <c r="H56" s="116">
        <v>0</v>
      </c>
      <c r="I56" s="117"/>
      <c r="J56" s="34"/>
      <c r="K56" s="18"/>
      <c r="L56" s="16"/>
      <c r="M56" s="16"/>
    </row>
    <row r="57" spans="1:13" ht="19.5" customHeight="1">
      <c r="A57" s="91" t="s">
        <v>85</v>
      </c>
      <c r="B57" s="67">
        <f>-28116/1000</f>
        <v>-28.116</v>
      </c>
      <c r="C57" s="48">
        <f>249057/1000</f>
        <v>249.057</v>
      </c>
      <c r="D57" s="48">
        <f>10000/1000</f>
        <v>10</v>
      </c>
      <c r="E57" s="48">
        <v>0</v>
      </c>
      <c r="F57" s="48">
        <v>0</v>
      </c>
      <c r="G57" s="48">
        <v>0</v>
      </c>
      <c r="H57" s="116">
        <v>0</v>
      </c>
      <c r="I57" s="117"/>
      <c r="J57" s="34"/>
      <c r="K57" s="18"/>
      <c r="L57" s="16"/>
      <c r="M57" s="16"/>
    </row>
    <row r="58" spans="1:13" ht="19.5" customHeight="1">
      <c r="A58" s="91" t="s">
        <v>86</v>
      </c>
      <c r="B58" s="67">
        <f>-28692/1000</f>
        <v>-28.692</v>
      </c>
      <c r="C58" s="48">
        <f>130952/1000</f>
        <v>130.952</v>
      </c>
      <c r="D58" s="48">
        <f>80000/1000</f>
        <v>80</v>
      </c>
      <c r="E58" s="48">
        <f>1727/1000</f>
        <v>1.727</v>
      </c>
      <c r="F58" s="48">
        <f>7500/1000</f>
        <v>7.5</v>
      </c>
      <c r="G58" s="48">
        <v>0</v>
      </c>
      <c r="H58" s="116">
        <v>0</v>
      </c>
      <c r="I58" s="117"/>
      <c r="J58" s="34"/>
      <c r="K58" s="18"/>
      <c r="L58" s="16"/>
      <c r="M58" s="16"/>
    </row>
    <row r="59" spans="1:13" ht="19.5" customHeight="1">
      <c r="A59" s="91" t="s">
        <v>87</v>
      </c>
      <c r="B59" s="67">
        <f>151403/1000</f>
        <v>151.403</v>
      </c>
      <c r="C59" s="48">
        <f>642639/1000</f>
        <v>642.639</v>
      </c>
      <c r="D59" s="48">
        <v>80</v>
      </c>
      <c r="E59" s="48">
        <f>548484/1000</f>
        <v>548.484</v>
      </c>
      <c r="F59" s="48">
        <v>14392</v>
      </c>
      <c r="G59" s="48">
        <v>0</v>
      </c>
      <c r="H59" s="116">
        <v>0</v>
      </c>
      <c r="I59" s="117"/>
      <c r="J59" s="34"/>
      <c r="K59" s="18"/>
      <c r="L59" s="16"/>
      <c r="M59" s="16"/>
    </row>
    <row r="60" spans="1:13" ht="19.5" customHeight="1">
      <c r="A60" s="91" t="s">
        <v>88</v>
      </c>
      <c r="B60" s="67">
        <f>-27061/1000</f>
        <v>-27.061</v>
      </c>
      <c r="C60" s="48">
        <f>785363/1000</f>
        <v>785.363</v>
      </c>
      <c r="D60" s="48">
        <v>44</v>
      </c>
      <c r="E60" s="48">
        <v>65</v>
      </c>
      <c r="F60" s="48">
        <v>0</v>
      </c>
      <c r="G60" s="48">
        <v>0</v>
      </c>
      <c r="H60" s="116">
        <v>0</v>
      </c>
      <c r="I60" s="117"/>
      <c r="J60" s="34"/>
      <c r="K60" s="18"/>
      <c r="L60" s="16"/>
      <c r="M60" s="16"/>
    </row>
    <row r="61" spans="1:13" ht="19.5" customHeight="1">
      <c r="A61" s="91" t="s">
        <v>89</v>
      </c>
      <c r="B61" s="67">
        <f>-21409/1000</f>
        <v>-21.409</v>
      </c>
      <c r="C61" s="48">
        <f>5524105/1000</f>
        <v>5524.105</v>
      </c>
      <c r="D61" s="48">
        <f>4000000/1000</f>
        <v>4000</v>
      </c>
      <c r="E61" s="48">
        <f>3835/1000</f>
        <v>3.835</v>
      </c>
      <c r="F61" s="48">
        <v>0</v>
      </c>
      <c r="G61" s="48">
        <v>0</v>
      </c>
      <c r="H61" s="116">
        <v>0</v>
      </c>
      <c r="I61" s="117"/>
      <c r="J61" s="34"/>
      <c r="K61" s="18"/>
      <c r="L61" s="16"/>
      <c r="M61" s="16"/>
    </row>
    <row r="62" spans="1:13" ht="19.5" customHeight="1">
      <c r="A62" s="91" t="s">
        <v>90</v>
      </c>
      <c r="B62" s="67">
        <f>-1716/1000</f>
        <v>-1.716</v>
      </c>
      <c r="C62" s="48">
        <f>208890/1000</f>
        <v>208.89</v>
      </c>
      <c r="D62" s="48">
        <f>200000/1000</f>
        <v>200</v>
      </c>
      <c r="E62" s="48">
        <v>0</v>
      </c>
      <c r="F62" s="48">
        <v>0</v>
      </c>
      <c r="G62" s="48">
        <v>0</v>
      </c>
      <c r="H62" s="116">
        <v>0</v>
      </c>
      <c r="I62" s="117"/>
      <c r="J62" s="34"/>
      <c r="K62" s="18"/>
      <c r="L62" s="16"/>
      <c r="M62" s="16"/>
    </row>
    <row r="63" spans="1:13" ht="19.5" customHeight="1">
      <c r="A63" s="91" t="s">
        <v>91</v>
      </c>
      <c r="B63" s="67">
        <v>-1</v>
      </c>
      <c r="C63" s="48">
        <v>418</v>
      </c>
      <c r="D63" s="48">
        <v>10</v>
      </c>
      <c r="E63" s="48">
        <v>2</v>
      </c>
      <c r="F63" s="48">
        <v>0</v>
      </c>
      <c r="G63" s="48">
        <v>0</v>
      </c>
      <c r="H63" s="116">
        <v>0</v>
      </c>
      <c r="I63" s="117"/>
      <c r="J63" s="34"/>
      <c r="K63" s="18"/>
      <c r="L63" s="16"/>
      <c r="M63" s="16"/>
    </row>
    <row r="64" spans="1:13" ht="19.5" customHeight="1">
      <c r="A64" s="91" t="s">
        <v>92</v>
      </c>
      <c r="B64" s="67">
        <f>-80387/1000</f>
        <v>-80.387</v>
      </c>
      <c r="C64" s="48">
        <f>2262181/1000</f>
        <v>2262.181</v>
      </c>
      <c r="D64" s="48">
        <f>13000/1000</f>
        <v>13</v>
      </c>
      <c r="E64" s="48">
        <f>188435/1000</f>
        <v>188.435</v>
      </c>
      <c r="F64" s="48">
        <v>0</v>
      </c>
      <c r="G64" s="48">
        <v>0</v>
      </c>
      <c r="H64" s="116">
        <v>0</v>
      </c>
      <c r="I64" s="117"/>
      <c r="J64" s="34"/>
      <c r="K64" s="18"/>
      <c r="L64" s="16"/>
      <c r="M64" s="16"/>
    </row>
    <row r="65" spans="1:13" ht="19.5" customHeight="1">
      <c r="A65" s="91" t="s">
        <v>93</v>
      </c>
      <c r="B65" s="67">
        <f>36348/1000</f>
        <v>36.348</v>
      </c>
      <c r="C65" s="48">
        <f>648403/1000</f>
        <v>648.403</v>
      </c>
      <c r="D65" s="48">
        <f>10000/1000</f>
        <v>10</v>
      </c>
      <c r="E65" s="48">
        <f>11597/1000</f>
        <v>11.597</v>
      </c>
      <c r="F65" s="48">
        <v>0</v>
      </c>
      <c r="G65" s="48">
        <v>0</v>
      </c>
      <c r="H65" s="116">
        <v>0</v>
      </c>
      <c r="I65" s="117"/>
      <c r="J65" s="34"/>
      <c r="K65" s="18"/>
      <c r="L65" s="16"/>
      <c r="M65" s="16"/>
    </row>
    <row r="66" spans="1:13" ht="19.5" customHeight="1">
      <c r="A66" s="91" t="s">
        <v>94</v>
      </c>
      <c r="B66" s="67">
        <f>-1119/1000</f>
        <v>-1.119</v>
      </c>
      <c r="C66" s="48">
        <f>39614/1000</f>
        <v>39.614</v>
      </c>
      <c r="D66" s="48">
        <f>10000/1000</f>
        <v>10</v>
      </c>
      <c r="E66" s="48">
        <f>6000/1000</f>
        <v>6</v>
      </c>
      <c r="F66" s="48">
        <v>0</v>
      </c>
      <c r="G66" s="48">
        <v>0</v>
      </c>
      <c r="H66" s="116">
        <v>0</v>
      </c>
      <c r="I66" s="117"/>
      <c r="J66" s="34"/>
      <c r="K66" s="18"/>
      <c r="L66" s="16"/>
      <c r="M66" s="16"/>
    </row>
    <row r="67" spans="1:13" ht="19.5" customHeight="1">
      <c r="A67" s="91" t="s">
        <v>95</v>
      </c>
      <c r="B67" s="67">
        <f>-143430/1000</f>
        <v>-143.43</v>
      </c>
      <c r="C67" s="48">
        <f>382016/1000</f>
        <v>382.016</v>
      </c>
      <c r="D67" s="48">
        <f>77500/1000</f>
        <v>77.5</v>
      </c>
      <c r="E67" s="48">
        <v>0</v>
      </c>
      <c r="F67" s="48">
        <v>0</v>
      </c>
      <c r="G67" s="48">
        <v>0</v>
      </c>
      <c r="H67" s="116">
        <v>0</v>
      </c>
      <c r="I67" s="117"/>
      <c r="J67" s="34"/>
      <c r="K67" s="18"/>
      <c r="L67" s="16"/>
      <c r="M67" s="16"/>
    </row>
    <row r="68" spans="1:13" ht="19.5" customHeight="1">
      <c r="A68" s="91" t="s">
        <v>96</v>
      </c>
      <c r="B68" s="67">
        <f>-1378168/1000</f>
        <v>-1378.168</v>
      </c>
      <c r="C68" s="48">
        <f>3450025/1000</f>
        <v>3450.025</v>
      </c>
      <c r="D68" s="48">
        <f>100000/1000</f>
        <v>100</v>
      </c>
      <c r="E68" s="48">
        <f>7950/1000</f>
        <v>7.95</v>
      </c>
      <c r="F68" s="48">
        <v>0</v>
      </c>
      <c r="G68" s="48">
        <v>0</v>
      </c>
      <c r="H68" s="116">
        <v>0</v>
      </c>
      <c r="I68" s="117"/>
      <c r="J68" s="34"/>
      <c r="K68" s="18"/>
      <c r="L68" s="16"/>
      <c r="M68" s="16"/>
    </row>
    <row r="69" spans="1:13" ht="19.5" customHeight="1">
      <c r="A69" s="91" t="s">
        <v>97</v>
      </c>
      <c r="B69" s="67">
        <f>18194/1000</f>
        <v>18.194</v>
      </c>
      <c r="C69" s="48">
        <f>379556/1000</f>
        <v>379.556</v>
      </c>
      <c r="D69" s="48">
        <f>19000/1000</f>
        <v>19</v>
      </c>
      <c r="E69" s="48">
        <f>271678/1000</f>
        <v>271.678</v>
      </c>
      <c r="F69" s="48">
        <v>0</v>
      </c>
      <c r="G69" s="48">
        <v>0</v>
      </c>
      <c r="H69" s="116">
        <v>0</v>
      </c>
      <c r="I69" s="117"/>
      <c r="J69" s="34"/>
      <c r="K69" s="18"/>
      <c r="L69" s="16"/>
      <c r="M69" s="16"/>
    </row>
    <row r="70" spans="1:13" ht="19.5" customHeight="1">
      <c r="A70" s="91" t="s">
        <v>98</v>
      </c>
      <c r="B70" s="67">
        <f>-1243/1000</f>
        <v>-1.243</v>
      </c>
      <c r="C70" s="48">
        <f>468093/1000</f>
        <v>468.093</v>
      </c>
      <c r="D70" s="48">
        <f>100000/1000</f>
        <v>100</v>
      </c>
      <c r="E70" s="48">
        <v>0</v>
      </c>
      <c r="F70" s="48">
        <v>0</v>
      </c>
      <c r="G70" s="48">
        <v>0</v>
      </c>
      <c r="H70" s="116">
        <v>0</v>
      </c>
      <c r="I70" s="117"/>
      <c r="J70" s="34"/>
      <c r="K70" s="18"/>
      <c r="L70" s="16"/>
      <c r="M70" s="16"/>
    </row>
    <row r="71" spans="1:13" ht="19.5" customHeight="1">
      <c r="A71" s="91" t="s">
        <v>99</v>
      </c>
      <c r="B71" s="67">
        <f>13949/1000</f>
        <v>13.949</v>
      </c>
      <c r="C71" s="48">
        <f>1728580/1000</f>
        <v>1728.58</v>
      </c>
      <c r="D71" s="48">
        <f>366080/1000</f>
        <v>366.08</v>
      </c>
      <c r="E71" s="48">
        <f>224381/1000</f>
        <v>224.381</v>
      </c>
      <c r="F71" s="48">
        <v>0</v>
      </c>
      <c r="G71" s="48">
        <v>0</v>
      </c>
      <c r="H71" s="116">
        <v>0</v>
      </c>
      <c r="I71" s="117"/>
      <c r="J71" s="34"/>
      <c r="K71" s="18"/>
      <c r="L71" s="16"/>
      <c r="M71" s="16"/>
    </row>
    <row r="72" spans="1:13" ht="19.5" customHeight="1">
      <c r="A72" s="91" t="s">
        <v>100</v>
      </c>
      <c r="B72" s="67">
        <f>-14906/1000</f>
        <v>-14.906</v>
      </c>
      <c r="C72" s="48">
        <f>55364/1000</f>
        <v>55.364</v>
      </c>
      <c r="D72" s="48">
        <f>42000/1000</f>
        <v>42</v>
      </c>
      <c r="E72" s="48">
        <f>165319/1000</f>
        <v>165.319</v>
      </c>
      <c r="F72" s="48">
        <v>0</v>
      </c>
      <c r="G72" s="48">
        <v>0</v>
      </c>
      <c r="H72" s="116">
        <v>0</v>
      </c>
      <c r="I72" s="117"/>
      <c r="J72" s="34"/>
      <c r="K72" s="18"/>
      <c r="L72" s="16"/>
      <c r="M72" s="16"/>
    </row>
    <row r="73" spans="1:13" ht="19.5" customHeight="1">
      <c r="A73" s="91" t="s">
        <v>101</v>
      </c>
      <c r="B73" s="67">
        <f>-4855/1000</f>
        <v>-4.855</v>
      </c>
      <c r="C73" s="48">
        <f>48142/1000</f>
        <v>48.142</v>
      </c>
      <c r="D73" s="48">
        <f>5000/1000</f>
        <v>5</v>
      </c>
      <c r="E73" s="48">
        <f>5381/1000</f>
        <v>5.381</v>
      </c>
      <c r="F73" s="48">
        <v>0</v>
      </c>
      <c r="G73" s="48">
        <v>0</v>
      </c>
      <c r="H73" s="116">
        <v>0</v>
      </c>
      <c r="I73" s="142"/>
      <c r="J73" s="34"/>
      <c r="K73" s="18"/>
      <c r="L73" s="16"/>
      <c r="M73" s="16"/>
    </row>
    <row r="74" spans="1:13" ht="19.5" customHeight="1">
      <c r="A74" s="91" t="s">
        <v>102</v>
      </c>
      <c r="B74" s="67">
        <v>75</v>
      </c>
      <c r="C74" s="48">
        <f>890109/1000</f>
        <v>890.109</v>
      </c>
      <c r="D74" s="48">
        <f>53000/1000</f>
        <v>53</v>
      </c>
      <c r="E74" s="48">
        <f>619173/1000</f>
        <v>619.173</v>
      </c>
      <c r="F74" s="48">
        <v>0</v>
      </c>
      <c r="G74" s="48">
        <v>0</v>
      </c>
      <c r="H74" s="116">
        <v>0</v>
      </c>
      <c r="I74" s="117"/>
      <c r="J74" s="34"/>
      <c r="K74" s="18"/>
      <c r="L74" s="16"/>
      <c r="M74" s="16"/>
    </row>
    <row r="75" spans="1:13" ht="19.5" customHeight="1">
      <c r="A75" s="91" t="s">
        <v>103</v>
      </c>
      <c r="B75" s="67">
        <f>44320/1000</f>
        <v>44.32</v>
      </c>
      <c r="C75" s="48">
        <f>2324490/1000</f>
        <v>2324.49</v>
      </c>
      <c r="D75" s="48">
        <f>60000/1000</f>
        <v>60</v>
      </c>
      <c r="E75" s="48">
        <f>69715/1000</f>
        <v>69.715</v>
      </c>
      <c r="F75" s="48">
        <v>0</v>
      </c>
      <c r="G75" s="48">
        <v>0</v>
      </c>
      <c r="H75" s="116">
        <v>0</v>
      </c>
      <c r="I75" s="117"/>
      <c r="J75" s="34"/>
      <c r="K75" s="18"/>
      <c r="L75" s="16"/>
      <c r="M75" s="16"/>
    </row>
    <row r="76" spans="1:13" ht="19.5" customHeight="1">
      <c r="A76" s="91" t="s">
        <v>104</v>
      </c>
      <c r="B76" s="67">
        <f>-63687/1000</f>
        <v>-63.687</v>
      </c>
      <c r="C76" s="48">
        <f>1413663/1000</f>
        <v>1413.663</v>
      </c>
      <c r="D76" s="48">
        <f>500000/1000</f>
        <v>500</v>
      </c>
      <c r="E76" s="48">
        <f>187674/1000</f>
        <v>187.674</v>
      </c>
      <c r="F76" s="48">
        <v>155</v>
      </c>
      <c r="G76" s="48">
        <v>0</v>
      </c>
      <c r="H76" s="116">
        <v>0</v>
      </c>
      <c r="I76" s="117"/>
      <c r="J76" s="34"/>
      <c r="K76" s="18"/>
      <c r="L76" s="16"/>
      <c r="M76" s="16"/>
    </row>
    <row r="77" spans="1:13" ht="19.5" customHeight="1">
      <c r="A77" s="91" t="s">
        <v>105</v>
      </c>
      <c r="B77" s="67">
        <f>-6126/1000</f>
        <v>-6.126</v>
      </c>
      <c r="C77" s="48">
        <f>191386/1000</f>
        <v>191.386</v>
      </c>
      <c r="D77" s="48">
        <f>15000/1000</f>
        <v>15</v>
      </c>
      <c r="E77" s="48">
        <v>0</v>
      </c>
      <c r="F77" s="48">
        <v>0</v>
      </c>
      <c r="G77" s="48">
        <v>0</v>
      </c>
      <c r="H77" s="116">
        <v>0</v>
      </c>
      <c r="I77" s="117"/>
      <c r="J77" s="34"/>
      <c r="K77" s="18"/>
      <c r="L77" s="16"/>
      <c r="M77" s="16"/>
    </row>
    <row r="78" spans="1:13" ht="19.5" customHeight="1">
      <c r="A78" s="91" t="s">
        <v>106</v>
      </c>
      <c r="B78" s="67">
        <f>10500/1000</f>
        <v>10.5</v>
      </c>
      <c r="C78" s="70">
        <f>117174/1000</f>
        <v>117.174</v>
      </c>
      <c r="D78" s="48">
        <v>50</v>
      </c>
      <c r="E78" s="48">
        <f>63576/1000</f>
        <v>63.576</v>
      </c>
      <c r="F78" s="48">
        <v>0</v>
      </c>
      <c r="G78" s="48">
        <v>0</v>
      </c>
      <c r="H78" s="116">
        <v>0</v>
      </c>
      <c r="I78" s="117"/>
      <c r="J78" s="34"/>
      <c r="K78" s="18"/>
      <c r="L78" s="16"/>
      <c r="M78" s="16"/>
    </row>
    <row r="79" spans="1:13" ht="19.5" customHeight="1">
      <c r="A79" s="91" t="s">
        <v>107</v>
      </c>
      <c r="B79" s="67">
        <f>101547/1000</f>
        <v>101.547</v>
      </c>
      <c r="C79" s="70">
        <f>644422/1000</f>
        <v>644.422</v>
      </c>
      <c r="D79" s="48">
        <f>55000/1000</f>
        <v>55</v>
      </c>
      <c r="E79" s="48">
        <f>88462/1000</f>
        <v>88.462</v>
      </c>
      <c r="F79" s="48">
        <v>0</v>
      </c>
      <c r="G79" s="48">
        <v>0</v>
      </c>
      <c r="H79" s="116">
        <v>0</v>
      </c>
      <c r="I79" s="117"/>
      <c r="J79" s="34"/>
      <c r="K79" s="18"/>
      <c r="L79" s="16"/>
      <c r="M79" s="16"/>
    </row>
    <row r="80" spans="1:13" ht="19.5" customHeight="1">
      <c r="A80" s="91" t="s">
        <v>108</v>
      </c>
      <c r="B80" s="67">
        <f>-2274004/1000</f>
        <v>-2274.004</v>
      </c>
      <c r="C80" s="70">
        <v>5140</v>
      </c>
      <c r="D80" s="48">
        <f>67000/1000</f>
        <v>67</v>
      </c>
      <c r="E80" s="48">
        <f>1000/1000</f>
        <v>1</v>
      </c>
      <c r="F80" s="48">
        <v>0</v>
      </c>
      <c r="G80" s="48">
        <v>0</v>
      </c>
      <c r="H80" s="116">
        <v>0</v>
      </c>
      <c r="I80" s="117"/>
      <c r="J80" s="34"/>
      <c r="K80" s="18"/>
      <c r="L80" s="16"/>
      <c r="M80" s="16"/>
    </row>
    <row r="81" spans="1:13" ht="19.5" customHeight="1">
      <c r="A81" s="91" t="s">
        <v>109</v>
      </c>
      <c r="B81" s="67">
        <f>-560/1000</f>
        <v>-0.56</v>
      </c>
      <c r="C81" s="70">
        <f>1491149/1000</f>
        <v>1491.149</v>
      </c>
      <c r="D81" s="48">
        <f>100000/1000</f>
        <v>100</v>
      </c>
      <c r="E81" s="48">
        <f>135593/1000</f>
        <v>135.593</v>
      </c>
      <c r="F81" s="48">
        <v>0</v>
      </c>
      <c r="G81" s="48">
        <v>0</v>
      </c>
      <c r="H81" s="116">
        <v>0</v>
      </c>
      <c r="I81" s="117"/>
      <c r="J81" s="34"/>
      <c r="K81" s="18"/>
      <c r="L81" s="16"/>
      <c r="M81" s="16"/>
    </row>
    <row r="82" spans="1:13" ht="19.5" customHeight="1">
      <c r="A82" s="91" t="s">
        <v>110</v>
      </c>
      <c r="B82" s="67">
        <f>5578/1000</f>
        <v>5.578</v>
      </c>
      <c r="C82" s="70">
        <f>1583607/1000</f>
        <v>1583.607</v>
      </c>
      <c r="D82" s="48">
        <f>1100000/1000</f>
        <v>1100</v>
      </c>
      <c r="E82" s="48">
        <v>0</v>
      </c>
      <c r="F82" s="48">
        <v>0</v>
      </c>
      <c r="G82" s="48">
        <v>0</v>
      </c>
      <c r="H82" s="116">
        <v>0</v>
      </c>
      <c r="I82" s="117"/>
      <c r="J82" s="34"/>
      <c r="K82" s="18"/>
      <c r="L82" s="16"/>
      <c r="M82" s="16"/>
    </row>
    <row r="83" spans="1:13" ht="19.5" customHeight="1">
      <c r="A83" s="91" t="s">
        <v>111</v>
      </c>
      <c r="B83" s="67">
        <f>14954/1000</f>
        <v>14.954</v>
      </c>
      <c r="C83" s="70">
        <f>286402/1000</f>
        <v>286.402</v>
      </c>
      <c r="D83" s="48">
        <f>850000/1000</f>
        <v>850</v>
      </c>
      <c r="E83" s="48">
        <v>0</v>
      </c>
      <c r="F83" s="48">
        <f>1434055/1000+124</f>
        <v>1558.055</v>
      </c>
      <c r="G83" s="48">
        <v>0</v>
      </c>
      <c r="H83" s="116">
        <v>0</v>
      </c>
      <c r="I83" s="117"/>
      <c r="J83" s="34"/>
      <c r="K83" s="18"/>
      <c r="L83" s="16"/>
      <c r="M83" s="16"/>
    </row>
    <row r="84" spans="1:13" ht="19.5" customHeight="1">
      <c r="A84" s="91" t="s">
        <v>112</v>
      </c>
      <c r="B84" s="67">
        <f>103397/1000</f>
        <v>103.397</v>
      </c>
      <c r="C84" s="70">
        <f>-721427/1000</f>
        <v>-721.427</v>
      </c>
      <c r="D84" s="48">
        <f>2500000/1000</f>
        <v>2500</v>
      </c>
      <c r="E84" s="48">
        <v>0</v>
      </c>
      <c r="F84" s="48">
        <f>1581120/1000+236</f>
        <v>1817.12</v>
      </c>
      <c r="G84" s="48">
        <v>0</v>
      </c>
      <c r="H84" s="116">
        <v>0</v>
      </c>
      <c r="I84" s="117"/>
      <c r="J84" s="34"/>
      <c r="K84" s="18"/>
      <c r="L84" s="16"/>
      <c r="M84" s="16"/>
    </row>
    <row r="85" spans="1:13" ht="19.5" customHeight="1">
      <c r="A85" s="91" t="s">
        <v>113</v>
      </c>
      <c r="B85" s="67">
        <f>-5711/1000</f>
        <v>-5.711</v>
      </c>
      <c r="C85" s="70">
        <f>-2696038/1000</f>
        <v>-2696.038</v>
      </c>
      <c r="D85" s="48">
        <f>5324/1000</f>
        <v>5.324</v>
      </c>
      <c r="E85" s="48">
        <v>0</v>
      </c>
      <c r="F85" s="48">
        <f>2874000/1000</f>
        <v>2874</v>
      </c>
      <c r="G85" s="48">
        <v>0</v>
      </c>
      <c r="H85" s="116">
        <v>0</v>
      </c>
      <c r="I85" s="117"/>
      <c r="J85" s="34"/>
      <c r="K85" s="18"/>
      <c r="L85" s="16"/>
      <c r="M85" s="16"/>
    </row>
    <row r="86" spans="1:13" ht="19.5" customHeight="1">
      <c r="A86" s="91" t="s">
        <v>114</v>
      </c>
      <c r="B86" s="67">
        <f>7952/1000</f>
        <v>7.952</v>
      </c>
      <c r="C86" s="70">
        <f>44005/1000</f>
        <v>44.005</v>
      </c>
      <c r="D86" s="48">
        <f>20850/1000</f>
        <v>20.85</v>
      </c>
      <c r="E86" s="48">
        <v>0</v>
      </c>
      <c r="F86" s="48">
        <v>0</v>
      </c>
      <c r="G86" s="48">
        <v>0</v>
      </c>
      <c r="H86" s="116">
        <v>0</v>
      </c>
      <c r="I86" s="117"/>
      <c r="J86" s="34"/>
      <c r="K86" s="18"/>
      <c r="L86" s="16"/>
      <c r="M86" s="16"/>
    </row>
    <row r="87" spans="1:13" ht="19.5" customHeight="1">
      <c r="A87" s="91" t="s">
        <v>115</v>
      </c>
      <c r="B87" s="67">
        <f>45760/1000</f>
        <v>45.76</v>
      </c>
      <c r="C87" s="70">
        <f>129808/1000</f>
        <v>129.808</v>
      </c>
      <c r="D87" s="48">
        <f>20000/1000</f>
        <v>20</v>
      </c>
      <c r="E87" s="48">
        <v>0</v>
      </c>
      <c r="F87" s="48">
        <v>0</v>
      </c>
      <c r="G87" s="48">
        <v>0</v>
      </c>
      <c r="H87" s="116">
        <v>0</v>
      </c>
      <c r="I87" s="117"/>
      <c r="J87" s="34"/>
      <c r="K87" s="18"/>
      <c r="L87" s="16"/>
      <c r="M87" s="16"/>
    </row>
    <row r="88" spans="1:13" ht="19.5" customHeight="1">
      <c r="A88" s="91" t="s">
        <v>116</v>
      </c>
      <c r="B88" s="67">
        <f>75012/1000</f>
        <v>75.012</v>
      </c>
      <c r="C88" s="70">
        <f>930691/1000</f>
        <v>930.691</v>
      </c>
      <c r="D88" s="48">
        <f>16500/1000</f>
        <v>16.5</v>
      </c>
      <c r="E88" s="48">
        <v>0</v>
      </c>
      <c r="F88" s="48">
        <v>0</v>
      </c>
      <c r="G88" s="48">
        <v>0</v>
      </c>
      <c r="H88" s="116">
        <v>0</v>
      </c>
      <c r="I88" s="117"/>
      <c r="J88" s="34"/>
      <c r="K88" s="18"/>
      <c r="L88" s="16"/>
      <c r="M88" s="16"/>
    </row>
    <row r="89" spans="1:13" ht="19.5" customHeight="1">
      <c r="A89" s="91" t="s">
        <v>117</v>
      </c>
      <c r="B89" s="67">
        <f>7299/1000</f>
        <v>7.299</v>
      </c>
      <c r="C89" s="70">
        <f>308738/1000</f>
        <v>308.738</v>
      </c>
      <c r="D89" s="48">
        <f>100000/1000</f>
        <v>100</v>
      </c>
      <c r="E89" s="48">
        <v>0</v>
      </c>
      <c r="F89" s="48">
        <v>0</v>
      </c>
      <c r="G89" s="48">
        <v>0</v>
      </c>
      <c r="H89" s="116">
        <v>0</v>
      </c>
      <c r="I89" s="117"/>
      <c r="J89" s="34"/>
      <c r="K89" s="18"/>
      <c r="L89" s="16"/>
      <c r="M89" s="16"/>
    </row>
    <row r="90" spans="1:13" ht="19.5" customHeight="1">
      <c r="A90" s="91" t="s">
        <v>118</v>
      </c>
      <c r="B90" s="67">
        <f>496921/1000</f>
        <v>496.921</v>
      </c>
      <c r="C90" s="70">
        <f>3165252/1000</f>
        <v>3165.252</v>
      </c>
      <c r="D90" s="48">
        <f>750200/1000</f>
        <v>750.2</v>
      </c>
      <c r="E90" s="48">
        <v>0</v>
      </c>
      <c r="F90" s="48">
        <v>0</v>
      </c>
      <c r="G90" s="48">
        <v>0</v>
      </c>
      <c r="H90" s="116">
        <v>0</v>
      </c>
      <c r="I90" s="117"/>
      <c r="J90" s="34"/>
      <c r="K90" s="18"/>
      <c r="L90" s="16"/>
      <c r="M90" s="16"/>
    </row>
    <row r="91" spans="1:13" ht="19.5" customHeight="1">
      <c r="A91" s="91" t="s">
        <v>119</v>
      </c>
      <c r="B91" s="67">
        <f>1139764/1000</f>
        <v>1139.764</v>
      </c>
      <c r="C91" s="70">
        <f>4550043/1000</f>
        <v>4550.043</v>
      </c>
      <c r="D91" s="48">
        <f>8000/1000</f>
        <v>8</v>
      </c>
      <c r="E91" s="48">
        <f>513279/1000</f>
        <v>513.279</v>
      </c>
      <c r="F91" s="48">
        <f>627000/1000+19707</f>
        <v>20334</v>
      </c>
      <c r="G91" s="48">
        <v>0</v>
      </c>
      <c r="H91" s="116">
        <f>74369</f>
        <v>74369</v>
      </c>
      <c r="I91" s="117"/>
      <c r="J91" s="34"/>
      <c r="K91" s="18"/>
      <c r="L91" s="16"/>
      <c r="M91" s="16"/>
    </row>
    <row r="92" spans="1:13" ht="19.5" customHeight="1">
      <c r="A92" s="91" t="s">
        <v>120</v>
      </c>
      <c r="B92" s="67">
        <f>12508/1000</f>
        <v>12.508</v>
      </c>
      <c r="C92" s="70">
        <f>55824908/1000</f>
        <v>55824.908</v>
      </c>
      <c r="D92" s="48">
        <f>55561000/1000</f>
        <v>55561</v>
      </c>
      <c r="E92" s="48">
        <v>0</v>
      </c>
      <c r="F92" s="48">
        <v>16148</v>
      </c>
      <c r="G92" s="48">
        <f>58243</f>
        <v>58243</v>
      </c>
      <c r="H92" s="116">
        <v>0</v>
      </c>
      <c r="I92" s="117"/>
      <c r="J92" s="34"/>
      <c r="K92" s="18"/>
      <c r="L92" s="16"/>
      <c r="M92" s="16"/>
    </row>
    <row r="93" spans="1:13" ht="19.5" customHeight="1">
      <c r="A93" s="91" t="s">
        <v>121</v>
      </c>
      <c r="B93" s="67">
        <f>290674/1000</f>
        <v>290.674</v>
      </c>
      <c r="C93" s="70">
        <f>7799632/1000</f>
        <v>7799.632</v>
      </c>
      <c r="D93" s="48">
        <f>105000/1000</f>
        <v>105</v>
      </c>
      <c r="E93" s="48">
        <v>0</v>
      </c>
      <c r="F93" s="48">
        <v>4287</v>
      </c>
      <c r="G93" s="48">
        <f>115879</f>
        <v>115879</v>
      </c>
      <c r="H93" s="116">
        <v>0</v>
      </c>
      <c r="I93" s="117"/>
      <c r="J93" s="34"/>
      <c r="K93" s="18"/>
      <c r="L93" s="16"/>
      <c r="M93" s="16"/>
    </row>
    <row r="94" spans="1:13" ht="19.5" customHeight="1">
      <c r="A94" s="91" t="s">
        <v>122</v>
      </c>
      <c r="B94" s="67">
        <f>435870/1000</f>
        <v>435.87</v>
      </c>
      <c r="C94" s="70">
        <f>705829/1000</f>
        <v>705.829</v>
      </c>
      <c r="D94" s="48">
        <f>100000/1000</f>
        <v>100</v>
      </c>
      <c r="E94" s="48">
        <f>1590/1000</f>
        <v>1.59</v>
      </c>
      <c r="F94" s="48">
        <v>0</v>
      </c>
      <c r="G94" s="48">
        <v>0</v>
      </c>
      <c r="H94" s="116">
        <v>0</v>
      </c>
      <c r="I94" s="117"/>
      <c r="J94" s="34"/>
      <c r="K94" s="18"/>
      <c r="L94" s="16"/>
      <c r="M94" s="16"/>
    </row>
    <row r="95" spans="1:13" ht="19.5" customHeight="1">
      <c r="A95" s="91" t="s">
        <v>123</v>
      </c>
      <c r="B95" s="67">
        <f>-404025/1000</f>
        <v>-404.025</v>
      </c>
      <c r="C95" s="70">
        <f>1470376/1000</f>
        <v>1470.376</v>
      </c>
      <c r="D95" s="48">
        <f>100000/1000</f>
        <v>100</v>
      </c>
      <c r="E95" s="48">
        <f>3000/1000</f>
        <v>3</v>
      </c>
      <c r="F95" s="48">
        <v>0</v>
      </c>
      <c r="G95" s="48">
        <v>0</v>
      </c>
      <c r="H95" s="143">
        <v>0</v>
      </c>
      <c r="I95" s="144"/>
      <c r="J95" s="77"/>
      <c r="K95" s="18"/>
      <c r="L95" s="16"/>
      <c r="M95" s="16"/>
    </row>
    <row r="96" spans="1:13" ht="19.5" customHeight="1">
      <c r="A96" s="91" t="s">
        <v>124</v>
      </c>
      <c r="B96" s="67">
        <f>2422/1000</f>
        <v>2.422</v>
      </c>
      <c r="C96" s="70">
        <f>691327/1000</f>
        <v>691.327</v>
      </c>
      <c r="D96" s="48">
        <f>60000/1000</f>
        <v>60</v>
      </c>
      <c r="E96" s="48">
        <f>15500/1000</f>
        <v>15.5</v>
      </c>
      <c r="F96" s="48">
        <f>8000/1000</f>
        <v>8</v>
      </c>
      <c r="G96" s="48">
        <v>0</v>
      </c>
      <c r="H96" s="116">
        <v>0</v>
      </c>
      <c r="I96" s="117"/>
      <c r="J96" s="78"/>
      <c r="K96" s="18"/>
      <c r="L96" s="16"/>
      <c r="M96" s="16"/>
    </row>
    <row r="97" spans="1:13" ht="19.5" customHeight="1">
      <c r="A97" s="92" t="s">
        <v>125</v>
      </c>
      <c r="B97" s="67">
        <f>-1923/1000</f>
        <v>-1.923</v>
      </c>
      <c r="C97" s="70">
        <f>518861/1000</f>
        <v>518.861</v>
      </c>
      <c r="D97" s="48">
        <f>10000/1000</f>
        <v>10</v>
      </c>
      <c r="E97" s="48">
        <f>1500/1000</f>
        <v>1.5</v>
      </c>
      <c r="F97" s="48">
        <v>0</v>
      </c>
      <c r="G97" s="48">
        <v>0</v>
      </c>
      <c r="H97" s="50"/>
      <c r="I97" s="69">
        <v>0</v>
      </c>
      <c r="J97" s="34"/>
      <c r="K97" s="18"/>
      <c r="L97" s="16"/>
      <c r="M97" s="16"/>
    </row>
    <row r="98" spans="1:13" ht="19.5" customHeight="1">
      <c r="A98" s="92" t="s">
        <v>126</v>
      </c>
      <c r="B98" s="67">
        <f>-22387/1000</f>
        <v>-22.387</v>
      </c>
      <c r="C98" s="70">
        <f>99448/1000</f>
        <v>99.448</v>
      </c>
      <c r="D98" s="48">
        <f>17000/1000</f>
        <v>17</v>
      </c>
      <c r="E98" s="48">
        <v>0</v>
      </c>
      <c r="F98" s="48">
        <v>0</v>
      </c>
      <c r="G98" s="48">
        <v>0</v>
      </c>
      <c r="H98" s="50"/>
      <c r="I98" s="69">
        <v>0</v>
      </c>
      <c r="J98" s="34"/>
      <c r="K98" s="18"/>
      <c r="L98" s="16"/>
      <c r="M98" s="16"/>
    </row>
    <row r="99" spans="1:13" ht="19.5" customHeight="1">
      <c r="A99" s="92" t="s">
        <v>131</v>
      </c>
      <c r="B99" s="67">
        <f>122220/1000</f>
        <v>122.22</v>
      </c>
      <c r="C99" s="70">
        <f>343414/1000</f>
        <v>343.414</v>
      </c>
      <c r="D99" s="48">
        <f>600/1000</f>
        <v>0.6</v>
      </c>
      <c r="E99" s="48">
        <v>0</v>
      </c>
      <c r="F99" s="48">
        <f>984107/1000</f>
        <v>984.107</v>
      </c>
      <c r="G99" s="48">
        <v>0</v>
      </c>
      <c r="H99" s="50"/>
      <c r="I99" s="69">
        <v>0</v>
      </c>
      <c r="J99" s="34"/>
      <c r="K99" s="18"/>
      <c r="L99" s="16"/>
      <c r="M99" s="16"/>
    </row>
    <row r="100" spans="1:13" ht="19.5" customHeight="1">
      <c r="A100" s="92" t="s">
        <v>127</v>
      </c>
      <c r="B100" s="67">
        <f>28353/1000</f>
        <v>28.353</v>
      </c>
      <c r="C100" s="70">
        <f>1122123/1000</f>
        <v>1122.123</v>
      </c>
      <c r="D100" s="48">
        <f>80000/1000</f>
        <v>80</v>
      </c>
      <c r="E100" s="48">
        <f>3303/1000</f>
        <v>3.303</v>
      </c>
      <c r="F100" s="48">
        <v>0</v>
      </c>
      <c r="G100" s="48">
        <v>0</v>
      </c>
      <c r="H100" s="50"/>
      <c r="I100" s="69">
        <v>0</v>
      </c>
      <c r="J100" s="34"/>
      <c r="K100" s="18"/>
      <c r="L100" s="16"/>
      <c r="M100" s="16"/>
    </row>
    <row r="101" spans="1:13" ht="19.5" customHeight="1">
      <c r="A101" s="93" t="s">
        <v>128</v>
      </c>
      <c r="B101" s="71">
        <f>-562810/1000</f>
        <v>-562.81</v>
      </c>
      <c r="C101" s="72">
        <f>4689102/1000</f>
        <v>4689.102</v>
      </c>
      <c r="D101" s="73">
        <f>30450/1000</f>
        <v>30.45</v>
      </c>
      <c r="E101" s="73">
        <f>2601/1000</f>
        <v>2.601</v>
      </c>
      <c r="F101" s="73">
        <v>0</v>
      </c>
      <c r="G101" s="73">
        <v>0</v>
      </c>
      <c r="H101" s="145">
        <v>0</v>
      </c>
      <c r="I101" s="146"/>
      <c r="J101" s="74"/>
      <c r="K101" s="18"/>
      <c r="L101" s="16"/>
      <c r="M101" s="16"/>
    </row>
    <row r="102" spans="1:13" ht="21" customHeight="1">
      <c r="A102" s="35" t="s">
        <v>37</v>
      </c>
      <c r="I102" s="16"/>
      <c r="J102" s="16"/>
      <c r="K102" s="16"/>
      <c r="L102" s="16"/>
      <c r="M102" s="16"/>
    </row>
    <row r="103" ht="15" customHeight="1"/>
    <row r="104" spans="1:13" ht="18.75">
      <c r="A104" s="11" t="s">
        <v>38</v>
      </c>
      <c r="I104" s="16"/>
      <c r="J104" s="16"/>
      <c r="K104" s="16"/>
      <c r="L104" s="16"/>
      <c r="M104" s="16"/>
    </row>
    <row r="105" ht="7.5" customHeight="1"/>
    <row r="106" spans="1:8" ht="26.25" customHeight="1">
      <c r="A106" s="118" t="s">
        <v>39</v>
      </c>
      <c r="B106" s="118"/>
      <c r="C106" s="113">
        <v>0.53208</v>
      </c>
      <c r="D106" s="113"/>
      <c r="E106" s="118" t="s">
        <v>40</v>
      </c>
      <c r="F106" s="118"/>
      <c r="G106" s="113">
        <v>0.02</v>
      </c>
      <c r="H106" s="113"/>
    </row>
    <row r="107" spans="1:8" ht="26.25" customHeight="1">
      <c r="A107" s="118" t="s">
        <v>41</v>
      </c>
      <c r="B107" s="118"/>
      <c r="C107" s="113">
        <v>19.6</v>
      </c>
      <c r="D107" s="113"/>
      <c r="E107" s="118" t="s">
        <v>42</v>
      </c>
      <c r="F107" s="118"/>
      <c r="G107" s="113">
        <v>96.4</v>
      </c>
      <c r="H107" s="113"/>
    </row>
    <row r="108" spans="1:13" ht="21" customHeight="1">
      <c r="A108" s="35" t="s">
        <v>43</v>
      </c>
      <c r="I108" s="16"/>
      <c r="J108" s="16"/>
      <c r="K108" s="16"/>
      <c r="L108" s="16"/>
      <c r="M108" s="16"/>
    </row>
  </sheetData>
  <sheetProtection/>
  <mergeCells count="84">
    <mergeCell ref="H84:I84"/>
    <mergeCell ref="H95:I95"/>
    <mergeCell ref="H96:I96"/>
    <mergeCell ref="H101:I101"/>
    <mergeCell ref="H94:I94"/>
    <mergeCell ref="H85:I85"/>
    <mergeCell ref="H86:I86"/>
    <mergeCell ref="H73:I73"/>
    <mergeCell ref="H53:I53"/>
    <mergeCell ref="H91:I91"/>
    <mergeCell ref="H92:I92"/>
    <mergeCell ref="H93:I93"/>
    <mergeCell ref="H87:I87"/>
    <mergeCell ref="H88:I88"/>
    <mergeCell ref="H89:I89"/>
    <mergeCell ref="H90:I90"/>
    <mergeCell ref="H83:I83"/>
    <mergeCell ref="H74:I74"/>
    <mergeCell ref="H82:I82"/>
    <mergeCell ref="H75:I75"/>
    <mergeCell ref="H76:I76"/>
    <mergeCell ref="H77:I77"/>
    <mergeCell ref="H78:I78"/>
    <mergeCell ref="H79:I79"/>
    <mergeCell ref="H80:I80"/>
    <mergeCell ref="H81:I81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A36:A37"/>
    <mergeCell ref="F36:F37"/>
    <mergeCell ref="G36:G37"/>
    <mergeCell ref="A34:A35"/>
    <mergeCell ref="F34:F35"/>
    <mergeCell ref="G34:G35"/>
    <mergeCell ref="B2:I2"/>
    <mergeCell ref="H26:I26"/>
    <mergeCell ref="H27:I27"/>
    <mergeCell ref="A106:B106"/>
    <mergeCell ref="G106:H106"/>
    <mergeCell ref="H4:I4"/>
    <mergeCell ref="H5:I5"/>
    <mergeCell ref="H45:I45"/>
    <mergeCell ref="H46:I46"/>
    <mergeCell ref="H22:I22"/>
    <mergeCell ref="H56:I56"/>
    <mergeCell ref="H57:I57"/>
    <mergeCell ref="H58:I58"/>
    <mergeCell ref="H59:I59"/>
    <mergeCell ref="A107:B107"/>
    <mergeCell ref="E106:F106"/>
    <mergeCell ref="E107:F107"/>
    <mergeCell ref="C106:D106"/>
    <mergeCell ref="C107:D107"/>
    <mergeCell ref="H60:I60"/>
    <mergeCell ref="H9:I9"/>
    <mergeCell ref="H10:I10"/>
    <mergeCell ref="H28:I28"/>
    <mergeCell ref="H29:I29"/>
    <mergeCell ref="G107:H107"/>
    <mergeCell ref="H50:I50"/>
    <mergeCell ref="H51:I51"/>
    <mergeCell ref="H52:I52"/>
    <mergeCell ref="H54:I54"/>
    <mergeCell ref="H55:I55"/>
    <mergeCell ref="K34:K35"/>
    <mergeCell ref="K36:K37"/>
    <mergeCell ref="H30:I30"/>
    <mergeCell ref="H31:I31"/>
    <mergeCell ref="H32:I32"/>
    <mergeCell ref="H33:I33"/>
    <mergeCell ref="H34:I35"/>
    <mergeCell ref="H36:I37"/>
    <mergeCell ref="J34:J35"/>
    <mergeCell ref="J36:J37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2008-03-12T02:10:53Z</cp:lastPrinted>
  <dcterms:created xsi:type="dcterms:W3CDTF">2008-02-15T06:55:04Z</dcterms:created>
  <dcterms:modified xsi:type="dcterms:W3CDTF">2008-03-12T07:47:04Z</dcterms:modified>
  <cp:category/>
  <cp:version/>
  <cp:contentType/>
  <cp:contentStatus/>
</cp:coreProperties>
</file>