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 yWindow="528" windowWidth="16608" windowHeight="3252" tabRatio="864" firstSheet="19" activeTab="19"/>
  </bookViews>
  <sheets>
    <sheet name="★目次★" sheetId="34" r:id="rId1"/>
    <sheet name="法人一覧(25)" sheetId="30" r:id="rId2"/>
    <sheet name="法人一覧(26)" sheetId="28" r:id="rId3"/>
    <sheet name="１①貸借対照表(25)" sheetId="11" r:id="rId4"/>
    <sheet name="１②貸借対照表(26)" sheetId="12" r:id="rId5"/>
    <sheet name="２①損益計算書(25)" sheetId="13" r:id="rId6"/>
    <sheet name="２②損益計算書(26)" sheetId="14" r:id="rId7"/>
    <sheet name="３①CF計算書(25)" sheetId="21" r:id="rId8"/>
    <sheet name="３②CF計算書(26)" sheetId="22" r:id="rId9"/>
    <sheet name="４①利益剰余金等（25）" sheetId="15" r:id="rId10"/>
    <sheet name="４②利益剰余金等（26）" sheetId="16" r:id="rId11"/>
    <sheet name="５①行コス(25)" sheetId="19" r:id="rId12"/>
    <sheet name="５②行コス(26)" sheetId="20" r:id="rId13"/>
    <sheet name="６①国庫納付(25)" sheetId="17" r:id="rId14"/>
    <sheet name="６②国庫納付(26)" sheetId="18" r:id="rId15"/>
    <sheet name="７①勘定・セグメント(25)" sheetId="23" r:id="rId16"/>
    <sheet name="７②勘定・セグメント(26)" sheetId="10" r:id="rId17"/>
    <sheet name="８①収益化基準(25)" sheetId="25" r:id="rId18"/>
    <sheet name="８②収益化基準(26)" sheetId="3" r:id="rId19"/>
    <sheet name="９①関係法人（25）" sheetId="26" r:id="rId20"/>
    <sheet name="９②関係法人（26）" sheetId="27" r:id="rId21"/>
    <sheet name="10　収入予算(27)" sheetId="2" r:id="rId22"/>
    <sheet name="11　支出予算(27)" sheetId="4" r:id="rId23"/>
    <sheet name="12①収入決算(25)" sheetId="6" r:id="rId24"/>
    <sheet name="12②収入決算(26)" sheetId="7" r:id="rId25"/>
    <sheet name="13①支出決算(25)" sheetId="8" r:id="rId26"/>
    <sheet name="13②支出決算(26)" sheetId="9" r:id="rId27"/>
    <sheet name="14①役職員の状況(25)" sheetId="32" r:id="rId28"/>
    <sheet name="14②役職員の状況(26)" sheetId="33" r:id="rId29"/>
  </sheets>
  <calcPr calcId="145621"/>
</workbook>
</file>

<file path=xl/calcChain.xml><?xml version="1.0" encoding="utf-8"?>
<calcChain xmlns="http://schemas.openxmlformats.org/spreadsheetml/2006/main">
  <c r="A5" i="33" l="1"/>
  <c r="B5" i="33"/>
  <c r="C5" i="33"/>
  <c r="A6" i="33"/>
  <c r="B6" i="33"/>
  <c r="C6" i="33"/>
  <c r="A7" i="33"/>
  <c r="B7" i="33"/>
  <c r="C7" i="33"/>
  <c r="A8" i="33"/>
  <c r="B8" i="33"/>
  <c r="C8" i="33"/>
  <c r="A9" i="33"/>
  <c r="B9" i="33"/>
  <c r="C9" i="33"/>
  <c r="A10" i="33"/>
  <c r="B10" i="33"/>
  <c r="C10" i="33"/>
  <c r="A11" i="33"/>
  <c r="B11" i="33"/>
  <c r="C11" i="33"/>
  <c r="A12" i="33"/>
  <c r="B12" i="33"/>
  <c r="C12" i="33"/>
  <c r="A13" i="33"/>
  <c r="B13" i="33"/>
  <c r="C13" i="33"/>
  <c r="A14" i="33"/>
  <c r="B14" i="33"/>
  <c r="C14" i="33"/>
  <c r="A15" i="33"/>
  <c r="B15" i="33"/>
  <c r="C15" i="33"/>
  <c r="A16" i="33"/>
  <c r="B16" i="33"/>
  <c r="C16" i="33"/>
  <c r="A17" i="33"/>
  <c r="B17" i="33"/>
  <c r="C17" i="33"/>
  <c r="A18" i="33"/>
  <c r="B18" i="33"/>
  <c r="C18" i="33"/>
  <c r="A19" i="33"/>
  <c r="B19" i="33"/>
  <c r="C19" i="33"/>
  <c r="A20" i="33"/>
  <c r="B20" i="33"/>
  <c r="C20" i="33"/>
  <c r="A21" i="33"/>
  <c r="B21" i="33"/>
  <c r="C21" i="33"/>
  <c r="A22" i="33"/>
  <c r="B22" i="33"/>
  <c r="C22" i="33"/>
  <c r="A23" i="33"/>
  <c r="B23" i="33"/>
  <c r="C23" i="33"/>
  <c r="A24" i="33"/>
  <c r="B24" i="33"/>
  <c r="C24" i="33"/>
  <c r="A25" i="33"/>
  <c r="B25" i="33"/>
  <c r="C25" i="33"/>
  <c r="A26" i="33"/>
  <c r="B26" i="33"/>
  <c r="C26" i="33"/>
  <c r="A27" i="33"/>
  <c r="B27" i="33"/>
  <c r="C27" i="33"/>
  <c r="A28" i="33"/>
  <c r="B28" i="33"/>
  <c r="C28" i="33"/>
  <c r="A29" i="33"/>
  <c r="B29" i="33"/>
  <c r="C29" i="33"/>
  <c r="A30" i="33"/>
  <c r="B30" i="33"/>
  <c r="C30" i="33"/>
  <c r="A31" i="33"/>
  <c r="B31" i="33"/>
  <c r="C31" i="33"/>
  <c r="A32" i="33"/>
  <c r="B32" i="33"/>
  <c r="C32" i="33"/>
  <c r="A33" i="33"/>
  <c r="B33" i="33"/>
  <c r="C33" i="33"/>
  <c r="A34" i="33"/>
  <c r="B34" i="33"/>
  <c r="C34" i="33"/>
  <c r="A35" i="33"/>
  <c r="B35" i="33"/>
  <c r="C35" i="33"/>
  <c r="A36" i="33"/>
  <c r="B36" i="33"/>
  <c r="C36" i="33"/>
  <c r="A37" i="33"/>
  <c r="B37" i="33"/>
  <c r="C37" i="33"/>
  <c r="A38" i="33"/>
  <c r="B38" i="33"/>
  <c r="C38" i="33"/>
  <c r="A39" i="33"/>
  <c r="B39" i="33"/>
  <c r="C39" i="33"/>
  <c r="A40" i="33"/>
  <c r="B40" i="33"/>
  <c r="C40" i="33"/>
  <c r="A41" i="33"/>
  <c r="B41" i="33"/>
  <c r="C41" i="33"/>
  <c r="A42" i="33"/>
  <c r="B42" i="33"/>
  <c r="C42" i="33"/>
  <c r="A43" i="33"/>
  <c r="B43" i="33"/>
  <c r="C43" i="33"/>
  <c r="A44" i="33"/>
  <c r="B44" i="33"/>
  <c r="C44" i="33"/>
  <c r="A45" i="33"/>
  <c r="B45" i="33"/>
  <c r="C45" i="33"/>
  <c r="A46" i="33"/>
  <c r="B46" i="33"/>
  <c r="C46" i="33"/>
  <c r="A47" i="33"/>
  <c r="B47" i="33"/>
  <c r="C47" i="33"/>
  <c r="A48" i="33"/>
  <c r="B48" i="33"/>
  <c r="C48" i="33"/>
  <c r="A49" i="33"/>
  <c r="B49" i="33"/>
  <c r="C49" i="33"/>
  <c r="A50" i="33"/>
  <c r="B50" i="33"/>
  <c r="C50" i="33"/>
  <c r="A51" i="33"/>
  <c r="B51" i="33"/>
  <c r="C51" i="33"/>
  <c r="A52" i="33"/>
  <c r="B52" i="33"/>
  <c r="C52" i="33"/>
  <c r="A53" i="33"/>
  <c r="B53" i="33"/>
  <c r="C53" i="33"/>
  <c r="A54" i="33"/>
  <c r="B54" i="33"/>
  <c r="C54" i="33"/>
  <c r="A55" i="33"/>
  <c r="B55" i="33"/>
  <c r="C55" i="33"/>
  <c r="A56" i="33"/>
  <c r="B56" i="33"/>
  <c r="C56" i="33"/>
  <c r="A57" i="33"/>
  <c r="B57" i="33"/>
  <c r="C57" i="33"/>
  <c r="A58" i="33"/>
  <c r="B58" i="33"/>
  <c r="C58" i="33"/>
  <c r="A59" i="33"/>
  <c r="B59" i="33"/>
  <c r="C59" i="33"/>
  <c r="A60" i="33"/>
  <c r="B60" i="33"/>
  <c r="C60" i="33"/>
  <c r="A61" i="33"/>
  <c r="B61" i="33"/>
  <c r="C61" i="33"/>
  <c r="A62" i="33"/>
  <c r="B62" i="33"/>
  <c r="C62" i="33"/>
  <c r="A63" i="33"/>
  <c r="B63" i="33"/>
  <c r="C63" i="33"/>
  <c r="A64" i="33"/>
  <c r="B64" i="33"/>
  <c r="C64" i="33"/>
  <c r="A65" i="33"/>
  <c r="B65" i="33"/>
  <c r="C65" i="33"/>
  <c r="A66" i="33"/>
  <c r="B66" i="33"/>
  <c r="C66" i="33"/>
  <c r="A67" i="33"/>
  <c r="B67" i="33"/>
  <c r="C67" i="33"/>
  <c r="A68" i="33"/>
  <c r="B68" i="33"/>
  <c r="C68" i="33"/>
  <c r="A69" i="33"/>
  <c r="B69" i="33"/>
  <c r="C69" i="33"/>
  <c r="A70" i="33"/>
  <c r="B70" i="33"/>
  <c r="C70" i="33"/>
  <c r="A71" i="33"/>
  <c r="B71" i="33"/>
  <c r="C71" i="33"/>
  <c r="A72" i="33"/>
  <c r="B72" i="33"/>
  <c r="C72" i="33"/>
  <c r="A73" i="33"/>
  <c r="B73" i="33"/>
  <c r="C73" i="33"/>
  <c r="A74" i="33"/>
  <c r="B74" i="33"/>
  <c r="C74" i="33"/>
  <c r="A75" i="33"/>
  <c r="B75" i="33"/>
  <c r="C75" i="33"/>
  <c r="A76" i="33"/>
  <c r="B76" i="33"/>
  <c r="C76" i="33"/>
  <c r="A77" i="33"/>
  <c r="B77" i="33"/>
  <c r="C77" i="33"/>
  <c r="A78" i="33"/>
  <c r="B78" i="33"/>
  <c r="C78" i="33"/>
  <c r="A79" i="33"/>
  <c r="B79" i="33"/>
  <c r="C79" i="33"/>
  <c r="A80" i="33"/>
  <c r="B80" i="33"/>
  <c r="C80" i="33"/>
  <c r="A81" i="33"/>
  <c r="B81" i="33"/>
  <c r="C81" i="33"/>
  <c r="A82" i="33"/>
  <c r="B82" i="33"/>
  <c r="C82" i="33"/>
  <c r="A83" i="33"/>
  <c r="B83" i="33"/>
  <c r="C83" i="33"/>
  <c r="A84" i="33"/>
  <c r="B84" i="33"/>
  <c r="C84" i="33"/>
  <c r="A85" i="33"/>
  <c r="B85" i="33"/>
  <c r="C85" i="33"/>
  <c r="A86" i="33"/>
  <c r="B86" i="33"/>
  <c r="C86" i="33"/>
  <c r="A87" i="33"/>
  <c r="B87" i="33"/>
  <c r="C87" i="33"/>
  <c r="A88" i="33"/>
  <c r="B88" i="33"/>
  <c r="C88" i="33"/>
  <c r="A89" i="33"/>
  <c r="B89" i="33"/>
  <c r="C89" i="33"/>
  <c r="A90" i="33"/>
  <c r="B90" i="33"/>
  <c r="C90" i="33"/>
  <c r="A91" i="33"/>
  <c r="B91" i="33"/>
  <c r="C91" i="33"/>
  <c r="A92" i="33"/>
  <c r="B92" i="33"/>
  <c r="C92" i="33"/>
  <c r="A93" i="33"/>
  <c r="B93" i="33"/>
  <c r="C93" i="33"/>
  <c r="A94" i="33"/>
  <c r="B94" i="33"/>
  <c r="C94" i="33"/>
  <c r="A95" i="33"/>
  <c r="B95" i="33"/>
  <c r="C95" i="33"/>
  <c r="A96" i="33"/>
  <c r="B96" i="33"/>
  <c r="C96" i="33"/>
  <c r="A97" i="33"/>
  <c r="B97" i="33"/>
  <c r="C97" i="33"/>
  <c r="A98" i="33"/>
  <c r="B98" i="33"/>
  <c r="C98" i="33"/>
  <c r="A99" i="33"/>
  <c r="B99" i="33"/>
  <c r="C99" i="33"/>
  <c r="A100" i="33"/>
  <c r="B100" i="33"/>
  <c r="C100" i="33"/>
  <c r="A101" i="33"/>
  <c r="B101" i="33"/>
  <c r="C101" i="33"/>
  <c r="C4" i="33"/>
  <c r="B4" i="33"/>
  <c r="A4" i="33"/>
  <c r="A9" i="32"/>
  <c r="B9" i="32"/>
  <c r="C9" i="32"/>
  <c r="A10" i="32"/>
  <c r="B10" i="32"/>
  <c r="C10" i="32"/>
  <c r="A11" i="32"/>
  <c r="B11" i="32"/>
  <c r="C11" i="32"/>
  <c r="A12" i="32"/>
  <c r="B12" i="32"/>
  <c r="C12" i="32"/>
  <c r="A13" i="32"/>
  <c r="B13" i="32"/>
  <c r="C13" i="32"/>
  <c r="A14" i="32"/>
  <c r="B14" i="32"/>
  <c r="C14" i="32"/>
  <c r="A15" i="32"/>
  <c r="B15" i="32"/>
  <c r="C15" i="32"/>
  <c r="A16" i="32"/>
  <c r="B16" i="32"/>
  <c r="C16" i="32"/>
  <c r="A17" i="32"/>
  <c r="B17" i="32"/>
  <c r="C17" i="32"/>
  <c r="A18" i="32"/>
  <c r="B18" i="32"/>
  <c r="C18" i="32"/>
  <c r="A19" i="32"/>
  <c r="B19" i="32"/>
  <c r="C19" i="32"/>
  <c r="A20" i="32"/>
  <c r="B20" i="32"/>
  <c r="C20" i="32"/>
  <c r="A21" i="32"/>
  <c r="B21" i="32"/>
  <c r="C21" i="32"/>
  <c r="A22" i="32"/>
  <c r="B22" i="32"/>
  <c r="C22" i="32"/>
  <c r="A23" i="32"/>
  <c r="B23" i="32"/>
  <c r="C23" i="32"/>
  <c r="A24" i="32"/>
  <c r="B24" i="32"/>
  <c r="C24" i="32"/>
  <c r="A25" i="32"/>
  <c r="B25" i="32"/>
  <c r="C25" i="32"/>
  <c r="A26" i="32"/>
  <c r="B26" i="32"/>
  <c r="C26" i="32"/>
  <c r="A27" i="32"/>
  <c r="B27" i="32"/>
  <c r="C27" i="32"/>
  <c r="A28" i="32"/>
  <c r="B28" i="32"/>
  <c r="C28" i="32"/>
  <c r="A29" i="32"/>
  <c r="B29" i="32"/>
  <c r="C29" i="32"/>
  <c r="A30" i="32"/>
  <c r="B30" i="32"/>
  <c r="C30" i="32"/>
  <c r="A31" i="32"/>
  <c r="B31" i="32"/>
  <c r="C31" i="32"/>
  <c r="A32" i="32"/>
  <c r="B32" i="32"/>
  <c r="C32" i="32"/>
  <c r="A33" i="32"/>
  <c r="B33" i="32"/>
  <c r="C33" i="32"/>
  <c r="A34" i="32"/>
  <c r="B34" i="32"/>
  <c r="C34" i="32"/>
  <c r="A35" i="32"/>
  <c r="B35" i="32"/>
  <c r="C35" i="32"/>
  <c r="A36" i="32"/>
  <c r="B36" i="32"/>
  <c r="C36" i="32"/>
  <c r="A37" i="32"/>
  <c r="B37" i="32"/>
  <c r="C37" i="32"/>
  <c r="A38" i="32"/>
  <c r="B38" i="32"/>
  <c r="C38" i="32"/>
  <c r="A39" i="32"/>
  <c r="B39" i="32"/>
  <c r="C39" i="32"/>
  <c r="A40" i="32"/>
  <c r="B40" i="32"/>
  <c r="C40" i="32"/>
  <c r="A41" i="32"/>
  <c r="B41" i="32"/>
  <c r="C41" i="32"/>
  <c r="A42" i="32"/>
  <c r="B42" i="32"/>
  <c r="C42" i="32"/>
  <c r="A43" i="32"/>
  <c r="B43" i="32"/>
  <c r="C43" i="32"/>
  <c r="A44" i="32"/>
  <c r="B44" i="32"/>
  <c r="C44" i="32"/>
  <c r="A45" i="32"/>
  <c r="B45" i="32"/>
  <c r="C45" i="32"/>
  <c r="A46" i="32"/>
  <c r="B46" i="32"/>
  <c r="C46" i="32"/>
  <c r="A47" i="32"/>
  <c r="B47" i="32"/>
  <c r="C47" i="32"/>
  <c r="A48" i="32"/>
  <c r="B48" i="32"/>
  <c r="C48" i="32"/>
  <c r="A49" i="32"/>
  <c r="B49" i="32"/>
  <c r="C49" i="32"/>
  <c r="A50" i="32"/>
  <c r="B50" i="32"/>
  <c r="C50" i="32"/>
  <c r="A51" i="32"/>
  <c r="B51" i="32"/>
  <c r="C51" i="32"/>
  <c r="A52" i="32"/>
  <c r="B52" i="32"/>
  <c r="C52" i="32"/>
  <c r="A53" i="32"/>
  <c r="B53" i="32"/>
  <c r="C53" i="32"/>
  <c r="A54" i="32"/>
  <c r="B54" i="32"/>
  <c r="C54" i="32"/>
  <c r="A55" i="32"/>
  <c r="B55" i="32"/>
  <c r="C55" i="32"/>
  <c r="A56" i="32"/>
  <c r="B56" i="32"/>
  <c r="C56" i="32"/>
  <c r="A57" i="32"/>
  <c r="B57" i="32"/>
  <c r="C57" i="32"/>
  <c r="A58" i="32"/>
  <c r="B58" i="32"/>
  <c r="C58" i="32"/>
  <c r="A59" i="32"/>
  <c r="B59" i="32"/>
  <c r="C59" i="32"/>
  <c r="A60" i="32"/>
  <c r="B60" i="32"/>
  <c r="C60" i="32"/>
  <c r="A61" i="32"/>
  <c r="B61" i="32"/>
  <c r="C61" i="32"/>
  <c r="A62" i="32"/>
  <c r="B62" i="32"/>
  <c r="C62" i="32"/>
  <c r="A63" i="32"/>
  <c r="B63" i="32"/>
  <c r="C63" i="32"/>
  <c r="A64" i="32"/>
  <c r="B64" i="32"/>
  <c r="C64" i="32"/>
  <c r="A65" i="32"/>
  <c r="B65" i="32"/>
  <c r="C65" i="32"/>
  <c r="A66" i="32"/>
  <c r="B66" i="32"/>
  <c r="C66" i="32"/>
  <c r="A67" i="32"/>
  <c r="B67" i="32"/>
  <c r="C67" i="32"/>
  <c r="A68" i="32"/>
  <c r="B68" i="32"/>
  <c r="C68" i="32"/>
  <c r="A69" i="32"/>
  <c r="B69" i="32"/>
  <c r="C69" i="32"/>
  <c r="A70" i="32"/>
  <c r="B70" i="32"/>
  <c r="C70" i="32"/>
  <c r="A71" i="32"/>
  <c r="B71" i="32"/>
  <c r="C71" i="32"/>
  <c r="A72" i="32"/>
  <c r="B72" i="32"/>
  <c r="C72" i="32"/>
  <c r="A73" i="32"/>
  <c r="B73" i="32"/>
  <c r="C73" i="32"/>
  <c r="A74" i="32"/>
  <c r="B74" i="32"/>
  <c r="C74" i="32"/>
  <c r="A75" i="32"/>
  <c r="B75" i="32"/>
  <c r="C75" i="32"/>
  <c r="A76" i="32"/>
  <c r="B76" i="32"/>
  <c r="C76" i="32"/>
  <c r="A77" i="32"/>
  <c r="B77" i="32"/>
  <c r="C77" i="32"/>
  <c r="A78" i="32"/>
  <c r="B78" i="32"/>
  <c r="C78" i="32"/>
  <c r="A79" i="32"/>
  <c r="B79" i="32"/>
  <c r="C79" i="32"/>
  <c r="A80" i="32"/>
  <c r="B80" i="32"/>
  <c r="C80" i="32"/>
  <c r="A81" i="32"/>
  <c r="B81" i="32"/>
  <c r="C81" i="32"/>
  <c r="A82" i="32"/>
  <c r="B82" i="32"/>
  <c r="C82" i="32"/>
  <c r="A83" i="32"/>
  <c r="B83" i="32"/>
  <c r="C83" i="32"/>
  <c r="A84" i="32"/>
  <c r="B84" i="32"/>
  <c r="C84" i="32"/>
  <c r="A85" i="32"/>
  <c r="B85" i="32"/>
  <c r="C85" i="32"/>
  <c r="A86" i="32"/>
  <c r="B86" i="32"/>
  <c r="C86" i="32"/>
  <c r="A87" i="32"/>
  <c r="B87" i="32"/>
  <c r="C87" i="32"/>
  <c r="A88" i="32"/>
  <c r="B88" i="32"/>
  <c r="C88" i="32"/>
  <c r="A89" i="32"/>
  <c r="B89" i="32"/>
  <c r="C89" i="32"/>
  <c r="A90" i="32"/>
  <c r="B90" i="32"/>
  <c r="C90" i="32"/>
  <c r="A91" i="32"/>
  <c r="B91" i="32"/>
  <c r="C91" i="32"/>
  <c r="A92" i="32"/>
  <c r="B92" i="32"/>
  <c r="C92" i="32"/>
  <c r="A93" i="32"/>
  <c r="B93" i="32"/>
  <c r="C93" i="32"/>
  <c r="A94" i="32"/>
  <c r="B94" i="32"/>
  <c r="C94" i="32"/>
  <c r="A95" i="32"/>
  <c r="B95" i="32"/>
  <c r="C95" i="32"/>
  <c r="A96" i="32"/>
  <c r="B96" i="32"/>
  <c r="C96" i="32"/>
  <c r="A97" i="32"/>
  <c r="B97" i="32"/>
  <c r="C97" i="32"/>
  <c r="A98" i="32"/>
  <c r="B98" i="32"/>
  <c r="C98" i="32"/>
  <c r="A99" i="32"/>
  <c r="B99" i="32"/>
  <c r="C99" i="32"/>
  <c r="A100" i="32"/>
  <c r="B100" i="32"/>
  <c r="C100" i="32"/>
  <c r="A101" i="32"/>
  <c r="B101" i="32"/>
  <c r="C101" i="32"/>
  <c r="A102" i="32"/>
  <c r="B102" i="32"/>
  <c r="C102" i="32"/>
  <c r="A103" i="32"/>
  <c r="B103" i="32"/>
  <c r="C103" i="32"/>
  <c r="A104" i="32"/>
  <c r="B104" i="32"/>
  <c r="C104" i="32"/>
  <c r="A5" i="32"/>
  <c r="B5" i="32"/>
  <c r="C5" i="32"/>
  <c r="A6" i="32"/>
  <c r="B6" i="32"/>
  <c r="C6" i="32"/>
  <c r="A7" i="32"/>
  <c r="B7" i="32"/>
  <c r="C7" i="32"/>
  <c r="A8" i="32"/>
  <c r="B8" i="32"/>
  <c r="C8" i="32"/>
  <c r="C4" i="32"/>
  <c r="B4" i="32"/>
  <c r="A4" i="32"/>
  <c r="G102" i="33" l="1"/>
  <c r="E102" i="33"/>
  <c r="D102" i="33"/>
  <c r="F101" i="33"/>
  <c r="F100" i="33"/>
  <c r="F99" i="33"/>
  <c r="F98" i="33"/>
  <c r="F97" i="33"/>
  <c r="F96" i="33"/>
  <c r="F95" i="33"/>
  <c r="F94" i="33"/>
  <c r="F93" i="33"/>
  <c r="F92" i="33"/>
  <c r="F91" i="33"/>
  <c r="F90" i="33"/>
  <c r="F89" i="33"/>
  <c r="F88" i="33"/>
  <c r="F87" i="33"/>
  <c r="F86" i="33"/>
  <c r="F85" i="33"/>
  <c r="F84" i="33"/>
  <c r="F83" i="33"/>
  <c r="F82" i="33"/>
  <c r="F81" i="33"/>
  <c r="F80" i="33"/>
  <c r="F79" i="33"/>
  <c r="F78" i="33"/>
  <c r="F77" i="33"/>
  <c r="F76" i="33"/>
  <c r="F75" i="33"/>
  <c r="F74" i="33"/>
  <c r="F73" i="33"/>
  <c r="F72" i="33"/>
  <c r="F71" i="33"/>
  <c r="F70" i="33"/>
  <c r="F69" i="33"/>
  <c r="F68" i="33"/>
  <c r="F67" i="33"/>
  <c r="F66" i="33"/>
  <c r="F65" i="33"/>
  <c r="F64" i="33"/>
  <c r="F63" i="33"/>
  <c r="F62" i="33"/>
  <c r="F61" i="33"/>
  <c r="F60" i="33"/>
  <c r="F59" i="33"/>
  <c r="F58" i="33"/>
  <c r="F57" i="33"/>
  <c r="F56" i="33"/>
  <c r="F55" i="33"/>
  <c r="F54" i="33"/>
  <c r="F53" i="33"/>
  <c r="F52" i="33"/>
  <c r="F51" i="33"/>
  <c r="F50" i="33"/>
  <c r="F49" i="33"/>
  <c r="F48" i="33"/>
  <c r="F47" i="33"/>
  <c r="F46" i="33"/>
  <c r="F45" i="33"/>
  <c r="F44" i="33"/>
  <c r="F43" i="33"/>
  <c r="F42" i="33"/>
  <c r="F41" i="33"/>
  <c r="F40" i="33"/>
  <c r="F39" i="33"/>
  <c r="F38" i="33"/>
  <c r="F37" i="33"/>
  <c r="F36" i="33"/>
  <c r="F35" i="33"/>
  <c r="F34" i="33"/>
  <c r="F33" i="33"/>
  <c r="F32" i="33"/>
  <c r="F31" i="33"/>
  <c r="F30" i="33"/>
  <c r="F29" i="33"/>
  <c r="F28" i="33"/>
  <c r="F27" i="33"/>
  <c r="F26" i="33"/>
  <c r="F25" i="33"/>
  <c r="F24" i="33"/>
  <c r="F23" i="33"/>
  <c r="F22" i="33"/>
  <c r="F21" i="33"/>
  <c r="F20" i="33"/>
  <c r="F19" i="33"/>
  <c r="F18" i="33"/>
  <c r="F17" i="33"/>
  <c r="F16" i="33"/>
  <c r="F15" i="33"/>
  <c r="F14" i="33"/>
  <c r="F13" i="33"/>
  <c r="F12" i="33"/>
  <c r="F11" i="33"/>
  <c r="F10" i="33"/>
  <c r="F9" i="33"/>
  <c r="F8" i="33"/>
  <c r="F7" i="33"/>
  <c r="F6" i="33"/>
  <c r="F5" i="33"/>
  <c r="F4" i="33"/>
  <c r="F102" i="33" s="1"/>
  <c r="G105" i="32"/>
  <c r="E105" i="32"/>
  <c r="D105" i="32"/>
  <c r="F104" i="32"/>
  <c r="F103" i="32"/>
  <c r="F102" i="32"/>
  <c r="F101" i="32"/>
  <c r="F100" i="32"/>
  <c r="F99" i="32"/>
  <c r="F98" i="32"/>
  <c r="F97" i="32"/>
  <c r="F96" i="32"/>
  <c r="F95" i="32"/>
  <c r="F94" i="32"/>
  <c r="F93" i="32"/>
  <c r="F92" i="32"/>
  <c r="F91" i="32"/>
  <c r="F90" i="32"/>
  <c r="F89" i="32"/>
  <c r="F88" i="32"/>
  <c r="F87" i="32"/>
  <c r="F86" i="32"/>
  <c r="F85" i="32"/>
  <c r="F84" i="32"/>
  <c r="F83" i="32"/>
  <c r="F82" i="32"/>
  <c r="F81" i="32"/>
  <c r="F80" i="32"/>
  <c r="F79" i="32"/>
  <c r="F78" i="32"/>
  <c r="F77" i="32"/>
  <c r="F76" i="32"/>
  <c r="F75" i="32"/>
  <c r="F74" i="32"/>
  <c r="F73" i="32"/>
  <c r="F72" i="32"/>
  <c r="F71" i="32"/>
  <c r="F70" i="32"/>
  <c r="F69" i="32"/>
  <c r="F68" i="32"/>
  <c r="F67" i="32"/>
  <c r="F66" i="32"/>
  <c r="F65" i="32"/>
  <c r="F64" i="32"/>
  <c r="F63" i="32"/>
  <c r="F62" i="32"/>
  <c r="F61" i="32"/>
  <c r="F60" i="32"/>
  <c r="F59" i="32"/>
  <c r="F58" i="32"/>
  <c r="F57" i="32"/>
  <c r="F56" i="32"/>
  <c r="F55" i="32"/>
  <c r="F54" i="32"/>
  <c r="F53" i="32"/>
  <c r="F52" i="32"/>
  <c r="F51" i="32"/>
  <c r="F50" i="32"/>
  <c r="F49" i="32"/>
  <c r="F48" i="32"/>
  <c r="F47" i="32"/>
  <c r="F46" i="32"/>
  <c r="F45" i="32"/>
  <c r="F44" i="32"/>
  <c r="F43" i="32"/>
  <c r="F42" i="32"/>
  <c r="F41" i="32"/>
  <c r="F40" i="32"/>
  <c r="F39" i="32"/>
  <c r="F38" i="32"/>
  <c r="F37" i="32"/>
  <c r="F36" i="32"/>
  <c r="F35" i="32"/>
  <c r="F34" i="32"/>
  <c r="F33" i="32"/>
  <c r="F32" i="32"/>
  <c r="F31" i="32"/>
  <c r="F30" i="32"/>
  <c r="F29" i="32"/>
  <c r="F28" i="32"/>
  <c r="F27" i="32"/>
  <c r="F26" i="32"/>
  <c r="F25" i="32"/>
  <c r="F24" i="32"/>
  <c r="F23" i="32"/>
  <c r="F22" i="32"/>
  <c r="F21" i="32"/>
  <c r="F20" i="32"/>
  <c r="F19" i="32"/>
  <c r="F18" i="32"/>
  <c r="F17" i="32"/>
  <c r="F16" i="32"/>
  <c r="F15" i="32"/>
  <c r="F14" i="32"/>
  <c r="F13" i="32"/>
  <c r="F12" i="32"/>
  <c r="F11" i="32"/>
  <c r="F10" i="32"/>
  <c r="F9" i="32"/>
  <c r="F8" i="32"/>
  <c r="F7" i="32"/>
  <c r="F6" i="32"/>
  <c r="F5" i="32"/>
  <c r="F4" i="32"/>
  <c r="F105" i="32" s="1"/>
  <c r="I67" i="8" l="1"/>
  <c r="H67" i="8"/>
  <c r="J67" i="8"/>
  <c r="I66" i="9"/>
  <c r="H66" i="9"/>
  <c r="H68" i="4" l="1"/>
  <c r="H70" i="8"/>
  <c r="H69" i="9"/>
  <c r="L101" i="2" l="1"/>
  <c r="L105" i="6"/>
  <c r="J102" i="7"/>
  <c r="L102" i="7"/>
  <c r="D102" i="27"/>
  <c r="E102" i="27"/>
  <c r="F102" i="27"/>
  <c r="D105" i="26"/>
  <c r="E105" i="26"/>
  <c r="F105" i="26"/>
  <c r="D105" i="17"/>
  <c r="E105" i="17"/>
  <c r="F105" i="17"/>
  <c r="G105" i="17"/>
  <c r="E104" i="19"/>
  <c r="F104" i="19"/>
  <c r="G104" i="19"/>
  <c r="H104" i="19"/>
  <c r="I104" i="19"/>
  <c r="J104" i="19"/>
  <c r="L104" i="19"/>
  <c r="M104" i="19"/>
  <c r="N104" i="19"/>
  <c r="E101" i="20"/>
  <c r="F101" i="20"/>
  <c r="G101" i="20"/>
  <c r="H101" i="20"/>
  <c r="I101" i="20"/>
  <c r="J101" i="20"/>
  <c r="L101" i="20"/>
  <c r="M101" i="20"/>
  <c r="N101" i="20"/>
  <c r="D102" i="18"/>
  <c r="E102" i="18"/>
  <c r="F102" i="18"/>
  <c r="G102" i="18"/>
  <c r="G103" i="16"/>
  <c r="M103" i="16"/>
  <c r="N103" i="16"/>
  <c r="Q103" i="16"/>
  <c r="E106" i="15"/>
  <c r="G106" i="15"/>
  <c r="K106" i="15"/>
  <c r="M106" i="15"/>
  <c r="N106" i="15"/>
  <c r="P106" i="15"/>
  <c r="Q106" i="15"/>
  <c r="E101" i="22"/>
  <c r="F101" i="22"/>
  <c r="G101" i="22"/>
  <c r="J101" i="22"/>
  <c r="D101" i="22"/>
  <c r="E104" i="21"/>
  <c r="F104" i="21"/>
  <c r="G104" i="21"/>
  <c r="J104" i="21"/>
  <c r="D104" i="21"/>
  <c r="E102" i="14"/>
  <c r="F102" i="14"/>
  <c r="Q102" i="14"/>
  <c r="R102" i="14"/>
  <c r="S102" i="14"/>
  <c r="V102" i="14"/>
  <c r="E105" i="13"/>
  <c r="F105" i="13"/>
  <c r="Q105" i="13"/>
  <c r="R105" i="13"/>
  <c r="S105" i="13"/>
  <c r="V105" i="13"/>
  <c r="J102" i="12"/>
  <c r="K102" i="12"/>
  <c r="P102" i="12"/>
  <c r="Q102" i="12"/>
  <c r="S102" i="12"/>
  <c r="T102" i="12"/>
  <c r="V102" i="12"/>
  <c r="D102" i="12"/>
  <c r="J105" i="11"/>
  <c r="K105" i="11"/>
  <c r="P105" i="11"/>
  <c r="Q105" i="11"/>
  <c r="S105" i="11"/>
  <c r="T105" i="11"/>
  <c r="V105" i="11"/>
  <c r="H93" i="7" l="1"/>
  <c r="H94" i="6"/>
  <c r="W53" i="14" l="1"/>
  <c r="W54" i="13"/>
  <c r="M51" i="12"/>
  <c r="M52" i="11"/>
  <c r="K50" i="16" l="1"/>
  <c r="H40" i="9"/>
  <c r="H39" i="4"/>
  <c r="H41" i="8"/>
  <c r="D23" i="4"/>
  <c r="I23" i="4"/>
  <c r="H23" i="4"/>
  <c r="I23" i="9"/>
  <c r="H23" i="9"/>
  <c r="I24" i="8"/>
  <c r="H24" i="8"/>
  <c r="H25" i="8"/>
  <c r="I45" i="4" l="1"/>
  <c r="I46" i="9"/>
  <c r="I47" i="8"/>
  <c r="J46" i="13"/>
  <c r="D33" i="4" l="1"/>
  <c r="K33" i="4"/>
  <c r="F32" i="7"/>
  <c r="L30" i="11"/>
  <c r="I26" i="22"/>
  <c r="I101" i="22" s="1"/>
  <c r="L27" i="12"/>
  <c r="E27" i="12"/>
  <c r="L28" i="11"/>
  <c r="D21" i="4" l="1"/>
  <c r="D21" i="9" l="1"/>
  <c r="K29" i="9"/>
  <c r="F29" i="9"/>
  <c r="F27" i="9"/>
  <c r="G28" i="8"/>
  <c r="K30" i="8"/>
  <c r="G30" i="8"/>
  <c r="F30" i="8"/>
  <c r="F28" i="8"/>
  <c r="G38" i="4"/>
  <c r="F38" i="4"/>
  <c r="F22" i="8"/>
  <c r="F28" i="7"/>
  <c r="E28" i="7"/>
  <c r="F29" i="6"/>
  <c r="E29" i="6"/>
  <c r="E26" i="7"/>
  <c r="F27" i="6"/>
  <c r="E27" i="6"/>
  <c r="E60" i="2"/>
  <c r="F37" i="2"/>
  <c r="E37" i="2"/>
  <c r="E101" i="2" s="1"/>
  <c r="F21" i="6"/>
  <c r="E21" i="6"/>
  <c r="E20" i="7"/>
  <c r="F20" i="7"/>
  <c r="D22" i="8"/>
  <c r="H45" i="9" l="1"/>
  <c r="H46" i="8"/>
  <c r="H44" i="4"/>
  <c r="J31" i="13"/>
  <c r="J30" i="14"/>
  <c r="G31" i="17"/>
  <c r="M31" i="13"/>
  <c r="F38" i="16"/>
  <c r="J37" i="14"/>
  <c r="H37" i="12"/>
  <c r="O39" i="15"/>
  <c r="F39" i="15"/>
  <c r="J38" i="13"/>
  <c r="H38" i="11"/>
  <c r="M36" i="14" l="1"/>
  <c r="F37" i="11"/>
  <c r="F36" i="12"/>
  <c r="M37" i="13"/>
  <c r="E38" i="8"/>
  <c r="E37" i="9"/>
  <c r="H44" i="9" l="1"/>
  <c r="E44" i="9"/>
  <c r="H45" i="8"/>
  <c r="E45" i="8"/>
  <c r="H43" i="4"/>
  <c r="H26" i="9"/>
  <c r="H27" i="8"/>
  <c r="H26" i="4"/>
  <c r="M49" i="15" l="1"/>
  <c r="P49" i="15"/>
  <c r="L48" i="11"/>
  <c r="L47" i="12"/>
  <c r="E43" i="17" l="1"/>
  <c r="F43" i="11"/>
  <c r="H44" i="8"/>
  <c r="F43" i="6"/>
  <c r="F42" i="12"/>
  <c r="H43" i="9"/>
  <c r="F42" i="7"/>
  <c r="H42" i="4"/>
  <c r="F41" i="2"/>
  <c r="F42" i="17" l="1"/>
  <c r="L41" i="14"/>
  <c r="L42" i="13"/>
  <c r="H43" i="8"/>
  <c r="H42" i="9"/>
  <c r="H41" i="4"/>
  <c r="H42" i="8" l="1"/>
  <c r="H41" i="16"/>
  <c r="F41" i="16"/>
  <c r="D41" i="16"/>
  <c r="H41" i="9"/>
  <c r="H40" i="4"/>
  <c r="D36" i="9" l="1"/>
  <c r="E36" i="9"/>
  <c r="D36" i="4"/>
  <c r="D37" i="8"/>
  <c r="E37" i="8"/>
  <c r="L46" i="14" l="1"/>
  <c r="E33" i="8" l="1"/>
  <c r="E106" i="8" s="1"/>
  <c r="E32" i="4"/>
  <c r="E102" i="4" s="1"/>
  <c r="E32" i="9"/>
  <c r="E103" i="9" s="1"/>
  <c r="W31" i="14"/>
  <c r="J28" i="14"/>
  <c r="L29" i="13"/>
  <c r="J29" i="13"/>
  <c r="D25" i="8"/>
  <c r="H20" i="9" l="1"/>
  <c r="H21" i="8"/>
  <c r="J20" i="13"/>
  <c r="L92" i="14" l="1"/>
  <c r="J92" i="14"/>
  <c r="L90" i="14"/>
  <c r="J90" i="14"/>
  <c r="L93" i="13"/>
  <c r="J93" i="13"/>
  <c r="L91" i="13"/>
  <c r="J91" i="13"/>
  <c r="H48" i="4" l="1"/>
  <c r="K48" i="14"/>
  <c r="K49" i="13"/>
  <c r="M49" i="11"/>
  <c r="L49" i="11"/>
  <c r="H39" i="9"/>
  <c r="H40" i="8"/>
  <c r="J34" i="14"/>
  <c r="L34" i="14"/>
  <c r="J35" i="13"/>
  <c r="L35" i="13"/>
  <c r="L91" i="14" l="1"/>
  <c r="L92" i="13"/>
  <c r="D35" i="9" l="1"/>
  <c r="D36" i="8"/>
  <c r="F34" i="7"/>
  <c r="K36" i="8"/>
  <c r="M27" i="9"/>
  <c r="J27" i="9"/>
  <c r="H27" i="9"/>
  <c r="D27" i="9"/>
  <c r="M26" i="7"/>
  <c r="H27" i="4"/>
  <c r="L26" i="12"/>
  <c r="N26" i="12"/>
  <c r="H26" i="12"/>
  <c r="F26" i="12"/>
  <c r="M28" i="8"/>
  <c r="J28" i="8"/>
  <c r="H28" i="8"/>
  <c r="D28" i="8"/>
  <c r="M27" i="6"/>
  <c r="H27" i="6" s="1"/>
  <c r="H28" i="15"/>
  <c r="H27" i="11"/>
  <c r="F27" i="11"/>
  <c r="D18" i="9"/>
  <c r="H18" i="4"/>
  <c r="D19" i="8"/>
  <c r="H10" i="4" l="1"/>
  <c r="K9" i="4"/>
  <c r="H9" i="4"/>
  <c r="G9" i="4"/>
  <c r="H10" i="9"/>
  <c r="K9" i="9"/>
  <c r="H9" i="9"/>
  <c r="G9" i="9"/>
  <c r="H10" i="8"/>
  <c r="K9" i="8"/>
  <c r="H9" i="8"/>
  <c r="G9" i="8"/>
  <c r="K99" i="9" l="1"/>
  <c r="H99" i="9"/>
  <c r="K98" i="9"/>
  <c r="D98" i="9"/>
  <c r="K97" i="9"/>
  <c r="H95" i="9"/>
  <c r="K94" i="9"/>
  <c r="K93" i="9"/>
  <c r="H93" i="9"/>
  <c r="M92" i="9"/>
  <c r="D92" i="9"/>
  <c r="H90" i="9"/>
  <c r="D90" i="9"/>
  <c r="H89" i="9"/>
  <c r="H83" i="9"/>
  <c r="D83" i="9"/>
  <c r="K101" i="8"/>
  <c r="H101" i="8"/>
  <c r="K100" i="8"/>
  <c r="D100" i="8"/>
  <c r="K99" i="8"/>
  <c r="H96" i="8"/>
  <c r="K95" i="8"/>
  <c r="K94" i="8"/>
  <c r="H94" i="8"/>
  <c r="M93" i="8"/>
  <c r="H93" i="8"/>
  <c r="D93" i="8"/>
  <c r="H91" i="8"/>
  <c r="D91" i="8"/>
  <c r="H90" i="8"/>
  <c r="H84" i="8"/>
  <c r="D84" i="8"/>
  <c r="K98" i="4"/>
  <c r="H98" i="4"/>
  <c r="K97" i="4"/>
  <c r="D97" i="4"/>
  <c r="K96" i="4"/>
  <c r="H94" i="4"/>
  <c r="K93" i="4"/>
  <c r="K92" i="4"/>
  <c r="H92" i="4"/>
  <c r="M91" i="4"/>
  <c r="H91" i="4"/>
  <c r="D91" i="4"/>
  <c r="H89" i="4"/>
  <c r="H88" i="4"/>
  <c r="H87" i="4"/>
  <c r="H82" i="4"/>
  <c r="I97" i="16" l="1"/>
  <c r="W95" i="14"/>
  <c r="W97" i="13"/>
  <c r="M94" i="11"/>
  <c r="M93" i="12"/>
  <c r="D93" i="18"/>
  <c r="D92" i="18"/>
  <c r="D91" i="18"/>
  <c r="D90" i="18"/>
  <c r="D91" i="17"/>
  <c r="D90" i="17"/>
  <c r="D89" i="17"/>
  <c r="D88" i="17"/>
  <c r="H13" i="9" l="1"/>
  <c r="H13" i="8"/>
  <c r="H13" i="4"/>
  <c r="H6" i="9"/>
  <c r="H5" i="9"/>
  <c r="H6" i="8"/>
  <c r="H5" i="8"/>
  <c r="J6" i="4"/>
  <c r="H6" i="4"/>
  <c r="H5" i="4"/>
  <c r="E13" i="17"/>
  <c r="W9" i="14"/>
  <c r="W9" i="13"/>
  <c r="N9" i="11"/>
  <c r="R7" i="12"/>
  <c r="H7" i="12"/>
  <c r="H7" i="11"/>
  <c r="E79" i="12" l="1"/>
  <c r="E80" i="11"/>
  <c r="M79" i="4" l="1"/>
  <c r="K79" i="4"/>
  <c r="H79" i="4"/>
  <c r="D79" i="4"/>
  <c r="M78" i="2"/>
  <c r="F78" i="2"/>
  <c r="D78" i="2"/>
  <c r="M80" i="9"/>
  <c r="K80" i="9"/>
  <c r="H80" i="9"/>
  <c r="D80" i="9"/>
  <c r="M79" i="7"/>
  <c r="D79" i="7"/>
  <c r="M81" i="8"/>
  <c r="K81" i="8"/>
  <c r="H81" i="8"/>
  <c r="G81" i="8"/>
  <c r="D81" i="8"/>
  <c r="M80" i="6"/>
  <c r="G80" i="6"/>
  <c r="D80" i="6"/>
  <c r="K80" i="16" l="1"/>
  <c r="W79" i="14"/>
  <c r="W80" i="13"/>
  <c r="K78" i="4"/>
  <c r="W78" i="14"/>
  <c r="D78" i="14"/>
  <c r="H78" i="12"/>
  <c r="D79" i="13"/>
  <c r="E79" i="17"/>
  <c r="W79" i="13"/>
  <c r="H79" i="11"/>
  <c r="W66" i="14"/>
  <c r="E66" i="12"/>
  <c r="W67" i="13"/>
  <c r="E67" i="11"/>
  <c r="H63" i="4" l="1"/>
  <c r="H64" i="9"/>
  <c r="H65" i="8"/>
  <c r="W63" i="14"/>
  <c r="W64" i="13"/>
  <c r="H62" i="4"/>
  <c r="H63" i="9"/>
  <c r="H64" i="8"/>
  <c r="W62" i="14"/>
  <c r="J62" i="14"/>
  <c r="W63" i="13"/>
  <c r="J63" i="13"/>
  <c r="M62" i="9"/>
  <c r="L62" i="9"/>
  <c r="K62" i="9"/>
  <c r="J62" i="9"/>
  <c r="J103" i="9" s="1"/>
  <c r="I62" i="9"/>
  <c r="I103" i="9" s="1"/>
  <c r="H62" i="9"/>
  <c r="G62" i="9"/>
  <c r="G103" i="9" s="1"/>
  <c r="F62" i="9"/>
  <c r="D62" i="9"/>
  <c r="M61" i="7"/>
  <c r="K61" i="7"/>
  <c r="G61" i="7"/>
  <c r="E61" i="7"/>
  <c r="E102" i="7" s="1"/>
  <c r="D61" i="7"/>
  <c r="M63" i="8"/>
  <c r="J63" i="8"/>
  <c r="J106" i="8" s="1"/>
  <c r="L63" i="8"/>
  <c r="K63" i="8"/>
  <c r="I63" i="8"/>
  <c r="I106" i="8" s="1"/>
  <c r="H63" i="8"/>
  <c r="G63" i="8"/>
  <c r="G106" i="8" s="1"/>
  <c r="F63" i="8"/>
  <c r="D63" i="8"/>
  <c r="M62" i="6"/>
  <c r="G62" i="6"/>
  <c r="F62" i="6"/>
  <c r="E62" i="6"/>
  <c r="E105" i="6" s="1"/>
  <c r="D62" i="6"/>
  <c r="M61" i="4"/>
  <c r="J61" i="4"/>
  <c r="J102" i="4" s="1"/>
  <c r="H61" i="4"/>
  <c r="G61" i="4"/>
  <c r="G102" i="4" s="1"/>
  <c r="F61" i="4"/>
  <c r="F102" i="4" s="1"/>
  <c r="D61" i="4"/>
  <c r="M60" i="2"/>
  <c r="K60" i="2"/>
  <c r="G60" i="2"/>
  <c r="D60" i="2"/>
  <c r="W61" i="14" l="1"/>
  <c r="R61" i="12"/>
  <c r="W62" i="13"/>
  <c r="R62" i="11"/>
  <c r="K59" i="9"/>
  <c r="H59" i="9"/>
  <c r="H60" i="8"/>
  <c r="H58" i="4"/>
  <c r="W58" i="14"/>
  <c r="W59" i="13"/>
  <c r="D30" i="9" l="1"/>
  <c r="D28" i="9"/>
  <c r="F21" i="9"/>
  <c r="F103" i="9" s="1"/>
  <c r="K58" i="8"/>
  <c r="K57" i="8"/>
  <c r="K56" i="8"/>
  <c r="K55" i="8"/>
  <c r="K54" i="8"/>
  <c r="K53" i="8"/>
  <c r="M52" i="8"/>
  <c r="K52" i="8"/>
  <c r="K50" i="8"/>
  <c r="K48" i="8"/>
  <c r="K47" i="8"/>
  <c r="K42" i="8"/>
  <c r="M39" i="8"/>
  <c r="L39" i="8"/>
  <c r="L106" i="8" s="1"/>
  <c r="K38" i="8"/>
  <c r="K34" i="8"/>
  <c r="K32" i="8"/>
  <c r="K26" i="8"/>
  <c r="K24" i="8"/>
  <c r="K23" i="8"/>
  <c r="K17" i="8"/>
  <c r="F24" i="8"/>
  <c r="F106" i="8" s="1"/>
  <c r="D48" i="8"/>
  <c r="D44" i="8"/>
  <c r="D42" i="8"/>
  <c r="D39" i="8"/>
  <c r="D38" i="8"/>
  <c r="D34" i="8"/>
  <c r="D33" i="8"/>
  <c r="D31" i="8"/>
  <c r="D29" i="8"/>
  <c r="K80" i="8"/>
  <c r="K74" i="8"/>
  <c r="K69" i="8"/>
  <c r="K68" i="8"/>
  <c r="M67" i="8"/>
  <c r="K67" i="8"/>
  <c r="H73" i="8"/>
  <c r="H69" i="8"/>
  <c r="H66" i="8"/>
  <c r="H61" i="8"/>
  <c r="H59" i="8"/>
  <c r="D67" i="8"/>
  <c r="D30" i="4" l="1"/>
  <c r="L39" i="14" l="1"/>
  <c r="J49" i="14"/>
  <c r="L40" i="13"/>
  <c r="D30" i="13"/>
  <c r="N50" i="12"/>
  <c r="N49" i="12"/>
  <c r="L29" i="12"/>
  <c r="E45" i="12"/>
  <c r="N46" i="11"/>
  <c r="E46" i="11"/>
  <c r="E28" i="11"/>
  <c r="K103" i="19" l="1"/>
  <c r="K102" i="19"/>
  <c r="K101" i="19"/>
  <c r="K100" i="19"/>
  <c r="K99" i="19"/>
  <c r="K98" i="19"/>
  <c r="K97" i="19"/>
  <c r="K96" i="19"/>
  <c r="K95" i="19"/>
  <c r="K94" i="19"/>
  <c r="K93" i="19"/>
  <c r="K92" i="19"/>
  <c r="K91" i="19"/>
  <c r="K90" i="19"/>
  <c r="K89" i="19"/>
  <c r="K88" i="19"/>
  <c r="K87"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3" i="19"/>
  <c r="K22" i="19"/>
  <c r="K21" i="19"/>
  <c r="K20" i="19"/>
  <c r="K19" i="19"/>
  <c r="K18" i="19"/>
  <c r="K17" i="19"/>
  <c r="K16" i="19"/>
  <c r="K15" i="19"/>
  <c r="K14" i="19"/>
  <c r="K13" i="19"/>
  <c r="K12" i="19"/>
  <c r="K11" i="19"/>
  <c r="K10" i="19"/>
  <c r="K9" i="19"/>
  <c r="K8" i="19"/>
  <c r="K7" i="19"/>
  <c r="K6" i="19"/>
  <c r="K5" i="19"/>
  <c r="K4" i="19"/>
  <c r="K100" i="20"/>
  <c r="K99" i="20"/>
  <c r="K98" i="20"/>
  <c r="K97" i="20"/>
  <c r="K96" i="20"/>
  <c r="K95" i="20"/>
  <c r="K94" i="20"/>
  <c r="K93" i="20"/>
  <c r="K92" i="20"/>
  <c r="K91" i="20"/>
  <c r="K90" i="20"/>
  <c r="K89" i="20"/>
  <c r="K88" i="20"/>
  <c r="K87" i="20"/>
  <c r="K86" i="20"/>
  <c r="K85" i="20"/>
  <c r="K84" i="20"/>
  <c r="K83" i="20"/>
  <c r="K82" i="20"/>
  <c r="K81" i="20"/>
  <c r="K80" i="20"/>
  <c r="K79" i="20"/>
  <c r="K78" i="20"/>
  <c r="K77" i="20"/>
  <c r="K76" i="20"/>
  <c r="K75" i="20"/>
  <c r="K74" i="20"/>
  <c r="K73" i="20"/>
  <c r="K72" i="20"/>
  <c r="K71" i="20"/>
  <c r="K70" i="20"/>
  <c r="K69" i="20"/>
  <c r="K68" i="20"/>
  <c r="K67" i="20"/>
  <c r="K66" i="20"/>
  <c r="K65" i="20"/>
  <c r="K64" i="20"/>
  <c r="K63" i="20"/>
  <c r="K62" i="20"/>
  <c r="K61" i="20"/>
  <c r="K60" i="20"/>
  <c r="K59" i="20"/>
  <c r="K58" i="20"/>
  <c r="K57" i="20"/>
  <c r="K56" i="20"/>
  <c r="K55" i="20"/>
  <c r="K54" i="20"/>
  <c r="K53" i="20"/>
  <c r="K52" i="20"/>
  <c r="K51" i="20"/>
  <c r="K50" i="20"/>
  <c r="K49" i="20"/>
  <c r="K48" i="20"/>
  <c r="K47" i="20"/>
  <c r="K46" i="20"/>
  <c r="K45" i="20"/>
  <c r="K44" i="20"/>
  <c r="K43" i="20"/>
  <c r="K42" i="20"/>
  <c r="K41" i="20"/>
  <c r="K40" i="20"/>
  <c r="K39" i="20"/>
  <c r="K38" i="20"/>
  <c r="K37" i="20"/>
  <c r="K36" i="20"/>
  <c r="K35" i="20"/>
  <c r="K34" i="20"/>
  <c r="K33" i="20"/>
  <c r="K32" i="20"/>
  <c r="K31" i="20"/>
  <c r="K30" i="20"/>
  <c r="K29" i="20"/>
  <c r="K28" i="20"/>
  <c r="K27" i="20"/>
  <c r="K26" i="20"/>
  <c r="K25" i="20"/>
  <c r="K24" i="20"/>
  <c r="K22" i="20"/>
  <c r="K21" i="20"/>
  <c r="K20" i="20"/>
  <c r="K19" i="20"/>
  <c r="K18" i="20"/>
  <c r="K17" i="20"/>
  <c r="K16" i="20"/>
  <c r="K15" i="20"/>
  <c r="K14" i="20"/>
  <c r="K13" i="20"/>
  <c r="K12" i="20"/>
  <c r="K11" i="20"/>
  <c r="K10" i="20"/>
  <c r="K9" i="20"/>
  <c r="K8" i="20"/>
  <c r="K7" i="20"/>
  <c r="K6" i="20"/>
  <c r="K5" i="20"/>
  <c r="K4" i="20"/>
  <c r="K3" i="20"/>
  <c r="K57" i="9" l="1"/>
  <c r="K56" i="9"/>
  <c r="K55" i="9"/>
  <c r="K54" i="9"/>
  <c r="K53" i="9"/>
  <c r="K52" i="9"/>
  <c r="M51" i="9"/>
  <c r="K51" i="9"/>
  <c r="K49" i="9"/>
  <c r="K47" i="9"/>
  <c r="K46" i="9"/>
  <c r="D43" i="9"/>
  <c r="K41" i="9"/>
  <c r="D41" i="9"/>
  <c r="M38" i="9"/>
  <c r="L38" i="9"/>
  <c r="L103" i="9" s="1"/>
  <c r="D38" i="9"/>
  <c r="K37" i="9"/>
  <c r="D37" i="9"/>
  <c r="K33" i="9"/>
  <c r="D33" i="9"/>
  <c r="D32" i="9"/>
  <c r="K31" i="9"/>
  <c r="K25" i="9"/>
  <c r="K23" i="9"/>
  <c r="K22" i="9"/>
  <c r="K16" i="9"/>
  <c r="H56" i="7"/>
  <c r="H55" i="7"/>
  <c r="H54" i="7"/>
  <c r="H53" i="7"/>
  <c r="H52" i="7"/>
  <c r="H51" i="7"/>
  <c r="M50" i="7"/>
  <c r="H50" i="7"/>
  <c r="H49" i="7"/>
  <c r="H48" i="7"/>
  <c r="H47" i="7"/>
  <c r="H46" i="7"/>
  <c r="H45" i="7"/>
  <c r="H44" i="7"/>
  <c r="H43" i="7"/>
  <c r="H42" i="7"/>
  <c r="H41" i="7"/>
  <c r="F41" i="7"/>
  <c r="H40" i="7"/>
  <c r="H39" i="7"/>
  <c r="H38" i="7"/>
  <c r="M37" i="7"/>
  <c r="K37" i="7"/>
  <c r="K102" i="7" s="1"/>
  <c r="F37" i="7"/>
  <c r="H37" i="7" s="1"/>
  <c r="H36" i="7"/>
  <c r="H35" i="7"/>
  <c r="H34" i="7"/>
  <c r="H33" i="7"/>
  <c r="H32" i="7"/>
  <c r="H31" i="7"/>
  <c r="H30" i="7"/>
  <c r="F29" i="7"/>
  <c r="H29" i="7" s="1"/>
  <c r="H28" i="7"/>
  <c r="H27" i="7"/>
  <c r="H26" i="7"/>
  <c r="H25" i="7"/>
  <c r="F24" i="7"/>
  <c r="H24" i="7" s="1"/>
  <c r="H23" i="7"/>
  <c r="H22" i="7"/>
  <c r="F21" i="7"/>
  <c r="H20" i="7"/>
  <c r="H19" i="7"/>
  <c r="H18" i="7"/>
  <c r="H17" i="7"/>
  <c r="H16" i="7"/>
  <c r="D15" i="7"/>
  <c r="H57" i="6"/>
  <c r="H56" i="6"/>
  <c r="H55" i="6"/>
  <c r="H54" i="6"/>
  <c r="H53" i="6"/>
  <c r="H52" i="6"/>
  <c r="M51" i="6"/>
  <c r="H51" i="6"/>
  <c r="H50" i="6"/>
  <c r="H49" i="6"/>
  <c r="H48" i="6"/>
  <c r="H47" i="6"/>
  <c r="H46" i="6"/>
  <c r="H45" i="6"/>
  <c r="H44" i="6"/>
  <c r="H43" i="6"/>
  <c r="F42" i="6"/>
  <c r="H42" i="6" s="1"/>
  <c r="H41" i="6"/>
  <c r="H40" i="6"/>
  <c r="H39" i="6"/>
  <c r="M38" i="6"/>
  <c r="K38" i="6"/>
  <c r="K105" i="6" s="1"/>
  <c r="F38" i="6"/>
  <c r="H37" i="6"/>
  <c r="H36" i="6"/>
  <c r="H35" i="6"/>
  <c r="H34" i="6"/>
  <c r="F33" i="6"/>
  <c r="H33" i="6" s="1"/>
  <c r="H32" i="6"/>
  <c r="H31" i="6"/>
  <c r="F30" i="6"/>
  <c r="H30" i="6" s="1"/>
  <c r="H29" i="6"/>
  <c r="H28" i="6"/>
  <c r="H26" i="6"/>
  <c r="F25" i="6"/>
  <c r="H25" i="6" s="1"/>
  <c r="H24" i="6"/>
  <c r="H23" i="6"/>
  <c r="F22" i="6"/>
  <c r="H21" i="6"/>
  <c r="H20" i="6"/>
  <c r="H19" i="6"/>
  <c r="H18" i="6"/>
  <c r="H17" i="6"/>
  <c r="D16" i="6"/>
  <c r="K56" i="4"/>
  <c r="K55" i="4"/>
  <c r="K54" i="4"/>
  <c r="K53" i="4"/>
  <c r="K52" i="4"/>
  <c r="K51" i="4"/>
  <c r="K50" i="4"/>
  <c r="K48" i="4"/>
  <c r="K46" i="4"/>
  <c r="K45" i="4"/>
  <c r="D42" i="4"/>
  <c r="K40" i="4"/>
  <c r="D40" i="4"/>
  <c r="M38" i="4"/>
  <c r="L38" i="4"/>
  <c r="L102" i="4" s="1"/>
  <c r="H38" i="4"/>
  <c r="D38" i="4"/>
  <c r="K37" i="4"/>
  <c r="D37" i="4"/>
  <c r="D32" i="4"/>
  <c r="K31" i="4"/>
  <c r="D28" i="4"/>
  <c r="D27" i="4"/>
  <c r="K17" i="4"/>
  <c r="H55" i="2"/>
  <c r="H54" i="2"/>
  <c r="H53" i="2"/>
  <c r="H52" i="2"/>
  <c r="H51" i="2"/>
  <c r="H50" i="2"/>
  <c r="H49" i="2"/>
  <c r="H48" i="2"/>
  <c r="H47" i="2"/>
  <c r="H46" i="2"/>
  <c r="H45" i="2"/>
  <c r="H44" i="2"/>
  <c r="H43" i="2"/>
  <c r="H42" i="2"/>
  <c r="H41" i="2"/>
  <c r="H40" i="2"/>
  <c r="F40" i="2"/>
  <c r="H39" i="2"/>
  <c r="H38" i="2"/>
  <c r="M37" i="2"/>
  <c r="K37" i="2"/>
  <c r="K101" i="2" s="1"/>
  <c r="G37" i="2"/>
  <c r="D37" i="2"/>
  <c r="D101" i="2" s="1"/>
  <c r="H36" i="2"/>
  <c r="H35" i="2"/>
  <c r="H34" i="2"/>
  <c r="H33" i="2"/>
  <c r="F32" i="2"/>
  <c r="H32" i="2" s="1"/>
  <c r="H31" i="2"/>
  <c r="H30" i="2"/>
  <c r="F29" i="2"/>
  <c r="H28" i="2"/>
  <c r="H27" i="2"/>
  <c r="H26" i="2"/>
  <c r="H25" i="2"/>
  <c r="H24" i="2"/>
  <c r="H23" i="2"/>
  <c r="H22" i="2"/>
  <c r="H21" i="2"/>
  <c r="H20" i="2"/>
  <c r="H19" i="2"/>
  <c r="H18" i="2"/>
  <c r="H17" i="2"/>
  <c r="H16" i="2"/>
  <c r="H15" i="2"/>
  <c r="D23" i="20"/>
  <c r="D24" i="19"/>
  <c r="P48" i="16"/>
  <c r="P103" i="16" s="1"/>
  <c r="O40" i="16"/>
  <c r="H38" i="16"/>
  <c r="D38" i="16"/>
  <c r="E32" i="16"/>
  <c r="H27" i="16"/>
  <c r="E24"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16" i="16"/>
  <c r="C17" i="16"/>
  <c r="C18" i="16"/>
  <c r="C19" i="16"/>
  <c r="C20" i="16"/>
  <c r="O42" i="15"/>
  <c r="O41" i="15"/>
  <c r="O34" i="15"/>
  <c r="N33" i="15"/>
  <c r="O32" i="15"/>
  <c r="H39" i="15"/>
  <c r="D39" i="15"/>
  <c r="H15" i="7" l="1"/>
  <c r="H21" i="7"/>
  <c r="H29" i="2"/>
  <c r="D101" i="20"/>
  <c r="K23" i="20"/>
  <c r="K101" i="20" s="1"/>
  <c r="D104" i="19"/>
  <c r="K24" i="19"/>
  <c r="E103" i="16"/>
  <c r="H16" i="6"/>
  <c r="H22" i="6"/>
  <c r="H38" i="6"/>
  <c r="H37" i="2"/>
  <c r="H55" i="22"/>
  <c r="H54" i="22"/>
  <c r="H53" i="22"/>
  <c r="H52" i="22"/>
  <c r="H51" i="22"/>
  <c r="H50" i="22"/>
  <c r="H49" i="22"/>
  <c r="H48" i="22"/>
  <c r="H47" i="22"/>
  <c r="H46" i="22"/>
  <c r="H45" i="22"/>
  <c r="H44" i="22"/>
  <c r="H43" i="22"/>
  <c r="H42" i="22"/>
  <c r="H41" i="22"/>
  <c r="H40" i="22"/>
  <c r="H39" i="22"/>
  <c r="H38" i="22"/>
  <c r="H37" i="22"/>
  <c r="H36" i="22"/>
  <c r="H35" i="22"/>
  <c r="H34" i="22"/>
  <c r="H33" i="22"/>
  <c r="H32" i="22"/>
  <c r="H31" i="22"/>
  <c r="H30" i="22"/>
  <c r="H29" i="22"/>
  <c r="H28" i="22"/>
  <c r="H27" i="22"/>
  <c r="H26" i="22"/>
  <c r="H25" i="22"/>
  <c r="H24" i="22"/>
  <c r="H23" i="22"/>
  <c r="H22" i="22"/>
  <c r="H21" i="22"/>
  <c r="H20" i="22"/>
  <c r="H19" i="22"/>
  <c r="H18" i="22"/>
  <c r="H17" i="22"/>
  <c r="H16" i="22"/>
  <c r="H15" i="22"/>
  <c r="H14" i="22"/>
  <c r="H56" i="21"/>
  <c r="H55" i="21"/>
  <c r="H54" i="21"/>
  <c r="H53" i="21"/>
  <c r="H52" i="21"/>
  <c r="H51" i="21"/>
  <c r="H50" i="21"/>
  <c r="H49" i="21"/>
  <c r="H48" i="21"/>
  <c r="H47" i="21"/>
  <c r="H46" i="21"/>
  <c r="H45" i="21"/>
  <c r="H44" i="21"/>
  <c r="H43"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5" i="21"/>
  <c r="W56" i="14"/>
  <c r="P56" i="14"/>
  <c r="T56" i="14" s="1"/>
  <c r="N56" i="14"/>
  <c r="G56" i="14"/>
  <c r="W55" i="14"/>
  <c r="P55" i="14"/>
  <c r="T55" i="14" s="1"/>
  <c r="N55" i="14"/>
  <c r="G55" i="14"/>
  <c r="W54" i="14"/>
  <c r="P54" i="14"/>
  <c r="T54" i="14" s="1"/>
  <c r="J54" i="14"/>
  <c r="N54" i="14" s="1"/>
  <c r="G54" i="14"/>
  <c r="P53" i="14"/>
  <c r="T53" i="14" s="1"/>
  <c r="J53" i="14"/>
  <c r="N53" i="14" s="1"/>
  <c r="G53" i="14"/>
  <c r="W52" i="14"/>
  <c r="P52" i="14"/>
  <c r="T52" i="14" s="1"/>
  <c r="N52" i="14"/>
  <c r="G52" i="14"/>
  <c r="W51" i="14"/>
  <c r="P51" i="14"/>
  <c r="T51" i="14" s="1"/>
  <c r="J51" i="14"/>
  <c r="N51" i="14" s="1"/>
  <c r="G51" i="14"/>
  <c r="W50" i="14"/>
  <c r="P50" i="14"/>
  <c r="T50" i="14" s="1"/>
  <c r="N50" i="14"/>
  <c r="G50" i="14"/>
  <c r="W49" i="14"/>
  <c r="P49" i="14"/>
  <c r="T49" i="14" s="1"/>
  <c r="N49" i="14"/>
  <c r="D49" i="14"/>
  <c r="G49" i="14" s="1"/>
  <c r="W48" i="14"/>
  <c r="P48" i="14"/>
  <c r="T48" i="14" s="1"/>
  <c r="N48" i="14"/>
  <c r="D48" i="14"/>
  <c r="G48" i="14" s="1"/>
  <c r="W47" i="14"/>
  <c r="P47" i="14"/>
  <c r="T47" i="14" s="1"/>
  <c r="L47" i="14"/>
  <c r="K47" i="14"/>
  <c r="N47" i="14" s="1"/>
  <c r="D47" i="14"/>
  <c r="G47" i="14" s="1"/>
  <c r="W46" i="14"/>
  <c r="P46" i="14"/>
  <c r="T46" i="14" s="1"/>
  <c r="J46" i="14"/>
  <c r="I46" i="14"/>
  <c r="D46" i="14"/>
  <c r="G46" i="14" s="1"/>
  <c r="W45" i="14"/>
  <c r="P45" i="14"/>
  <c r="T45" i="14" s="1"/>
  <c r="L45" i="14"/>
  <c r="N45" i="14" s="1"/>
  <c r="J45" i="14"/>
  <c r="D45" i="14"/>
  <c r="G45" i="14" s="1"/>
  <c r="P44" i="14"/>
  <c r="T44" i="14" s="1"/>
  <c r="N44" i="14"/>
  <c r="G44" i="14"/>
  <c r="W43" i="14"/>
  <c r="P43" i="14"/>
  <c r="T43" i="14" s="1"/>
  <c r="N43" i="14"/>
  <c r="G43" i="14"/>
  <c r="W42" i="14"/>
  <c r="P42" i="14"/>
  <c r="T42" i="14" s="1"/>
  <c r="N42" i="14"/>
  <c r="G42" i="14"/>
  <c r="D42" i="14"/>
  <c r="P41" i="14"/>
  <c r="T41" i="14" s="1"/>
  <c r="J41" i="14"/>
  <c r="N41" i="14" s="1"/>
  <c r="G41" i="14"/>
  <c r="W40" i="14"/>
  <c r="P40" i="14"/>
  <c r="T40" i="14" s="1"/>
  <c r="N40" i="14"/>
  <c r="L40" i="14"/>
  <c r="G40" i="14"/>
  <c r="W39" i="14"/>
  <c r="P39" i="14"/>
  <c r="T39" i="14" s="1"/>
  <c r="N39" i="14"/>
  <c r="G39" i="14"/>
  <c r="W38" i="14"/>
  <c r="T38" i="14"/>
  <c r="P38" i="14"/>
  <c r="N38" i="14"/>
  <c r="G38" i="14"/>
  <c r="W37" i="14"/>
  <c r="P37" i="14"/>
  <c r="T37" i="14" s="1"/>
  <c r="K37" i="14"/>
  <c r="N37" i="14" s="1"/>
  <c r="D37" i="14"/>
  <c r="G37" i="14" s="1"/>
  <c r="W36" i="14"/>
  <c r="P36" i="14"/>
  <c r="T36" i="14" s="1"/>
  <c r="N36" i="14"/>
  <c r="G36" i="14"/>
  <c r="W35" i="14"/>
  <c r="P35" i="14"/>
  <c r="T35" i="14" s="1"/>
  <c r="K35" i="14"/>
  <c r="N35" i="14" s="1"/>
  <c r="G35" i="14"/>
  <c r="D35" i="14"/>
  <c r="W34" i="14"/>
  <c r="T34" i="14"/>
  <c r="P34" i="14"/>
  <c r="K34" i="14"/>
  <c r="N34" i="14"/>
  <c r="G34" i="14"/>
  <c r="W33" i="14"/>
  <c r="P33" i="14"/>
  <c r="T33" i="14" s="1"/>
  <c r="L33" i="14"/>
  <c r="J33" i="14"/>
  <c r="G33" i="14"/>
  <c r="W32" i="14"/>
  <c r="T32" i="14"/>
  <c r="P32" i="14"/>
  <c r="N32" i="14"/>
  <c r="G32" i="14"/>
  <c r="P31" i="14"/>
  <c r="T31" i="14" s="1"/>
  <c r="N31" i="14"/>
  <c r="J31" i="14"/>
  <c r="D31" i="14"/>
  <c r="G31" i="14" s="1"/>
  <c r="W30" i="14"/>
  <c r="P30" i="14"/>
  <c r="T30" i="14" s="1"/>
  <c r="N30" i="14"/>
  <c r="G30" i="14"/>
  <c r="W29" i="14"/>
  <c r="T29" i="14"/>
  <c r="P29" i="14"/>
  <c r="J29" i="14"/>
  <c r="N29" i="14" s="1"/>
  <c r="G29" i="14"/>
  <c r="D29" i="14"/>
  <c r="W28" i="14"/>
  <c r="P28" i="14"/>
  <c r="T28" i="14" s="1"/>
  <c r="L28" i="14"/>
  <c r="K28" i="14"/>
  <c r="G28" i="14"/>
  <c r="W27" i="14"/>
  <c r="P27" i="14"/>
  <c r="T27" i="14" s="1"/>
  <c r="L27" i="14"/>
  <c r="N27" i="14" s="1"/>
  <c r="G27" i="14"/>
  <c r="W26" i="14"/>
  <c r="T26" i="14"/>
  <c r="P26" i="14"/>
  <c r="L26" i="14"/>
  <c r="J26" i="14"/>
  <c r="N26" i="14" s="1"/>
  <c r="G26" i="14"/>
  <c r="W25" i="14"/>
  <c r="P25" i="14"/>
  <c r="T25" i="14" s="1"/>
  <c r="N25" i="14"/>
  <c r="G25" i="14"/>
  <c r="W24" i="14"/>
  <c r="P24" i="14"/>
  <c r="T24" i="14" s="1"/>
  <c r="M24" i="14"/>
  <c r="J24" i="14"/>
  <c r="N24" i="14" s="1"/>
  <c r="G24" i="14"/>
  <c r="W23" i="14"/>
  <c r="P23" i="14"/>
  <c r="T23" i="14" s="1"/>
  <c r="L23" i="14"/>
  <c r="N23" i="14" s="1"/>
  <c r="J23" i="14"/>
  <c r="D23" i="14"/>
  <c r="G23" i="14" s="1"/>
  <c r="W22" i="14"/>
  <c r="P22" i="14"/>
  <c r="T22" i="14" s="1"/>
  <c r="N22" i="14"/>
  <c r="G22" i="14"/>
  <c r="W21" i="14"/>
  <c r="P21" i="14"/>
  <c r="T21" i="14" s="1"/>
  <c r="K21" i="14"/>
  <c r="N21" i="14" s="1"/>
  <c r="J21" i="14"/>
  <c r="G21" i="14"/>
  <c r="W20" i="14"/>
  <c r="U20" i="14"/>
  <c r="U102" i="14" s="1"/>
  <c r="P20" i="14"/>
  <c r="T20" i="14" s="1"/>
  <c r="L20" i="14"/>
  <c r="K20" i="14"/>
  <c r="J20" i="14"/>
  <c r="G20" i="14"/>
  <c r="W19" i="14"/>
  <c r="P19" i="14"/>
  <c r="T19" i="14" s="1"/>
  <c r="J19" i="14"/>
  <c r="N19" i="14" s="1"/>
  <c r="D19" i="14"/>
  <c r="G19" i="14" s="1"/>
  <c r="W18" i="14"/>
  <c r="P18" i="14"/>
  <c r="T18" i="14" s="1"/>
  <c r="N18" i="14"/>
  <c r="D18" i="14"/>
  <c r="G18" i="14" s="1"/>
  <c r="W17" i="14"/>
  <c r="P17" i="14"/>
  <c r="T17" i="14" s="1"/>
  <c r="J17" i="14"/>
  <c r="N17" i="14" s="1"/>
  <c r="G17" i="14"/>
  <c r="T16" i="14"/>
  <c r="P16" i="14"/>
  <c r="N16" i="14"/>
  <c r="G16" i="14"/>
  <c r="W15" i="14"/>
  <c r="P15" i="14"/>
  <c r="T15" i="14" s="1"/>
  <c r="N15" i="14"/>
  <c r="G15" i="14"/>
  <c r="W57" i="13"/>
  <c r="P57" i="13"/>
  <c r="T57" i="13" s="1"/>
  <c r="N57" i="13"/>
  <c r="G57" i="13"/>
  <c r="W56" i="13"/>
  <c r="P56" i="13"/>
  <c r="T56" i="13" s="1"/>
  <c r="J56" i="13"/>
  <c r="N56" i="13" s="1"/>
  <c r="G56" i="13"/>
  <c r="W55" i="13"/>
  <c r="P55" i="13"/>
  <c r="T55" i="13" s="1"/>
  <c r="J55" i="13"/>
  <c r="N55" i="13" s="1"/>
  <c r="G55" i="13"/>
  <c r="P54" i="13"/>
  <c r="T54" i="13" s="1"/>
  <c r="J54" i="13"/>
  <c r="N54" i="13" s="1"/>
  <c r="G54" i="13"/>
  <c r="W53" i="13"/>
  <c r="P53" i="13"/>
  <c r="T53" i="13" s="1"/>
  <c r="N53" i="13"/>
  <c r="G53" i="13"/>
  <c r="W52" i="13"/>
  <c r="P52" i="13"/>
  <c r="T52" i="13" s="1"/>
  <c r="J52" i="13"/>
  <c r="N52" i="13" s="1"/>
  <c r="G52" i="13"/>
  <c r="W51" i="13"/>
  <c r="P51" i="13"/>
  <c r="T51" i="13" s="1"/>
  <c r="N51" i="13"/>
  <c r="G51" i="13"/>
  <c r="P50" i="13"/>
  <c r="T50" i="13" s="1"/>
  <c r="N50" i="13"/>
  <c r="G50" i="13"/>
  <c r="W49" i="13"/>
  <c r="P49" i="13"/>
  <c r="T49" i="13" s="1"/>
  <c r="N49" i="13"/>
  <c r="D49" i="13"/>
  <c r="G49" i="13" s="1"/>
  <c r="W48" i="13"/>
  <c r="P48" i="13"/>
  <c r="T48" i="13" s="1"/>
  <c r="L48" i="13"/>
  <c r="K48" i="13"/>
  <c r="D48" i="13"/>
  <c r="G48" i="13" s="1"/>
  <c r="W47" i="13"/>
  <c r="P47" i="13"/>
  <c r="T47" i="13" s="1"/>
  <c r="L47" i="13"/>
  <c r="J47" i="13"/>
  <c r="N47" i="13" s="1"/>
  <c r="I47" i="13"/>
  <c r="I105" i="13" s="1"/>
  <c r="G47" i="13"/>
  <c r="D47" i="13"/>
  <c r="W46" i="13"/>
  <c r="P46" i="13"/>
  <c r="T46" i="13" s="1"/>
  <c r="L46" i="13"/>
  <c r="N46" i="13" s="1"/>
  <c r="G46" i="13"/>
  <c r="D46" i="13"/>
  <c r="P45" i="13"/>
  <c r="T45" i="13" s="1"/>
  <c r="N45" i="13"/>
  <c r="G45" i="13"/>
  <c r="W44" i="13"/>
  <c r="P44" i="13"/>
  <c r="T44" i="13" s="1"/>
  <c r="N44" i="13"/>
  <c r="G44" i="13"/>
  <c r="W43" i="13"/>
  <c r="P43" i="13"/>
  <c r="T43" i="13" s="1"/>
  <c r="N43" i="13"/>
  <c r="D43" i="13"/>
  <c r="G43" i="13" s="1"/>
  <c r="P42" i="13"/>
  <c r="T42" i="13" s="1"/>
  <c r="J42" i="13"/>
  <c r="N42" i="13" s="1"/>
  <c r="G42" i="13"/>
  <c r="W41" i="13"/>
  <c r="P41" i="13"/>
  <c r="T41" i="13" s="1"/>
  <c r="L41" i="13"/>
  <c r="N41" i="13" s="1"/>
  <c r="G41" i="13"/>
  <c r="W40" i="13"/>
  <c r="P40" i="13"/>
  <c r="T40" i="13" s="1"/>
  <c r="N40" i="13"/>
  <c r="G40" i="13"/>
  <c r="P39" i="13"/>
  <c r="T39" i="13" s="1"/>
  <c r="N39" i="13"/>
  <c r="G39" i="13"/>
  <c r="W38" i="13"/>
  <c r="P38" i="13"/>
  <c r="T38" i="13" s="1"/>
  <c r="K38" i="13"/>
  <c r="N38" i="13" s="1"/>
  <c r="D38" i="13"/>
  <c r="G38" i="13" s="1"/>
  <c r="W37" i="13"/>
  <c r="P37" i="13"/>
  <c r="T37" i="13" s="1"/>
  <c r="N37" i="13"/>
  <c r="G37" i="13"/>
  <c r="W36" i="13"/>
  <c r="P36" i="13"/>
  <c r="T36" i="13" s="1"/>
  <c r="N36" i="13"/>
  <c r="D36" i="13"/>
  <c r="G36" i="13" s="1"/>
  <c r="W35" i="13"/>
  <c r="T35" i="13"/>
  <c r="P35" i="13"/>
  <c r="K35" i="13"/>
  <c r="N35" i="13" s="1"/>
  <c r="G35" i="13"/>
  <c r="W34" i="13"/>
  <c r="T34" i="13"/>
  <c r="P34" i="13"/>
  <c r="L34" i="13"/>
  <c r="J34" i="13"/>
  <c r="G34" i="13"/>
  <c r="W33" i="13"/>
  <c r="T33" i="13"/>
  <c r="P33" i="13"/>
  <c r="N33" i="13"/>
  <c r="G33" i="13"/>
  <c r="W32" i="13"/>
  <c r="P32" i="13"/>
  <c r="T32" i="13" s="1"/>
  <c r="N32" i="13"/>
  <c r="J32" i="13"/>
  <c r="D32" i="13"/>
  <c r="G32" i="13" s="1"/>
  <c r="W31" i="13"/>
  <c r="U31" i="13"/>
  <c r="P31" i="13"/>
  <c r="T31" i="13" s="1"/>
  <c r="N31" i="13"/>
  <c r="G31" i="13"/>
  <c r="W30" i="13"/>
  <c r="P30" i="13"/>
  <c r="T30" i="13" s="1"/>
  <c r="J30" i="13"/>
  <c r="N30" i="13" s="1"/>
  <c r="G30" i="13"/>
  <c r="W29" i="13"/>
  <c r="P29" i="13"/>
  <c r="T29" i="13" s="1"/>
  <c r="N29" i="13"/>
  <c r="K29" i="13"/>
  <c r="G29" i="13"/>
  <c r="W28" i="13"/>
  <c r="P28" i="13"/>
  <c r="T28" i="13" s="1"/>
  <c r="L28" i="13"/>
  <c r="N28" i="13" s="1"/>
  <c r="G28" i="13"/>
  <c r="W27" i="13"/>
  <c r="P27" i="13"/>
  <c r="T27" i="13" s="1"/>
  <c r="L27" i="13"/>
  <c r="N27" i="13" s="1"/>
  <c r="J27" i="13"/>
  <c r="G27" i="13"/>
  <c r="W26" i="13"/>
  <c r="P26" i="13"/>
  <c r="T26" i="13" s="1"/>
  <c r="N26" i="13"/>
  <c r="G26" i="13"/>
  <c r="W25" i="13"/>
  <c r="P25" i="13"/>
  <c r="T25" i="13" s="1"/>
  <c r="M25" i="13"/>
  <c r="J25" i="13"/>
  <c r="N25" i="13" s="1"/>
  <c r="G25" i="13"/>
  <c r="W24" i="13"/>
  <c r="P24" i="13"/>
  <c r="T24" i="13" s="1"/>
  <c r="L24" i="13"/>
  <c r="N24" i="13" s="1"/>
  <c r="D24" i="13"/>
  <c r="G24" i="13" s="1"/>
  <c r="W23" i="13"/>
  <c r="P23" i="13"/>
  <c r="T23" i="13" s="1"/>
  <c r="N23" i="13"/>
  <c r="G23" i="13"/>
  <c r="W22" i="13"/>
  <c r="P22" i="13"/>
  <c r="T22" i="13" s="1"/>
  <c r="N22" i="13"/>
  <c r="K22" i="13"/>
  <c r="G22" i="13"/>
  <c r="W21" i="13"/>
  <c r="U21" i="13"/>
  <c r="P21" i="13"/>
  <c r="T21" i="13" s="1"/>
  <c r="L21" i="13"/>
  <c r="N21" i="13" s="1"/>
  <c r="K21" i="13"/>
  <c r="J21" i="13"/>
  <c r="G21" i="13"/>
  <c r="W20" i="13"/>
  <c r="P20" i="13"/>
  <c r="T20" i="13" s="1"/>
  <c r="N20" i="13"/>
  <c r="D20" i="13"/>
  <c r="G20" i="13" s="1"/>
  <c r="W19" i="13"/>
  <c r="P19" i="13"/>
  <c r="T19" i="13" s="1"/>
  <c r="N19" i="13"/>
  <c r="D19" i="13"/>
  <c r="G19" i="13" s="1"/>
  <c r="W18" i="13"/>
  <c r="T18" i="13"/>
  <c r="P18" i="13"/>
  <c r="J18" i="13"/>
  <c r="N18" i="13" s="1"/>
  <c r="G18" i="13"/>
  <c r="P17" i="13"/>
  <c r="T17" i="13" s="1"/>
  <c r="N17" i="13"/>
  <c r="G17" i="13"/>
  <c r="W16" i="13"/>
  <c r="T16" i="13"/>
  <c r="P16" i="13"/>
  <c r="N16" i="13"/>
  <c r="G16" i="13"/>
  <c r="U56" i="12"/>
  <c r="N56" i="12"/>
  <c r="M56" i="12"/>
  <c r="I56" i="12"/>
  <c r="U55" i="12"/>
  <c r="N55" i="12"/>
  <c r="M55" i="12"/>
  <c r="O55" i="12" s="1"/>
  <c r="I55" i="12"/>
  <c r="U54" i="12"/>
  <c r="N54" i="12"/>
  <c r="M54" i="12"/>
  <c r="I54" i="12"/>
  <c r="U53" i="12"/>
  <c r="N53" i="12"/>
  <c r="M53" i="12"/>
  <c r="O53" i="12" s="1"/>
  <c r="I53" i="12"/>
  <c r="U52" i="12"/>
  <c r="N52" i="12"/>
  <c r="M52" i="12"/>
  <c r="I52" i="12"/>
  <c r="U51" i="12"/>
  <c r="N51" i="12"/>
  <c r="O51" i="12" s="1"/>
  <c r="I51" i="12"/>
  <c r="U50" i="12"/>
  <c r="O50" i="12"/>
  <c r="E50" i="12"/>
  <c r="I50" i="12" s="1"/>
  <c r="U49" i="12"/>
  <c r="O49" i="12"/>
  <c r="I49" i="12"/>
  <c r="U48" i="12"/>
  <c r="M48" i="12"/>
  <c r="O48" i="12" s="1"/>
  <c r="H48" i="12"/>
  <c r="E48" i="12"/>
  <c r="I48" i="12" s="1"/>
  <c r="U47" i="12"/>
  <c r="N47" i="12"/>
  <c r="O47" i="12" s="1"/>
  <c r="E47" i="12"/>
  <c r="I47" i="12" s="1"/>
  <c r="U46" i="12"/>
  <c r="O46" i="12"/>
  <c r="N46" i="12"/>
  <c r="M46" i="12"/>
  <c r="E46" i="12"/>
  <c r="I46" i="12" s="1"/>
  <c r="U45" i="12"/>
  <c r="N45" i="12"/>
  <c r="O45" i="12" s="1"/>
  <c r="F45" i="12"/>
  <c r="I45" i="12" s="1"/>
  <c r="U44" i="12"/>
  <c r="O44" i="12"/>
  <c r="I44" i="12"/>
  <c r="U43" i="12"/>
  <c r="O43" i="12"/>
  <c r="I43" i="12"/>
  <c r="U42" i="12"/>
  <c r="N42" i="12"/>
  <c r="M42" i="12"/>
  <c r="O42" i="12" s="1"/>
  <c r="I42" i="12"/>
  <c r="E42" i="12"/>
  <c r="U41" i="12"/>
  <c r="N41" i="12"/>
  <c r="O41" i="12" s="1"/>
  <c r="I41" i="12"/>
  <c r="U40" i="12"/>
  <c r="N40" i="12"/>
  <c r="M40" i="12"/>
  <c r="O40" i="12" s="1"/>
  <c r="F40" i="12"/>
  <c r="E40" i="12"/>
  <c r="I40" i="12" s="1"/>
  <c r="U39" i="12"/>
  <c r="O39" i="12"/>
  <c r="I39" i="12"/>
  <c r="U38" i="12"/>
  <c r="O38" i="12"/>
  <c r="I38" i="12"/>
  <c r="U37" i="12"/>
  <c r="O37" i="12"/>
  <c r="E37" i="12"/>
  <c r="I37" i="12" s="1"/>
  <c r="U36" i="12"/>
  <c r="M36" i="12"/>
  <c r="O36" i="12" s="1"/>
  <c r="I36" i="12"/>
  <c r="U35" i="12"/>
  <c r="L35" i="12"/>
  <c r="O35" i="12" s="1"/>
  <c r="I35" i="12"/>
  <c r="U34" i="12"/>
  <c r="N34" i="12"/>
  <c r="O34" i="12" s="1"/>
  <c r="H34" i="12"/>
  <c r="I34" i="12" s="1"/>
  <c r="F34" i="12"/>
  <c r="U33" i="12"/>
  <c r="O33" i="12"/>
  <c r="H33" i="12"/>
  <c r="I33" i="12" s="1"/>
  <c r="U32" i="12"/>
  <c r="M32" i="12"/>
  <c r="O32" i="12" s="1"/>
  <c r="E32" i="12"/>
  <c r="I32" i="12" s="1"/>
  <c r="U31" i="12"/>
  <c r="N31" i="12"/>
  <c r="O31" i="12" s="1"/>
  <c r="E31" i="12"/>
  <c r="I31" i="12" s="1"/>
  <c r="U30" i="12"/>
  <c r="N30" i="12"/>
  <c r="O30" i="12" s="1"/>
  <c r="H30" i="12"/>
  <c r="E30" i="12"/>
  <c r="I30" i="12" s="1"/>
  <c r="U29" i="12"/>
  <c r="O29" i="12"/>
  <c r="H29" i="12"/>
  <c r="I29" i="12" s="1"/>
  <c r="R28" i="12"/>
  <c r="O28" i="12"/>
  <c r="I28" i="12"/>
  <c r="H28" i="12"/>
  <c r="U27" i="12"/>
  <c r="O27" i="12"/>
  <c r="I27" i="12"/>
  <c r="U26" i="12"/>
  <c r="O26" i="12"/>
  <c r="I26" i="12"/>
  <c r="U25" i="12"/>
  <c r="O25" i="12"/>
  <c r="I25" i="12"/>
  <c r="U24" i="12"/>
  <c r="O24" i="12"/>
  <c r="I24" i="12"/>
  <c r="U23" i="12"/>
  <c r="O23" i="12"/>
  <c r="I23" i="12"/>
  <c r="U22" i="12"/>
  <c r="L22" i="12"/>
  <c r="O22" i="12" s="1"/>
  <c r="I22" i="12"/>
  <c r="U21" i="12"/>
  <c r="L21" i="12"/>
  <c r="O21" i="12" s="1"/>
  <c r="H21" i="12"/>
  <c r="I21" i="12" s="1"/>
  <c r="U20" i="12"/>
  <c r="O20" i="12"/>
  <c r="H20" i="12"/>
  <c r="I20" i="12" s="1"/>
  <c r="U19" i="12"/>
  <c r="O19" i="12"/>
  <c r="I19" i="12"/>
  <c r="U18" i="12"/>
  <c r="O18" i="12"/>
  <c r="I18" i="12"/>
  <c r="U17" i="12"/>
  <c r="O17" i="12"/>
  <c r="I17" i="12"/>
  <c r="U16" i="12"/>
  <c r="N16" i="12"/>
  <c r="O16" i="12" s="1"/>
  <c r="I16" i="12"/>
  <c r="U15" i="12"/>
  <c r="O15" i="12"/>
  <c r="I15" i="12"/>
  <c r="U57" i="11"/>
  <c r="N57" i="11"/>
  <c r="M57" i="11"/>
  <c r="O57" i="11" s="1"/>
  <c r="I57" i="11"/>
  <c r="U56" i="11"/>
  <c r="N56" i="11"/>
  <c r="M56" i="11"/>
  <c r="O56" i="11" s="1"/>
  <c r="I56" i="11"/>
  <c r="U55" i="11"/>
  <c r="O55" i="11"/>
  <c r="N55" i="11"/>
  <c r="M55" i="11"/>
  <c r="I55" i="11"/>
  <c r="U54" i="11"/>
  <c r="O54" i="11"/>
  <c r="N54" i="11"/>
  <c r="M54" i="11"/>
  <c r="I54" i="11"/>
  <c r="U53" i="11"/>
  <c r="N53" i="11"/>
  <c r="M53" i="11"/>
  <c r="O53" i="11" s="1"/>
  <c r="I53" i="11"/>
  <c r="U52" i="11"/>
  <c r="N52" i="11"/>
  <c r="O52" i="11" s="1"/>
  <c r="I52" i="11"/>
  <c r="U51" i="11"/>
  <c r="N51" i="11"/>
  <c r="O51" i="11" s="1"/>
  <c r="I51" i="11"/>
  <c r="E51" i="11"/>
  <c r="U50" i="11"/>
  <c r="O50" i="11"/>
  <c r="N50" i="11"/>
  <c r="I50" i="11"/>
  <c r="U49" i="11"/>
  <c r="O49" i="11"/>
  <c r="I49" i="11"/>
  <c r="H49" i="11"/>
  <c r="E49" i="11"/>
  <c r="U48" i="11"/>
  <c r="O48" i="11"/>
  <c r="N48" i="11"/>
  <c r="E48" i="11"/>
  <c r="I48" i="11" s="1"/>
  <c r="U47" i="11"/>
  <c r="N47" i="11"/>
  <c r="M47" i="11"/>
  <c r="O47" i="11" s="1"/>
  <c r="I47" i="11"/>
  <c r="E47" i="11"/>
  <c r="U46" i="11"/>
  <c r="O46" i="11"/>
  <c r="I46" i="11"/>
  <c r="F46" i="11"/>
  <c r="U45" i="11"/>
  <c r="O45" i="11"/>
  <c r="I45" i="11"/>
  <c r="U44" i="11"/>
  <c r="O44" i="11"/>
  <c r="I44" i="11"/>
  <c r="U43" i="11"/>
  <c r="N43" i="11"/>
  <c r="M43" i="11"/>
  <c r="O43" i="11" s="1"/>
  <c r="I43" i="11"/>
  <c r="E43" i="11"/>
  <c r="U42" i="11"/>
  <c r="O42" i="11"/>
  <c r="N42" i="11"/>
  <c r="I42" i="11"/>
  <c r="U41" i="11"/>
  <c r="O41" i="11"/>
  <c r="N41" i="11"/>
  <c r="M41" i="11"/>
  <c r="F41" i="11"/>
  <c r="E41" i="11"/>
  <c r="I41" i="11" s="1"/>
  <c r="U40" i="11"/>
  <c r="O40" i="11"/>
  <c r="I40" i="11"/>
  <c r="U39" i="11"/>
  <c r="O39" i="11"/>
  <c r="I39" i="11"/>
  <c r="U38" i="11"/>
  <c r="O38" i="11"/>
  <c r="I38" i="11"/>
  <c r="E38" i="11"/>
  <c r="U37" i="11"/>
  <c r="O37" i="11"/>
  <c r="M37" i="11"/>
  <c r="I37" i="11"/>
  <c r="U36" i="11"/>
  <c r="O36" i="11"/>
  <c r="L36" i="11"/>
  <c r="I36" i="11"/>
  <c r="U35" i="11"/>
  <c r="O35" i="11"/>
  <c r="N35" i="11"/>
  <c r="H35" i="11"/>
  <c r="F35" i="11"/>
  <c r="I35" i="11" s="1"/>
  <c r="U34" i="11"/>
  <c r="O34" i="11"/>
  <c r="I34" i="11"/>
  <c r="H34" i="11"/>
  <c r="U33" i="11"/>
  <c r="M33" i="11"/>
  <c r="O33" i="11" s="1"/>
  <c r="I33" i="11"/>
  <c r="E33" i="11"/>
  <c r="U32" i="11"/>
  <c r="O32" i="11"/>
  <c r="N32" i="11"/>
  <c r="I32" i="11"/>
  <c r="E32" i="11"/>
  <c r="U31" i="11"/>
  <c r="O31" i="11"/>
  <c r="N31" i="11"/>
  <c r="H31" i="11"/>
  <c r="E31" i="11"/>
  <c r="I31" i="11" s="1"/>
  <c r="U30" i="11"/>
  <c r="O30" i="11"/>
  <c r="I30" i="11"/>
  <c r="H30" i="11"/>
  <c r="U29" i="11"/>
  <c r="R29" i="11"/>
  <c r="O29" i="11"/>
  <c r="I29" i="11"/>
  <c r="H29" i="11"/>
  <c r="U28" i="11"/>
  <c r="O28" i="11"/>
  <c r="I28" i="11"/>
  <c r="U27" i="11"/>
  <c r="N27" i="11"/>
  <c r="L27" i="11"/>
  <c r="O27" i="11" s="1"/>
  <c r="I27" i="11"/>
  <c r="E27" i="11"/>
  <c r="U26" i="11"/>
  <c r="O26" i="11"/>
  <c r="I26" i="11"/>
  <c r="U25" i="11"/>
  <c r="O25" i="11"/>
  <c r="I25" i="11"/>
  <c r="U24" i="11"/>
  <c r="O24" i="11"/>
  <c r="I24" i="11"/>
  <c r="U23" i="11"/>
  <c r="O23" i="11"/>
  <c r="L23" i="11"/>
  <c r="I23" i="11"/>
  <c r="U22" i="11"/>
  <c r="O22" i="11"/>
  <c r="L22" i="11"/>
  <c r="I22" i="11"/>
  <c r="H22" i="11"/>
  <c r="U21" i="11"/>
  <c r="O21" i="11"/>
  <c r="I21" i="11"/>
  <c r="H21" i="11"/>
  <c r="U20" i="11"/>
  <c r="O20" i="11"/>
  <c r="I20" i="11"/>
  <c r="U19" i="11"/>
  <c r="O19" i="11"/>
  <c r="I19" i="11"/>
  <c r="U18" i="11"/>
  <c r="O18" i="11"/>
  <c r="I18" i="11"/>
  <c r="U17" i="11"/>
  <c r="O17" i="11"/>
  <c r="N17" i="11"/>
  <c r="I17" i="11"/>
  <c r="U16" i="11"/>
  <c r="O16" i="11"/>
  <c r="I16" i="11"/>
  <c r="N20" i="14" l="1"/>
  <c r="N33" i="14"/>
  <c r="N46" i="14"/>
  <c r="I102" i="14"/>
  <c r="N28" i="14"/>
  <c r="N48" i="13"/>
  <c r="N34" i="13"/>
  <c r="U105" i="13"/>
  <c r="U28" i="12"/>
  <c r="O52" i="12"/>
  <c r="O54" i="12"/>
  <c r="O56" i="12"/>
  <c r="D6" i="9"/>
  <c r="D5" i="9"/>
  <c r="D6" i="8"/>
  <c r="D5" i="8"/>
  <c r="I98" i="7"/>
  <c r="H98" i="7" s="1"/>
  <c r="H97" i="7"/>
  <c r="H96" i="7"/>
  <c r="H95" i="7"/>
  <c r="H94" i="7"/>
  <c r="I92" i="7"/>
  <c r="F92" i="7"/>
  <c r="H92" i="7" s="1"/>
  <c r="M91" i="7"/>
  <c r="H91" i="7" s="1"/>
  <c r="D91" i="7"/>
  <c r="I90" i="7"/>
  <c r="F90" i="7"/>
  <c r="H89" i="7"/>
  <c r="H88" i="7"/>
  <c r="H87" i="7"/>
  <c r="H86" i="7"/>
  <c r="H85" i="7"/>
  <c r="H84" i="7"/>
  <c r="H83" i="7"/>
  <c r="H82" i="7"/>
  <c r="H81" i="7"/>
  <c r="H80" i="7"/>
  <c r="H14" i="7"/>
  <c r="H13" i="7"/>
  <c r="H12" i="7"/>
  <c r="H9" i="7"/>
  <c r="G8" i="7"/>
  <c r="H7" i="7"/>
  <c r="H5" i="7"/>
  <c r="H4" i="7"/>
  <c r="I100" i="6"/>
  <c r="H100" i="6" s="1"/>
  <c r="H99" i="6"/>
  <c r="H98" i="6"/>
  <c r="H97" i="6"/>
  <c r="H95" i="6"/>
  <c r="I93" i="6"/>
  <c r="F93" i="6"/>
  <c r="M92" i="6"/>
  <c r="H92" i="6" s="1"/>
  <c r="I91" i="6"/>
  <c r="F91" i="6"/>
  <c r="H90" i="6"/>
  <c r="H89" i="6"/>
  <c r="H88" i="6"/>
  <c r="H87" i="6"/>
  <c r="H86" i="6"/>
  <c r="H85" i="6"/>
  <c r="H84" i="6"/>
  <c r="H83" i="6"/>
  <c r="H82" i="6"/>
  <c r="H81" i="6"/>
  <c r="H15" i="6"/>
  <c r="H14" i="6"/>
  <c r="H13" i="6"/>
  <c r="H12" i="6"/>
  <c r="H9" i="6"/>
  <c r="G8" i="6"/>
  <c r="H7" i="6"/>
  <c r="H5" i="6"/>
  <c r="H4" i="6"/>
  <c r="M6" i="4"/>
  <c r="D6" i="4"/>
  <c r="D5" i="4"/>
  <c r="I97" i="2"/>
  <c r="H97" i="2" s="1"/>
  <c r="H96" i="2"/>
  <c r="H95" i="2"/>
  <c r="H94" i="2"/>
  <c r="H93" i="2"/>
  <c r="H92" i="2"/>
  <c r="I91" i="2"/>
  <c r="F91" i="2"/>
  <c r="M90" i="2"/>
  <c r="H90" i="2" s="1"/>
  <c r="H89" i="2"/>
  <c r="H88" i="2"/>
  <c r="H87" i="2"/>
  <c r="H86" i="2"/>
  <c r="H85" i="2"/>
  <c r="H84" i="2"/>
  <c r="H83" i="2"/>
  <c r="H82" i="2"/>
  <c r="H81" i="2"/>
  <c r="H80" i="2"/>
  <c r="H79" i="2"/>
  <c r="H14" i="2"/>
  <c r="H13" i="2"/>
  <c r="H12" i="2"/>
  <c r="H9" i="2"/>
  <c r="G8" i="2"/>
  <c r="H7" i="2"/>
  <c r="M5" i="2"/>
  <c r="H5" i="2" s="1"/>
  <c r="H4" i="2"/>
  <c r="H98" i="16"/>
  <c r="F98" i="16"/>
  <c r="H92" i="16"/>
  <c r="F92" i="16"/>
  <c r="F103" i="16" s="1"/>
  <c r="D92" i="16"/>
  <c r="D103" i="16" s="1"/>
  <c r="H91" i="16"/>
  <c r="O92" i="16"/>
  <c r="O93" i="15"/>
  <c r="H100" i="15"/>
  <c r="H93" i="15"/>
  <c r="F93" i="15"/>
  <c r="F106" i="15" s="1"/>
  <c r="D93" i="15"/>
  <c r="D106" i="15" s="1"/>
  <c r="H92" i="15"/>
  <c r="H106" i="15" s="1"/>
  <c r="K8" i="15"/>
  <c r="H97" i="22"/>
  <c r="H96" i="22"/>
  <c r="H95" i="22"/>
  <c r="H94" i="22"/>
  <c r="H93" i="22"/>
  <c r="H92" i="22"/>
  <c r="H91" i="22"/>
  <c r="H90" i="22"/>
  <c r="H89" i="22"/>
  <c r="H88" i="22"/>
  <c r="H87" i="22"/>
  <c r="H86" i="22"/>
  <c r="H85" i="22"/>
  <c r="H84" i="22"/>
  <c r="H83" i="22"/>
  <c r="H82" i="22"/>
  <c r="H81" i="22"/>
  <c r="H80" i="22"/>
  <c r="H79" i="22"/>
  <c r="H13" i="22"/>
  <c r="H12" i="22"/>
  <c r="H11" i="22"/>
  <c r="H8" i="22"/>
  <c r="H7" i="22"/>
  <c r="H6" i="22"/>
  <c r="H4" i="22"/>
  <c r="H3" i="22"/>
  <c r="H98" i="21"/>
  <c r="H97" i="21"/>
  <c r="H96" i="21"/>
  <c r="H95" i="21"/>
  <c r="H94" i="21"/>
  <c r="H93" i="21"/>
  <c r="H92" i="21"/>
  <c r="H91" i="21"/>
  <c r="H90" i="21"/>
  <c r="H89" i="21"/>
  <c r="H88" i="21"/>
  <c r="H87" i="21"/>
  <c r="H86" i="21"/>
  <c r="H85" i="21"/>
  <c r="H84" i="21"/>
  <c r="H83" i="21"/>
  <c r="H82" i="21"/>
  <c r="H81" i="21"/>
  <c r="H80" i="21"/>
  <c r="H14" i="21"/>
  <c r="H13" i="21"/>
  <c r="H12" i="21"/>
  <c r="H11" i="21"/>
  <c r="H8" i="21"/>
  <c r="H7" i="21"/>
  <c r="I6" i="21"/>
  <c r="I104" i="21" s="1"/>
  <c r="H6" i="21"/>
  <c r="H4" i="21"/>
  <c r="H3" i="21"/>
  <c r="P98" i="14"/>
  <c r="T98" i="14" s="1"/>
  <c r="N98" i="14"/>
  <c r="D98" i="14"/>
  <c r="G98" i="14" s="1"/>
  <c r="W97" i="14"/>
  <c r="P97" i="14"/>
  <c r="T97" i="14" s="1"/>
  <c r="L97" i="14"/>
  <c r="N97" i="14" s="1"/>
  <c r="D97" i="14"/>
  <c r="G97" i="14" s="1"/>
  <c r="P96" i="14"/>
  <c r="T96" i="14" s="1"/>
  <c r="N96" i="14"/>
  <c r="G96" i="14"/>
  <c r="P95" i="14"/>
  <c r="T95" i="14" s="1"/>
  <c r="N95" i="14"/>
  <c r="G95" i="14"/>
  <c r="W94" i="14"/>
  <c r="P94" i="14"/>
  <c r="T94" i="14" s="1"/>
  <c r="N94" i="14"/>
  <c r="G94" i="14"/>
  <c r="W93" i="14"/>
  <c r="P93" i="14"/>
  <c r="T93" i="14" s="1"/>
  <c r="N93" i="14"/>
  <c r="G93" i="14"/>
  <c r="W92" i="14"/>
  <c r="P92" i="14"/>
  <c r="T92" i="14" s="1"/>
  <c r="N92" i="14"/>
  <c r="D92" i="14"/>
  <c r="G92" i="14" s="1"/>
  <c r="W91" i="14"/>
  <c r="T91" i="14"/>
  <c r="P91" i="14"/>
  <c r="N91" i="14"/>
  <c r="D91" i="14"/>
  <c r="G91" i="14" s="1"/>
  <c r="W90" i="14"/>
  <c r="P90" i="14"/>
  <c r="T90" i="14" s="1"/>
  <c r="N90" i="14"/>
  <c r="G90" i="14"/>
  <c r="W89" i="14"/>
  <c r="P89" i="14"/>
  <c r="T89" i="14" s="1"/>
  <c r="N89" i="14"/>
  <c r="G89" i="14"/>
  <c r="W88" i="14"/>
  <c r="P88" i="14"/>
  <c r="T88" i="14" s="1"/>
  <c r="L88" i="14"/>
  <c r="N88" i="14" s="1"/>
  <c r="G88" i="14"/>
  <c r="W87" i="14"/>
  <c r="P87" i="14"/>
  <c r="T87" i="14" s="1"/>
  <c r="N87" i="14"/>
  <c r="G87" i="14"/>
  <c r="W86" i="14"/>
  <c r="P86" i="14"/>
  <c r="T86" i="14" s="1"/>
  <c r="N86" i="14"/>
  <c r="G86" i="14"/>
  <c r="W85" i="14"/>
  <c r="P85" i="14"/>
  <c r="N85" i="14"/>
  <c r="G85" i="14"/>
  <c r="W84" i="14"/>
  <c r="T84" i="14"/>
  <c r="P84" i="14"/>
  <c r="N84" i="14"/>
  <c r="G84" i="14"/>
  <c r="W83" i="14"/>
  <c r="P83" i="14"/>
  <c r="T83" i="14" s="1"/>
  <c r="N83" i="14"/>
  <c r="G83" i="14"/>
  <c r="P82" i="14"/>
  <c r="T82" i="14" s="1"/>
  <c r="K82" i="14"/>
  <c r="N82" i="14" s="1"/>
  <c r="D82" i="14"/>
  <c r="G82" i="14" s="1"/>
  <c r="W81" i="14"/>
  <c r="P81" i="14"/>
  <c r="T81" i="14" s="1"/>
  <c r="J81" i="14"/>
  <c r="N81" i="14" s="1"/>
  <c r="G81" i="14"/>
  <c r="W80" i="14"/>
  <c r="P80" i="14"/>
  <c r="T80" i="14" s="1"/>
  <c r="N80" i="14"/>
  <c r="G80" i="14"/>
  <c r="W14" i="14"/>
  <c r="O14" i="14"/>
  <c r="P14" i="14" s="1"/>
  <c r="T14" i="14" s="1"/>
  <c r="H14" i="14"/>
  <c r="G14" i="14" s="1"/>
  <c r="W13" i="14"/>
  <c r="O13" i="14"/>
  <c r="L13" i="14"/>
  <c r="H13" i="14"/>
  <c r="H102" i="14" s="1"/>
  <c r="G13" i="14"/>
  <c r="W12" i="14"/>
  <c r="P12" i="14"/>
  <c r="T12" i="14" s="1"/>
  <c r="N12" i="14"/>
  <c r="G12" i="14"/>
  <c r="P9" i="14"/>
  <c r="T9" i="14" s="1"/>
  <c r="N9" i="14"/>
  <c r="D9" i="14"/>
  <c r="G9" i="14" s="1"/>
  <c r="W8" i="14"/>
  <c r="P8" i="14"/>
  <c r="T8" i="14" s="1"/>
  <c r="N8" i="14"/>
  <c r="G8" i="14"/>
  <c r="W7" i="14"/>
  <c r="T7" i="14"/>
  <c r="P7" i="14"/>
  <c r="N7" i="14"/>
  <c r="D7" i="14"/>
  <c r="G7" i="14" s="1"/>
  <c r="W5" i="14"/>
  <c r="P5" i="14"/>
  <c r="T5" i="14" s="1"/>
  <c r="J5" i="14"/>
  <c r="D5" i="14"/>
  <c r="P4" i="14"/>
  <c r="N4" i="14"/>
  <c r="G4" i="14"/>
  <c r="P100" i="13"/>
  <c r="T100" i="13" s="1"/>
  <c r="N100" i="13"/>
  <c r="D100" i="13"/>
  <c r="G100" i="13" s="1"/>
  <c r="W99" i="13"/>
  <c r="P99" i="13"/>
  <c r="T99" i="13" s="1"/>
  <c r="L99" i="13"/>
  <c r="N99" i="13" s="1"/>
  <c r="D99" i="13"/>
  <c r="G99" i="13" s="1"/>
  <c r="P98" i="13"/>
  <c r="T98" i="13" s="1"/>
  <c r="N98" i="13"/>
  <c r="G98" i="13"/>
  <c r="P97" i="13"/>
  <c r="T97" i="13" s="1"/>
  <c r="N97" i="13"/>
  <c r="G97" i="13"/>
  <c r="W96" i="13"/>
  <c r="P96" i="13"/>
  <c r="T96" i="13" s="1"/>
  <c r="N96" i="13"/>
  <c r="G96" i="13"/>
  <c r="W95" i="13"/>
  <c r="P95" i="13"/>
  <c r="T95" i="13" s="1"/>
  <c r="N95" i="13"/>
  <c r="G95" i="13"/>
  <c r="W94" i="13"/>
  <c r="P94" i="13"/>
  <c r="T94" i="13" s="1"/>
  <c r="N94" i="13"/>
  <c r="G94" i="13"/>
  <c r="W93" i="13"/>
  <c r="P93" i="13"/>
  <c r="T93" i="13" s="1"/>
  <c r="N93" i="13"/>
  <c r="D93" i="13"/>
  <c r="G93" i="13" s="1"/>
  <c r="W92" i="13"/>
  <c r="P92" i="13"/>
  <c r="T92" i="13" s="1"/>
  <c r="N92" i="13"/>
  <c r="D92" i="13"/>
  <c r="G92" i="13" s="1"/>
  <c r="W91" i="13"/>
  <c r="P91" i="13"/>
  <c r="T91" i="13" s="1"/>
  <c r="N91" i="13"/>
  <c r="G91" i="13"/>
  <c r="W90" i="13"/>
  <c r="P90" i="13"/>
  <c r="T90" i="13" s="1"/>
  <c r="N90" i="13"/>
  <c r="G90" i="13"/>
  <c r="W89" i="13"/>
  <c r="P89" i="13"/>
  <c r="T89" i="13" s="1"/>
  <c r="L89" i="13"/>
  <c r="N89" i="13" s="1"/>
  <c r="G89" i="13"/>
  <c r="W88" i="13"/>
  <c r="P88" i="13"/>
  <c r="T88" i="13" s="1"/>
  <c r="N88" i="13"/>
  <c r="G88" i="13"/>
  <c r="W87" i="13"/>
  <c r="T87" i="13"/>
  <c r="P87" i="13"/>
  <c r="N87" i="13"/>
  <c r="G87" i="13"/>
  <c r="W86" i="13"/>
  <c r="P86" i="13"/>
  <c r="N86" i="13"/>
  <c r="G86" i="13"/>
  <c r="W85" i="13"/>
  <c r="P85" i="13"/>
  <c r="T85" i="13" s="1"/>
  <c r="N85" i="13"/>
  <c r="G85" i="13"/>
  <c r="W84" i="13"/>
  <c r="T84" i="13"/>
  <c r="P84" i="13"/>
  <c r="N84" i="13"/>
  <c r="G84" i="13"/>
  <c r="P83" i="13"/>
  <c r="T83" i="13" s="1"/>
  <c r="K83" i="13"/>
  <c r="N83" i="13" s="1"/>
  <c r="D83" i="13"/>
  <c r="G83" i="13" s="1"/>
  <c r="W82" i="13"/>
  <c r="P82" i="13"/>
  <c r="T82" i="13" s="1"/>
  <c r="N82" i="13"/>
  <c r="G82" i="13"/>
  <c r="W81" i="13"/>
  <c r="P81" i="13"/>
  <c r="T81" i="13" s="1"/>
  <c r="N81" i="13"/>
  <c r="G81" i="13"/>
  <c r="W15" i="13"/>
  <c r="P15" i="13"/>
  <c r="T15" i="13" s="1"/>
  <c r="N15" i="13"/>
  <c r="G15" i="13"/>
  <c r="W14" i="13"/>
  <c r="O14" i="13"/>
  <c r="P14" i="13" s="1"/>
  <c r="T14" i="13" s="1"/>
  <c r="H14" i="13"/>
  <c r="G14" i="13" s="1"/>
  <c r="W13" i="13"/>
  <c r="O13" i="13"/>
  <c r="N13" i="13" s="1"/>
  <c r="L13" i="13"/>
  <c r="H13" i="13"/>
  <c r="H105" i="13" s="1"/>
  <c r="W12" i="13"/>
  <c r="P12" i="13"/>
  <c r="T12" i="13" s="1"/>
  <c r="N12" i="13"/>
  <c r="G12" i="13"/>
  <c r="P9" i="13"/>
  <c r="T9" i="13" s="1"/>
  <c r="N9" i="13"/>
  <c r="D9" i="13"/>
  <c r="G9" i="13" s="1"/>
  <c r="W8" i="13"/>
  <c r="P8" i="13"/>
  <c r="T8" i="13" s="1"/>
  <c r="N8" i="13"/>
  <c r="G8" i="13"/>
  <c r="W7" i="13"/>
  <c r="T7" i="13"/>
  <c r="P7" i="13"/>
  <c r="J7" i="13"/>
  <c r="D7" i="13"/>
  <c r="G7" i="13" s="1"/>
  <c r="W5" i="13"/>
  <c r="P5" i="13"/>
  <c r="T5" i="13" s="1"/>
  <c r="N5" i="13"/>
  <c r="D5" i="13"/>
  <c r="P4" i="13"/>
  <c r="T4" i="13" s="1"/>
  <c r="N4" i="13"/>
  <c r="G4" i="13"/>
  <c r="U98" i="12"/>
  <c r="N98" i="12"/>
  <c r="M98" i="12"/>
  <c r="O98" i="12" s="1"/>
  <c r="E98" i="12"/>
  <c r="I98" i="12" s="1"/>
  <c r="U97" i="12"/>
  <c r="N97" i="12"/>
  <c r="M97" i="12"/>
  <c r="O97" i="12" s="1"/>
  <c r="F97" i="12"/>
  <c r="I97" i="12" s="1"/>
  <c r="U96" i="12"/>
  <c r="O96" i="12"/>
  <c r="N96" i="12"/>
  <c r="F96" i="12"/>
  <c r="E96" i="12"/>
  <c r="U95" i="12"/>
  <c r="O95" i="12"/>
  <c r="I95" i="12"/>
  <c r="U94" i="12"/>
  <c r="N94" i="12"/>
  <c r="M94" i="12"/>
  <c r="O94" i="12" s="1"/>
  <c r="I94" i="12"/>
  <c r="U93" i="12"/>
  <c r="O93" i="12"/>
  <c r="I93" i="12"/>
  <c r="U92" i="12"/>
  <c r="M92" i="12"/>
  <c r="L92" i="12"/>
  <c r="G92" i="12"/>
  <c r="E92" i="12"/>
  <c r="U91" i="12"/>
  <c r="N91" i="12"/>
  <c r="O91" i="12" s="1"/>
  <c r="I91" i="12"/>
  <c r="U90" i="12"/>
  <c r="N90" i="12"/>
  <c r="M90" i="12"/>
  <c r="O90" i="12" s="1"/>
  <c r="F90" i="12"/>
  <c r="E90" i="12"/>
  <c r="I90" i="12" s="1"/>
  <c r="U89" i="12"/>
  <c r="N89" i="12"/>
  <c r="O89" i="12" s="1"/>
  <c r="I89" i="12"/>
  <c r="U88" i="12"/>
  <c r="O88" i="12"/>
  <c r="I88" i="12"/>
  <c r="U87" i="12"/>
  <c r="O87" i="12"/>
  <c r="I87" i="12"/>
  <c r="U86" i="12"/>
  <c r="O86" i="12"/>
  <c r="I86" i="12"/>
  <c r="U85" i="12"/>
  <c r="O85" i="12"/>
  <c r="I85" i="12"/>
  <c r="U84" i="12"/>
  <c r="O84" i="12"/>
  <c r="I84" i="12"/>
  <c r="U83" i="12"/>
  <c r="O83" i="12"/>
  <c r="I83" i="12"/>
  <c r="U82" i="12"/>
  <c r="O82" i="12"/>
  <c r="I82" i="12"/>
  <c r="U81" i="12"/>
  <c r="O81" i="12"/>
  <c r="I81" i="12"/>
  <c r="U80" i="12"/>
  <c r="O80" i="12"/>
  <c r="I80" i="12"/>
  <c r="U14" i="12"/>
  <c r="N14" i="12"/>
  <c r="O14" i="12" s="1"/>
  <c r="H14" i="12"/>
  <c r="E14" i="12"/>
  <c r="I14" i="12" s="1"/>
  <c r="U13" i="12"/>
  <c r="N13" i="12"/>
  <c r="O13" i="12" s="1"/>
  <c r="E13" i="12"/>
  <c r="I13" i="12" s="1"/>
  <c r="U12" i="12"/>
  <c r="O12" i="12"/>
  <c r="I12" i="12"/>
  <c r="U9" i="12"/>
  <c r="N9" i="12"/>
  <c r="O9" i="12" s="1"/>
  <c r="I9" i="12"/>
  <c r="U8" i="12"/>
  <c r="O8" i="12"/>
  <c r="I8" i="12"/>
  <c r="U7" i="12"/>
  <c r="N7" i="12"/>
  <c r="I7" i="12"/>
  <c r="E7" i="12"/>
  <c r="U5" i="12"/>
  <c r="M5" i="12"/>
  <c r="I5" i="12"/>
  <c r="U4" i="12"/>
  <c r="O4" i="12"/>
  <c r="I4" i="12"/>
  <c r="U100" i="11"/>
  <c r="N100" i="11"/>
  <c r="M100" i="11"/>
  <c r="E100" i="11"/>
  <c r="I100" i="11" s="1"/>
  <c r="U99" i="11"/>
  <c r="N99" i="11"/>
  <c r="M99" i="11"/>
  <c r="O99" i="11" s="1"/>
  <c r="F99" i="11"/>
  <c r="I99" i="11" s="1"/>
  <c r="U98" i="11"/>
  <c r="N98" i="11"/>
  <c r="M98" i="11"/>
  <c r="O98" i="11" s="1"/>
  <c r="F98" i="11"/>
  <c r="E98" i="11"/>
  <c r="D98" i="11"/>
  <c r="D105" i="11" s="1"/>
  <c r="U97" i="11"/>
  <c r="N97" i="11"/>
  <c r="M97" i="11"/>
  <c r="O97" i="11" s="1"/>
  <c r="F97" i="11"/>
  <c r="I97" i="11" s="1"/>
  <c r="U96" i="11"/>
  <c r="N96" i="11"/>
  <c r="O96" i="11" s="1"/>
  <c r="E96" i="11"/>
  <c r="I96" i="11" s="1"/>
  <c r="U95" i="11"/>
  <c r="N95" i="11"/>
  <c r="O95" i="11" s="1"/>
  <c r="M95" i="11"/>
  <c r="I95" i="11"/>
  <c r="U94" i="11"/>
  <c r="O94" i="11"/>
  <c r="I94" i="11"/>
  <c r="U93" i="11"/>
  <c r="M93" i="11"/>
  <c r="L93" i="11"/>
  <c r="G93" i="11"/>
  <c r="E93" i="11"/>
  <c r="I93" i="11" s="1"/>
  <c r="U92" i="11"/>
  <c r="N92" i="11"/>
  <c r="O92" i="11" s="1"/>
  <c r="I92" i="11"/>
  <c r="U91" i="11"/>
  <c r="N91" i="11"/>
  <c r="M91" i="11"/>
  <c r="F91" i="11"/>
  <c r="E91" i="11"/>
  <c r="I91" i="11" s="1"/>
  <c r="U90" i="11"/>
  <c r="N90" i="11"/>
  <c r="O90" i="11" s="1"/>
  <c r="I90" i="11"/>
  <c r="U89" i="11"/>
  <c r="O89" i="11"/>
  <c r="I89" i="11"/>
  <c r="U88" i="11"/>
  <c r="O88" i="11"/>
  <c r="I88" i="11"/>
  <c r="U87" i="11"/>
  <c r="O87" i="11"/>
  <c r="I87" i="11"/>
  <c r="U86" i="11"/>
  <c r="O86" i="11"/>
  <c r="I86" i="11"/>
  <c r="U85" i="11"/>
  <c r="O85" i="11"/>
  <c r="I85" i="11"/>
  <c r="U84" i="11"/>
  <c r="O84" i="11"/>
  <c r="I84" i="11"/>
  <c r="U83" i="11"/>
  <c r="N83" i="11"/>
  <c r="O83" i="11" s="1"/>
  <c r="I83" i="11"/>
  <c r="U82" i="11"/>
  <c r="O82" i="11"/>
  <c r="I82" i="11"/>
  <c r="U81" i="11"/>
  <c r="O81" i="11"/>
  <c r="I81" i="11"/>
  <c r="U15" i="11"/>
  <c r="N15" i="11"/>
  <c r="O15" i="11" s="1"/>
  <c r="I15" i="11"/>
  <c r="E15" i="11"/>
  <c r="U14" i="11"/>
  <c r="O14" i="11"/>
  <c r="N14" i="11"/>
  <c r="H14" i="11"/>
  <c r="E14" i="11"/>
  <c r="I14" i="11" s="1"/>
  <c r="U13" i="11"/>
  <c r="O13" i="11"/>
  <c r="N13" i="11"/>
  <c r="E13" i="11"/>
  <c r="I13" i="11" s="1"/>
  <c r="U12" i="11"/>
  <c r="O12" i="11"/>
  <c r="I12" i="11"/>
  <c r="I58" i="11"/>
  <c r="O58" i="11"/>
  <c r="U58" i="11"/>
  <c r="I59" i="11"/>
  <c r="O59" i="11"/>
  <c r="U59" i="11"/>
  <c r="I60" i="11"/>
  <c r="O60" i="11"/>
  <c r="U60" i="11"/>
  <c r="I61" i="11"/>
  <c r="O61" i="11"/>
  <c r="U61" i="11"/>
  <c r="E62" i="11"/>
  <c r="H62" i="11"/>
  <c r="O62" i="11"/>
  <c r="U62" i="11"/>
  <c r="H63" i="11"/>
  <c r="I63" i="11" s="1"/>
  <c r="O63" i="11"/>
  <c r="U63" i="11"/>
  <c r="H64" i="11"/>
  <c r="I64" i="11" s="1"/>
  <c r="O64" i="11"/>
  <c r="U64" i="11"/>
  <c r="H65" i="11"/>
  <c r="I65" i="11"/>
  <c r="O65" i="11"/>
  <c r="U65" i="11"/>
  <c r="I66" i="11"/>
  <c r="O66" i="11"/>
  <c r="U66" i="11"/>
  <c r="H67" i="11"/>
  <c r="I67" i="11"/>
  <c r="O67" i="11"/>
  <c r="U67" i="11"/>
  <c r="E68" i="11"/>
  <c r="I68" i="11" s="1"/>
  <c r="L68" i="11"/>
  <c r="O68" i="11" s="1"/>
  <c r="N68" i="11"/>
  <c r="U68" i="11"/>
  <c r="E69" i="11"/>
  <c r="I69" i="11"/>
  <c r="M69" i="11"/>
  <c r="N69" i="11"/>
  <c r="U69" i="11"/>
  <c r="E70" i="11"/>
  <c r="I70" i="11" s="1"/>
  <c r="F70" i="11"/>
  <c r="L70" i="11"/>
  <c r="O70" i="11" s="1"/>
  <c r="M70" i="11"/>
  <c r="N70" i="11"/>
  <c r="R70" i="11"/>
  <c r="U70" i="11"/>
  <c r="I71" i="11"/>
  <c r="O71" i="11"/>
  <c r="U71" i="11"/>
  <c r="I72" i="11"/>
  <c r="O72" i="11"/>
  <c r="U72" i="11"/>
  <c r="E73" i="11"/>
  <c r="G73" i="11"/>
  <c r="G105" i="11" s="1"/>
  <c r="N73" i="11"/>
  <c r="O73" i="11" s="1"/>
  <c r="U73" i="11"/>
  <c r="H74" i="11"/>
  <c r="I74" i="11" s="1"/>
  <c r="L74" i="11"/>
  <c r="N74" i="11"/>
  <c r="O74" i="11" s="1"/>
  <c r="U74" i="11"/>
  <c r="I75" i="11"/>
  <c r="O75" i="11"/>
  <c r="U75" i="11"/>
  <c r="I76" i="11"/>
  <c r="N76" i="11"/>
  <c r="O76" i="11" s="1"/>
  <c r="U76" i="11"/>
  <c r="I77" i="11"/>
  <c r="O77" i="11"/>
  <c r="U77" i="11"/>
  <c r="I78" i="11"/>
  <c r="O78" i="11"/>
  <c r="U78" i="11"/>
  <c r="E79" i="11"/>
  <c r="F79" i="11"/>
  <c r="M79" i="11"/>
  <c r="O79" i="11" s="1"/>
  <c r="N79" i="11"/>
  <c r="U79" i="11"/>
  <c r="I80" i="11"/>
  <c r="L80" i="11"/>
  <c r="N80" i="11"/>
  <c r="U80" i="11"/>
  <c r="U9" i="11"/>
  <c r="O9" i="11"/>
  <c r="I9" i="11"/>
  <c r="U8" i="11"/>
  <c r="O8" i="11"/>
  <c r="I8" i="11"/>
  <c r="R7" i="11"/>
  <c r="N7" i="11"/>
  <c r="O7" i="11" s="1"/>
  <c r="E7" i="11"/>
  <c r="U5" i="11"/>
  <c r="M5" i="11"/>
  <c r="I5" i="11"/>
  <c r="U4" i="11"/>
  <c r="O4" i="11"/>
  <c r="I4" i="11"/>
  <c r="H8" i="7" l="1"/>
  <c r="G102" i="7"/>
  <c r="H90" i="7"/>
  <c r="H8" i="2"/>
  <c r="G101" i="2"/>
  <c r="H91" i="2"/>
  <c r="T4" i="14"/>
  <c r="N13" i="14"/>
  <c r="N14" i="14"/>
  <c r="P13" i="14"/>
  <c r="T13" i="14" s="1"/>
  <c r="O102" i="14"/>
  <c r="G5" i="14"/>
  <c r="N5" i="14"/>
  <c r="N7" i="13"/>
  <c r="G5" i="13"/>
  <c r="G13" i="13"/>
  <c r="P13" i="13"/>
  <c r="T13" i="13" s="1"/>
  <c r="O105" i="13"/>
  <c r="N14" i="13"/>
  <c r="I92" i="12"/>
  <c r="I96" i="12"/>
  <c r="O5" i="12"/>
  <c r="O7" i="12"/>
  <c r="O92" i="12"/>
  <c r="I7" i="11"/>
  <c r="I62" i="11"/>
  <c r="O93" i="11"/>
  <c r="I98" i="11"/>
  <c r="I73" i="11"/>
  <c r="O100" i="11"/>
  <c r="O5" i="11"/>
  <c r="U7" i="11"/>
  <c r="R105" i="11"/>
  <c r="O80" i="11"/>
  <c r="I79" i="11"/>
  <c r="O69" i="11"/>
  <c r="H105" i="11"/>
  <c r="O91" i="11"/>
  <c r="H8" i="6"/>
  <c r="G105" i="6"/>
  <c r="H91" i="6"/>
  <c r="H93" i="6"/>
  <c r="K79" i="9"/>
  <c r="H79" i="7"/>
  <c r="H78" i="7"/>
  <c r="H66" i="7"/>
  <c r="H63" i="7"/>
  <c r="H62" i="7"/>
  <c r="H61" i="7"/>
  <c r="H60" i="7"/>
  <c r="D58" i="7"/>
  <c r="H80" i="6"/>
  <c r="H79" i="6"/>
  <c r="H67" i="6"/>
  <c r="H64" i="6"/>
  <c r="H63" i="6"/>
  <c r="H62" i="6"/>
  <c r="H61" i="6"/>
  <c r="H59" i="6"/>
  <c r="H78" i="2"/>
  <c r="H77" i="2"/>
  <c r="H65" i="2"/>
  <c r="H62" i="2"/>
  <c r="H61" i="2"/>
  <c r="H60" i="2"/>
  <c r="H59" i="2"/>
  <c r="H57" i="2"/>
  <c r="H58" i="7" l="1"/>
  <c r="D102" i="7"/>
  <c r="J60" i="15"/>
  <c r="H78" i="22"/>
  <c r="H77" i="22"/>
  <c r="H65" i="22"/>
  <c r="H62" i="22"/>
  <c r="H61" i="22"/>
  <c r="H60" i="22"/>
  <c r="H59" i="22"/>
  <c r="H57" i="22"/>
  <c r="H79" i="21"/>
  <c r="H78" i="21"/>
  <c r="H66" i="21"/>
  <c r="H63" i="21"/>
  <c r="H62" i="21"/>
  <c r="H61" i="21"/>
  <c r="H60" i="21"/>
  <c r="H58" i="21"/>
  <c r="P79" i="14"/>
  <c r="T79" i="14" s="1"/>
  <c r="L79" i="14"/>
  <c r="N79" i="14" s="1"/>
  <c r="D79" i="14"/>
  <c r="G79" i="14" s="1"/>
  <c r="P78" i="14"/>
  <c r="T78" i="14" s="1"/>
  <c r="L78" i="14"/>
  <c r="N78" i="14" s="1"/>
  <c r="G78" i="14"/>
  <c r="P66" i="14"/>
  <c r="T66" i="14" s="1"/>
  <c r="N66" i="14"/>
  <c r="G66" i="14"/>
  <c r="P63" i="14"/>
  <c r="T63" i="14" s="1"/>
  <c r="N63" i="14"/>
  <c r="G63" i="14"/>
  <c r="P62" i="14"/>
  <c r="T62" i="14" s="1"/>
  <c r="N62" i="14"/>
  <c r="G62" i="14"/>
  <c r="P61" i="14"/>
  <c r="T61" i="14" s="1"/>
  <c r="N61" i="14"/>
  <c r="D61" i="14"/>
  <c r="G61" i="14" s="1"/>
  <c r="P60" i="14"/>
  <c r="T60" i="14" s="1"/>
  <c r="N60" i="14"/>
  <c r="G60" i="14"/>
  <c r="P58" i="14"/>
  <c r="T58" i="14" s="1"/>
  <c r="N58" i="14"/>
  <c r="G58" i="14"/>
  <c r="P80" i="13"/>
  <c r="T80" i="13" s="1"/>
  <c r="L80" i="13"/>
  <c r="N80" i="13" s="1"/>
  <c r="D80" i="13"/>
  <c r="G80" i="13" s="1"/>
  <c r="P79" i="13"/>
  <c r="T79" i="13" s="1"/>
  <c r="L79" i="13"/>
  <c r="N79" i="13" s="1"/>
  <c r="G79" i="13"/>
  <c r="P67" i="13"/>
  <c r="T67" i="13" s="1"/>
  <c r="N67" i="13"/>
  <c r="G67" i="13"/>
  <c r="P64" i="13"/>
  <c r="T64" i="13" s="1"/>
  <c r="N64" i="13"/>
  <c r="G64" i="13"/>
  <c r="P63" i="13"/>
  <c r="T63" i="13" s="1"/>
  <c r="N63" i="13"/>
  <c r="G63" i="13"/>
  <c r="P62" i="13"/>
  <c r="T62" i="13" s="1"/>
  <c r="N62" i="13"/>
  <c r="G62" i="13"/>
  <c r="D62" i="13"/>
  <c r="T61" i="13"/>
  <c r="P61" i="13"/>
  <c r="N61" i="13"/>
  <c r="G61" i="13"/>
  <c r="P59" i="13"/>
  <c r="T59" i="13" s="1"/>
  <c r="N59" i="13"/>
  <c r="G59" i="13"/>
  <c r="U79" i="12"/>
  <c r="N79" i="12"/>
  <c r="L79" i="12"/>
  <c r="I79" i="12"/>
  <c r="U78" i="12"/>
  <c r="N78" i="12"/>
  <c r="M78" i="12"/>
  <c r="O78" i="12" s="1"/>
  <c r="F78" i="12"/>
  <c r="I78" i="12" s="1"/>
  <c r="E78" i="12"/>
  <c r="U66" i="12"/>
  <c r="O66" i="12"/>
  <c r="H66" i="12"/>
  <c r="I66" i="12" s="1"/>
  <c r="U63" i="12"/>
  <c r="O63" i="12"/>
  <c r="I63" i="12"/>
  <c r="H63" i="12"/>
  <c r="U62" i="12"/>
  <c r="O62" i="12"/>
  <c r="H62" i="12"/>
  <c r="I62" i="12" s="1"/>
  <c r="U61" i="12"/>
  <c r="N61" i="12"/>
  <c r="O61" i="12" s="1"/>
  <c r="H61" i="12"/>
  <c r="E61" i="12"/>
  <c r="I61" i="12" s="1"/>
  <c r="U60" i="12"/>
  <c r="O60" i="12"/>
  <c r="I60" i="12"/>
  <c r="U58" i="12"/>
  <c r="O58" i="12"/>
  <c r="I58" i="12"/>
  <c r="L60" i="15" l="1"/>
  <c r="O79" i="12"/>
  <c r="H100" i="22"/>
  <c r="H103" i="21"/>
  <c r="W101" i="14"/>
  <c r="P101" i="14"/>
  <c r="T101" i="14" s="1"/>
  <c r="N101" i="14"/>
  <c r="G101" i="14"/>
  <c r="W104" i="13"/>
  <c r="P104" i="13"/>
  <c r="T104" i="13" s="1"/>
  <c r="L104" i="13"/>
  <c r="N104" i="13" s="1"/>
  <c r="G104" i="13"/>
  <c r="U101" i="12"/>
  <c r="O101" i="12"/>
  <c r="I101" i="12"/>
  <c r="U104" i="11"/>
  <c r="O104" i="11"/>
  <c r="I104" i="11"/>
  <c r="H100" i="9" l="1"/>
  <c r="H102" i="8"/>
  <c r="H99" i="7"/>
  <c r="H101" i="6"/>
  <c r="H99" i="4"/>
  <c r="H98" i="2"/>
  <c r="H98" i="22"/>
  <c r="H100" i="21"/>
  <c r="L99" i="14"/>
  <c r="L100" i="14"/>
  <c r="J99" i="14"/>
  <c r="W99" i="14"/>
  <c r="P99" i="14"/>
  <c r="T99" i="14" s="1"/>
  <c r="N99" i="14"/>
  <c r="G99" i="14"/>
  <c r="L101" i="13"/>
  <c r="J101" i="13"/>
  <c r="J102" i="13"/>
  <c r="W101" i="13"/>
  <c r="P101" i="13"/>
  <c r="T101" i="13" s="1"/>
  <c r="G101" i="13"/>
  <c r="U99" i="12"/>
  <c r="O99" i="12"/>
  <c r="I99" i="12"/>
  <c r="U101" i="11"/>
  <c r="O101" i="11"/>
  <c r="I101" i="11"/>
  <c r="N101" i="13" l="1"/>
  <c r="H11" i="6"/>
  <c r="H10" i="21"/>
  <c r="D11" i="13"/>
  <c r="W11" i="13"/>
  <c r="P11" i="13"/>
  <c r="T11" i="13" s="1"/>
  <c r="N11" i="13"/>
  <c r="G11" i="13"/>
  <c r="L11" i="11"/>
  <c r="E11" i="11"/>
  <c r="U11" i="11"/>
  <c r="I11" i="11"/>
  <c r="O11" i="11" l="1"/>
  <c r="D104" i="8"/>
  <c r="H103" i="6"/>
  <c r="O104" i="15"/>
  <c r="H102" i="21"/>
  <c r="P103" i="13"/>
  <c r="T103" i="13" s="1"/>
  <c r="N103" i="13"/>
  <c r="G103" i="13"/>
  <c r="U103" i="11"/>
  <c r="O103" i="11"/>
  <c r="I103" i="11"/>
  <c r="M11" i="9" l="1"/>
  <c r="D11" i="9"/>
  <c r="K11" i="9"/>
  <c r="M11" i="8"/>
  <c r="M106" i="8" s="1"/>
  <c r="D11" i="8"/>
  <c r="K11" i="8" l="1"/>
  <c r="M10" i="7"/>
  <c r="M10" i="6"/>
  <c r="H10" i="2"/>
  <c r="O11" i="16" l="1"/>
  <c r="H11" i="16"/>
  <c r="H103" i="16" s="1"/>
  <c r="H11" i="15"/>
  <c r="H9" i="22"/>
  <c r="H9" i="21"/>
  <c r="P10" i="14"/>
  <c r="T10" i="14" s="1"/>
  <c r="N10" i="14"/>
  <c r="G10" i="14"/>
  <c r="L10" i="13"/>
  <c r="P10" i="13"/>
  <c r="T10" i="13" s="1"/>
  <c r="N10" i="13"/>
  <c r="G10" i="13"/>
  <c r="N10" i="12"/>
  <c r="M10" i="12"/>
  <c r="F10" i="12"/>
  <c r="E10" i="12"/>
  <c r="U10" i="12"/>
  <c r="N10" i="11"/>
  <c r="M10" i="11"/>
  <c r="F10" i="11"/>
  <c r="F105" i="11" s="1"/>
  <c r="E10" i="11"/>
  <c r="U10" i="11"/>
  <c r="I10" i="12" l="1"/>
  <c r="O10" i="12"/>
  <c r="O10" i="11"/>
  <c r="I10" i="11"/>
  <c r="H72" i="9"/>
  <c r="H71" i="7"/>
  <c r="H72" i="6"/>
  <c r="H71" i="4"/>
  <c r="H70" i="2"/>
  <c r="H70" i="22"/>
  <c r="H71" i="21"/>
  <c r="D71" i="14"/>
  <c r="W71" i="14"/>
  <c r="P71" i="14"/>
  <c r="T71" i="14" s="1"/>
  <c r="N71" i="14"/>
  <c r="G71" i="14"/>
  <c r="D72" i="13"/>
  <c r="W72" i="13"/>
  <c r="P72" i="13"/>
  <c r="T72" i="13" s="1"/>
  <c r="N72" i="13"/>
  <c r="G72" i="13"/>
  <c r="U71" i="12"/>
  <c r="O71" i="12"/>
  <c r="I71" i="12"/>
  <c r="K101" i="9" l="1"/>
  <c r="D101" i="9"/>
  <c r="K103" i="8"/>
  <c r="K106" i="8" s="1"/>
  <c r="D103" i="8"/>
  <c r="D106" i="8" s="1"/>
  <c r="F100" i="7"/>
  <c r="H100" i="7" s="1"/>
  <c r="F102" i="6"/>
  <c r="H102" i="6"/>
  <c r="K100" i="4"/>
  <c r="F99" i="2"/>
  <c r="H99" i="2"/>
  <c r="O101" i="16"/>
  <c r="O103" i="15"/>
  <c r="H99" i="22"/>
  <c r="H101" i="21"/>
  <c r="J100" i="14"/>
  <c r="D100" i="14"/>
  <c r="G100" i="14"/>
  <c r="W100" i="14"/>
  <c r="P100" i="14"/>
  <c r="T100" i="14" s="1"/>
  <c r="L102" i="13"/>
  <c r="D102" i="13"/>
  <c r="G102" i="13" s="1"/>
  <c r="N100" i="12"/>
  <c r="M100" i="12"/>
  <c r="L100" i="12"/>
  <c r="E100" i="12"/>
  <c r="I100" i="12" s="1"/>
  <c r="N102" i="11"/>
  <c r="N105" i="11" s="1"/>
  <c r="M102" i="11"/>
  <c r="L102" i="11"/>
  <c r="L105" i="11" s="1"/>
  <c r="E102" i="11"/>
  <c r="E105" i="11" s="1"/>
  <c r="W102" i="13"/>
  <c r="P102" i="13"/>
  <c r="T102" i="13" s="1"/>
  <c r="U100" i="12"/>
  <c r="U102" i="11"/>
  <c r="I102" i="11"/>
  <c r="O102" i="11" l="1"/>
  <c r="M105" i="11"/>
  <c r="N100" i="14"/>
  <c r="N102" i="13"/>
  <c r="O100" i="12"/>
  <c r="H76" i="2" l="1"/>
  <c r="M66" i="9" l="1"/>
  <c r="M103" i="9" s="1"/>
  <c r="K66" i="9"/>
  <c r="D66" i="9"/>
  <c r="D103" i="9" s="1"/>
  <c r="M65" i="7"/>
  <c r="M102" i="7" s="1"/>
  <c r="I65" i="7"/>
  <c r="I102" i="7" s="1"/>
  <c r="F65" i="7"/>
  <c r="M66" i="6"/>
  <c r="M105" i="6" s="1"/>
  <c r="I66" i="6"/>
  <c r="I105" i="6" s="1"/>
  <c r="F66" i="6"/>
  <c r="D66" i="6"/>
  <c r="D105" i="6" s="1"/>
  <c r="K65" i="4" l="1"/>
  <c r="M65" i="4"/>
  <c r="I65" i="4"/>
  <c r="D65" i="4"/>
  <c r="D102" i="4" s="1"/>
  <c r="M64" i="2"/>
  <c r="M101" i="2" s="1"/>
  <c r="I64" i="2"/>
  <c r="I101" i="2" s="1"/>
  <c r="F64" i="2"/>
  <c r="H65" i="4" l="1"/>
  <c r="I102" i="4"/>
  <c r="H58" i="9"/>
  <c r="H57" i="4"/>
  <c r="H56" i="2"/>
  <c r="H57" i="7" l="1"/>
  <c r="H65" i="7"/>
  <c r="H77" i="7"/>
  <c r="H76" i="7"/>
  <c r="H75" i="7"/>
  <c r="H58" i="6"/>
  <c r="H66" i="6"/>
  <c r="H78" i="6"/>
  <c r="H77" i="6"/>
  <c r="H76" i="6"/>
  <c r="H75" i="2"/>
  <c r="H74" i="2"/>
  <c r="H64" i="2"/>
  <c r="D78" i="17"/>
  <c r="D77" i="17"/>
  <c r="D76" i="17"/>
  <c r="D66" i="17"/>
  <c r="D58" i="17"/>
  <c r="J80" i="15"/>
  <c r="L80" i="15" s="1"/>
  <c r="J79" i="15"/>
  <c r="J78" i="15"/>
  <c r="J77" i="15"/>
  <c r="J67" i="15"/>
  <c r="J59" i="15"/>
  <c r="I59" i="15"/>
  <c r="I79" i="15"/>
  <c r="I78" i="15"/>
  <c r="I77" i="15"/>
  <c r="I5" i="15"/>
  <c r="I6" i="15"/>
  <c r="I7" i="15"/>
  <c r="I8" i="15"/>
  <c r="I9" i="15"/>
  <c r="I10" i="15"/>
  <c r="I11" i="15"/>
  <c r="I12" i="15"/>
  <c r="I13" i="15"/>
  <c r="I14" i="15"/>
  <c r="I15" i="15"/>
  <c r="I16" i="15"/>
  <c r="I17" i="15"/>
  <c r="I18" i="15"/>
  <c r="I19" i="15"/>
  <c r="I20" i="15"/>
  <c r="I21" i="15"/>
  <c r="I22" i="15"/>
  <c r="I23" i="15"/>
  <c r="I24" i="15"/>
  <c r="I25" i="15"/>
  <c r="I26" i="15"/>
  <c r="I27" i="15"/>
  <c r="I28" i="15"/>
  <c r="I29" i="15"/>
  <c r="I30" i="15"/>
  <c r="I31" i="15"/>
  <c r="I32" i="15"/>
  <c r="I33" i="15"/>
  <c r="I34" i="15"/>
  <c r="I35" i="15"/>
  <c r="I36" i="15"/>
  <c r="I37" i="15"/>
  <c r="I38" i="15"/>
  <c r="I39" i="15"/>
  <c r="I40" i="15"/>
  <c r="I41" i="15"/>
  <c r="I42" i="15"/>
  <c r="I43" i="15"/>
  <c r="I44" i="15"/>
  <c r="I45" i="15"/>
  <c r="I46" i="15"/>
  <c r="I47" i="15"/>
  <c r="I48" i="15"/>
  <c r="I49" i="15"/>
  <c r="I50" i="15"/>
  <c r="I51" i="15"/>
  <c r="I52" i="15"/>
  <c r="I53" i="15"/>
  <c r="I54" i="15"/>
  <c r="I55" i="15"/>
  <c r="I56" i="15"/>
  <c r="I57" i="15"/>
  <c r="I58" i="15"/>
  <c r="I60" i="15"/>
  <c r="I61" i="15"/>
  <c r="I62" i="15"/>
  <c r="I63" i="15"/>
  <c r="I64" i="15"/>
  <c r="I65" i="15"/>
  <c r="I66" i="15"/>
  <c r="I67" i="15"/>
  <c r="I68" i="15"/>
  <c r="I69" i="15"/>
  <c r="I70" i="15"/>
  <c r="I71" i="15"/>
  <c r="I72" i="15"/>
  <c r="I73" i="15"/>
  <c r="I74" i="15"/>
  <c r="I75" i="15"/>
  <c r="I76" i="15"/>
  <c r="L79" i="15"/>
  <c r="L78" i="15"/>
  <c r="L77" i="15"/>
  <c r="L67" i="15"/>
  <c r="L59" i="15"/>
  <c r="H76" i="22"/>
  <c r="H75" i="22"/>
  <c r="H74" i="22"/>
  <c r="H64" i="22"/>
  <c r="H56" i="22"/>
  <c r="H77" i="21"/>
  <c r="H76" i="21"/>
  <c r="H75" i="21"/>
  <c r="H65" i="21"/>
  <c r="H57" i="21"/>
  <c r="P77" i="14"/>
  <c r="T77" i="14" s="1"/>
  <c r="N77" i="14"/>
  <c r="G77" i="14"/>
  <c r="P76" i="14"/>
  <c r="T76" i="14" s="1"/>
  <c r="N76" i="14"/>
  <c r="G76" i="14"/>
  <c r="T75" i="14"/>
  <c r="P75" i="14"/>
  <c r="N75" i="14"/>
  <c r="G75" i="14"/>
  <c r="P65" i="14"/>
  <c r="T65" i="14" s="1"/>
  <c r="N65" i="14"/>
  <c r="G65" i="14"/>
  <c r="P57" i="14"/>
  <c r="T57" i="14" s="1"/>
  <c r="N57" i="14"/>
  <c r="G57" i="14"/>
  <c r="P78" i="13"/>
  <c r="T78" i="13" s="1"/>
  <c r="N78" i="13"/>
  <c r="G78" i="13"/>
  <c r="P77" i="13"/>
  <c r="T77" i="13" s="1"/>
  <c r="N77" i="13"/>
  <c r="G77" i="13"/>
  <c r="P76" i="13"/>
  <c r="T76" i="13" s="1"/>
  <c r="N76" i="13"/>
  <c r="G76" i="13"/>
  <c r="P66" i="13"/>
  <c r="T66" i="13" s="1"/>
  <c r="N66" i="13"/>
  <c r="G66" i="13"/>
  <c r="P58" i="13"/>
  <c r="T58" i="13" s="1"/>
  <c r="N58" i="13"/>
  <c r="G58" i="13"/>
  <c r="U77" i="12"/>
  <c r="O77" i="12"/>
  <c r="I77" i="12"/>
  <c r="U76" i="12"/>
  <c r="O76" i="12"/>
  <c r="I76" i="12"/>
  <c r="U75" i="12"/>
  <c r="O75" i="12"/>
  <c r="I75" i="12"/>
  <c r="U65" i="12"/>
  <c r="O65" i="12"/>
  <c r="I65" i="12"/>
  <c r="U57" i="12"/>
  <c r="O57" i="12"/>
  <c r="I57" i="12"/>
  <c r="W74" i="14" l="1"/>
  <c r="W75" i="13"/>
  <c r="O75" i="16"/>
  <c r="W73" i="14"/>
  <c r="W74" i="13"/>
  <c r="J73" i="14"/>
  <c r="J102" i="14" s="1"/>
  <c r="J74" i="13"/>
  <c r="J105" i="13" s="1"/>
  <c r="N73" i="12"/>
  <c r="H73" i="12"/>
  <c r="A75" i="15"/>
  <c r="M72" i="4"/>
  <c r="K73" i="9"/>
  <c r="W72" i="14"/>
  <c r="N72" i="12"/>
  <c r="G72" i="12"/>
  <c r="G102" i="12" s="1"/>
  <c r="W73" i="13"/>
  <c r="H7" i="9"/>
  <c r="H7" i="8"/>
  <c r="H106" i="8" s="1"/>
  <c r="M102" i="4" l="1"/>
  <c r="W6" i="13"/>
  <c r="I6" i="12"/>
  <c r="W70" i="14"/>
  <c r="L70" i="14"/>
  <c r="W71" i="13"/>
  <c r="F69" i="7"/>
  <c r="J70" i="6"/>
  <c r="J105" i="6" s="1"/>
  <c r="F70" i="6"/>
  <c r="J68" i="2"/>
  <c r="J101" i="2" s="1"/>
  <c r="F68" i="2"/>
  <c r="W69" i="14"/>
  <c r="R69" i="12"/>
  <c r="R102" i="12" s="1"/>
  <c r="N69" i="12"/>
  <c r="M69" i="12"/>
  <c r="F69" i="12"/>
  <c r="F102" i="12" s="1"/>
  <c r="E69" i="12"/>
  <c r="W70" i="13"/>
  <c r="F68" i="7"/>
  <c r="F69" i="6"/>
  <c r="F67" i="2"/>
  <c r="K69" i="16"/>
  <c r="O69" i="16"/>
  <c r="O70" i="15"/>
  <c r="W68" i="14" l="1"/>
  <c r="M68" i="14"/>
  <c r="M102" i="14" s="1"/>
  <c r="L68" i="14"/>
  <c r="D68" i="14"/>
  <c r="G68" i="14" s="1"/>
  <c r="W69" i="13"/>
  <c r="M69" i="13"/>
  <c r="M105" i="13" s="1"/>
  <c r="L69" i="13"/>
  <c r="D69" i="13"/>
  <c r="N68" i="12"/>
  <c r="M68" i="12"/>
  <c r="M102" i="12" s="1"/>
  <c r="E68" i="12"/>
  <c r="K67" i="4" l="1"/>
  <c r="K102" i="4" s="1"/>
  <c r="H67" i="4"/>
  <c r="F66" i="2"/>
  <c r="F101" i="2" s="1"/>
  <c r="F68" i="6"/>
  <c r="F105" i="6" s="1"/>
  <c r="K68" i="9"/>
  <c r="K103" i="9" s="1"/>
  <c r="H68" i="9"/>
  <c r="F67" i="7"/>
  <c r="F102" i="7" s="1"/>
  <c r="K68" i="16"/>
  <c r="K103" i="16" s="1"/>
  <c r="O68" i="16"/>
  <c r="O103" i="16" s="1"/>
  <c r="O69" i="15" l="1"/>
  <c r="O106" i="15" s="1"/>
  <c r="G68" i="17" l="1"/>
  <c r="L67" i="14"/>
  <c r="W68" i="13"/>
  <c r="L68" i="13"/>
  <c r="G68" i="13"/>
  <c r="N67" i="12"/>
  <c r="N102" i="12" s="1"/>
  <c r="L67" i="12"/>
  <c r="E67" i="12"/>
  <c r="H65" i="9" l="1"/>
  <c r="H64" i="4"/>
  <c r="W64" i="14"/>
  <c r="K64" i="14"/>
  <c r="K102" i="14" s="1"/>
  <c r="W65" i="13"/>
  <c r="K65" i="13"/>
  <c r="K105" i="13" s="1"/>
  <c r="H64" i="12"/>
  <c r="H102" i="12" s="1"/>
  <c r="H60" i="9" l="1"/>
  <c r="H103" i="9" s="1"/>
  <c r="H59" i="4"/>
  <c r="W59" i="14"/>
  <c r="L59" i="14"/>
  <c r="L102" i="14" s="1"/>
  <c r="D59" i="14"/>
  <c r="W60" i="13"/>
  <c r="W105" i="13" s="1"/>
  <c r="L60" i="13"/>
  <c r="L105" i="13" s="1"/>
  <c r="D60" i="13"/>
  <c r="D105" i="13" s="1"/>
  <c r="H102" i="4" l="1"/>
  <c r="N11" i="14"/>
  <c r="H101" i="7"/>
  <c r="H74" i="7"/>
  <c r="H73" i="7"/>
  <c r="H72" i="7"/>
  <c r="H70" i="7"/>
  <c r="H69" i="7"/>
  <c r="H68" i="7"/>
  <c r="H67" i="7"/>
  <c r="H64" i="7"/>
  <c r="H59" i="7"/>
  <c r="H11" i="7"/>
  <c r="H10" i="7"/>
  <c r="H6" i="7"/>
  <c r="H104" i="6"/>
  <c r="H75" i="6"/>
  <c r="H74" i="6"/>
  <c r="H73" i="6"/>
  <c r="H71" i="6"/>
  <c r="H70" i="6"/>
  <c r="H69" i="6"/>
  <c r="H68" i="6"/>
  <c r="H65" i="6"/>
  <c r="H60" i="6"/>
  <c r="H10" i="6"/>
  <c r="H6" i="6"/>
  <c r="C102" i="9"/>
  <c r="B102" i="9"/>
  <c r="A102" i="9"/>
  <c r="C101" i="9"/>
  <c r="B101" i="9"/>
  <c r="A101" i="9"/>
  <c r="C100" i="9"/>
  <c r="B100" i="9"/>
  <c r="A100" i="9"/>
  <c r="C99" i="9"/>
  <c r="B99" i="9"/>
  <c r="A99" i="9"/>
  <c r="C98" i="9"/>
  <c r="B98" i="9"/>
  <c r="A98" i="9"/>
  <c r="C97" i="9"/>
  <c r="B97" i="9"/>
  <c r="A97" i="9"/>
  <c r="C96" i="9"/>
  <c r="B96" i="9"/>
  <c r="A96" i="9"/>
  <c r="C95" i="9"/>
  <c r="B95" i="9"/>
  <c r="A95" i="9"/>
  <c r="C94" i="9"/>
  <c r="B94" i="9"/>
  <c r="A94" i="9"/>
  <c r="C93" i="9"/>
  <c r="B93" i="9"/>
  <c r="A93" i="9"/>
  <c r="C92" i="9"/>
  <c r="B92" i="9"/>
  <c r="A92" i="9"/>
  <c r="C91" i="9"/>
  <c r="B91" i="9"/>
  <c r="A91" i="9"/>
  <c r="C90" i="9"/>
  <c r="B90" i="9"/>
  <c r="A90" i="9"/>
  <c r="C89" i="9"/>
  <c r="B89" i="9"/>
  <c r="A89" i="9"/>
  <c r="C88" i="9"/>
  <c r="B88" i="9"/>
  <c r="A88" i="9"/>
  <c r="C87" i="9"/>
  <c r="B87" i="9"/>
  <c r="A87" i="9"/>
  <c r="C86" i="9"/>
  <c r="B86" i="9"/>
  <c r="A86" i="9"/>
  <c r="C85" i="9"/>
  <c r="B85" i="9"/>
  <c r="A85" i="9"/>
  <c r="C84" i="9"/>
  <c r="B84" i="9"/>
  <c r="A84" i="9"/>
  <c r="C83" i="9"/>
  <c r="B83" i="9"/>
  <c r="A83" i="9"/>
  <c r="C82" i="9"/>
  <c r="B82" i="9"/>
  <c r="A82" i="9"/>
  <c r="C81" i="9"/>
  <c r="B81" i="9"/>
  <c r="A81" i="9"/>
  <c r="C80" i="9"/>
  <c r="B80" i="9"/>
  <c r="A80" i="9"/>
  <c r="C79" i="9"/>
  <c r="B79" i="9"/>
  <c r="A79" i="9"/>
  <c r="C78" i="9"/>
  <c r="B78" i="9"/>
  <c r="A78" i="9"/>
  <c r="C77" i="9"/>
  <c r="B77" i="9"/>
  <c r="A77" i="9"/>
  <c r="C76" i="9"/>
  <c r="B76" i="9"/>
  <c r="A76" i="9"/>
  <c r="C75" i="9"/>
  <c r="B75" i="9"/>
  <c r="A75" i="9"/>
  <c r="C74" i="9"/>
  <c r="B74" i="9"/>
  <c r="A74" i="9"/>
  <c r="C73" i="9"/>
  <c r="B73" i="9"/>
  <c r="A73" i="9"/>
  <c r="C72" i="9"/>
  <c r="B72" i="9"/>
  <c r="A72" i="9"/>
  <c r="C71" i="9"/>
  <c r="B71" i="9"/>
  <c r="A71" i="9"/>
  <c r="C70" i="9"/>
  <c r="B70" i="9"/>
  <c r="A70" i="9"/>
  <c r="C69" i="9"/>
  <c r="B69" i="9"/>
  <c r="A69" i="9"/>
  <c r="C68" i="9"/>
  <c r="B68" i="9"/>
  <c r="A68" i="9"/>
  <c r="C67" i="9"/>
  <c r="B67" i="9"/>
  <c r="A67" i="9"/>
  <c r="C66" i="9"/>
  <c r="B66" i="9"/>
  <c r="A66" i="9"/>
  <c r="C65" i="9"/>
  <c r="B65" i="9"/>
  <c r="A65" i="9"/>
  <c r="C64" i="9"/>
  <c r="B64" i="9"/>
  <c r="A64" i="9"/>
  <c r="C63" i="9"/>
  <c r="B63" i="9"/>
  <c r="A63" i="9"/>
  <c r="C62" i="9"/>
  <c r="B62" i="9"/>
  <c r="A62" i="9"/>
  <c r="C61" i="9"/>
  <c r="B61" i="9"/>
  <c r="A61" i="9"/>
  <c r="C60" i="9"/>
  <c r="B60" i="9"/>
  <c r="A60" i="9"/>
  <c r="C59" i="9"/>
  <c r="B59" i="9"/>
  <c r="A59" i="9"/>
  <c r="C58" i="9"/>
  <c r="B58" i="9"/>
  <c r="A58" i="9"/>
  <c r="C57" i="9"/>
  <c r="B57" i="9"/>
  <c r="A57" i="9"/>
  <c r="C56" i="9"/>
  <c r="B56" i="9"/>
  <c r="A56" i="9"/>
  <c r="C55" i="9"/>
  <c r="B55" i="9"/>
  <c r="A55" i="9"/>
  <c r="C54" i="9"/>
  <c r="B54" i="9"/>
  <c r="A54" i="9"/>
  <c r="C53" i="9"/>
  <c r="B53" i="9"/>
  <c r="A53" i="9"/>
  <c r="C52" i="9"/>
  <c r="B52" i="9"/>
  <c r="A52" i="9"/>
  <c r="C51" i="9"/>
  <c r="B51" i="9"/>
  <c r="A51" i="9"/>
  <c r="C50" i="9"/>
  <c r="B50" i="9"/>
  <c r="A50" i="9"/>
  <c r="C49" i="9"/>
  <c r="B49" i="9"/>
  <c r="A49" i="9"/>
  <c r="C48" i="9"/>
  <c r="B48" i="9"/>
  <c r="A48" i="9"/>
  <c r="C47" i="9"/>
  <c r="B47" i="9"/>
  <c r="A47" i="9"/>
  <c r="C46" i="9"/>
  <c r="B46" i="9"/>
  <c r="A46" i="9"/>
  <c r="C45" i="9"/>
  <c r="B45" i="9"/>
  <c r="A45" i="9"/>
  <c r="C44" i="9"/>
  <c r="B44" i="9"/>
  <c r="A44" i="9"/>
  <c r="C43" i="9"/>
  <c r="B43" i="9"/>
  <c r="A43" i="9"/>
  <c r="C42" i="9"/>
  <c r="B42" i="9"/>
  <c r="A42" i="9"/>
  <c r="C41" i="9"/>
  <c r="B41" i="9"/>
  <c r="A41" i="9"/>
  <c r="C40" i="9"/>
  <c r="B40" i="9"/>
  <c r="A40" i="9"/>
  <c r="C39" i="9"/>
  <c r="B39" i="9"/>
  <c r="A39" i="9"/>
  <c r="C38" i="9"/>
  <c r="B38" i="9"/>
  <c r="A38" i="9"/>
  <c r="C37" i="9"/>
  <c r="B37" i="9"/>
  <c r="A37" i="9"/>
  <c r="C36" i="9"/>
  <c r="B36" i="9"/>
  <c r="A36" i="9"/>
  <c r="C35" i="9"/>
  <c r="B35" i="9"/>
  <c r="A35" i="9"/>
  <c r="C34" i="9"/>
  <c r="B34" i="9"/>
  <c r="A34" i="9"/>
  <c r="C33" i="9"/>
  <c r="B33" i="9"/>
  <c r="A33" i="9"/>
  <c r="C32" i="9"/>
  <c r="B32" i="9"/>
  <c r="A32" i="9"/>
  <c r="C31" i="9"/>
  <c r="B31" i="9"/>
  <c r="A31" i="9"/>
  <c r="C30" i="9"/>
  <c r="B30" i="9"/>
  <c r="A30" i="9"/>
  <c r="C29" i="9"/>
  <c r="B29" i="9"/>
  <c r="A29" i="9"/>
  <c r="C28" i="9"/>
  <c r="B28" i="9"/>
  <c r="A28" i="9"/>
  <c r="C27" i="9"/>
  <c r="B27" i="9"/>
  <c r="A27" i="9"/>
  <c r="C26" i="9"/>
  <c r="B26" i="9"/>
  <c r="A26" i="9"/>
  <c r="C25" i="9"/>
  <c r="B25" i="9"/>
  <c r="A25" i="9"/>
  <c r="C24" i="9"/>
  <c r="B24" i="9"/>
  <c r="A24" i="9"/>
  <c r="C23" i="9"/>
  <c r="B23" i="9"/>
  <c r="A23" i="9"/>
  <c r="C22" i="9"/>
  <c r="B22" i="9"/>
  <c r="A22" i="9"/>
  <c r="C21" i="9"/>
  <c r="B21" i="9"/>
  <c r="A21" i="9"/>
  <c r="C20" i="9"/>
  <c r="B20" i="9"/>
  <c r="A20" i="9"/>
  <c r="C19" i="9"/>
  <c r="B19" i="9"/>
  <c r="A19" i="9"/>
  <c r="C18" i="9"/>
  <c r="B18" i="9"/>
  <c r="A18" i="9"/>
  <c r="C17" i="9"/>
  <c r="B17" i="9"/>
  <c r="A17" i="9"/>
  <c r="C16" i="9"/>
  <c r="B16" i="9"/>
  <c r="A16" i="9"/>
  <c r="C15" i="9"/>
  <c r="B15" i="9"/>
  <c r="A15" i="9"/>
  <c r="C14" i="9"/>
  <c r="B14" i="9"/>
  <c r="A14" i="9"/>
  <c r="C13" i="9"/>
  <c r="B13" i="9"/>
  <c r="A13" i="9"/>
  <c r="C12" i="9"/>
  <c r="B12" i="9"/>
  <c r="A12" i="9"/>
  <c r="C11" i="9"/>
  <c r="B11" i="9"/>
  <c r="A11" i="9"/>
  <c r="C10" i="9"/>
  <c r="B10" i="9"/>
  <c r="A10" i="9"/>
  <c r="C9" i="9"/>
  <c r="B9" i="9"/>
  <c r="A9" i="9"/>
  <c r="C8" i="9"/>
  <c r="B8" i="9"/>
  <c r="A8" i="9"/>
  <c r="C7" i="9"/>
  <c r="B7" i="9"/>
  <c r="A7" i="9"/>
  <c r="C6" i="9"/>
  <c r="B6" i="9"/>
  <c r="A6" i="9"/>
  <c r="C5" i="9"/>
  <c r="B5" i="9"/>
  <c r="A5" i="9"/>
  <c r="C105" i="8"/>
  <c r="B105" i="8"/>
  <c r="A105" i="8"/>
  <c r="C104" i="8"/>
  <c r="B104" i="8"/>
  <c r="A104" i="8"/>
  <c r="C103" i="8"/>
  <c r="B103" i="8"/>
  <c r="A103" i="8"/>
  <c r="C102" i="8"/>
  <c r="B102" i="8"/>
  <c r="A102" i="8"/>
  <c r="C101" i="8"/>
  <c r="B101" i="8"/>
  <c r="A101" i="8"/>
  <c r="C100" i="8"/>
  <c r="B100" i="8"/>
  <c r="A100" i="8"/>
  <c r="C99" i="8"/>
  <c r="B99" i="8"/>
  <c r="A99" i="8"/>
  <c r="C98" i="8"/>
  <c r="B98" i="8"/>
  <c r="A98" i="8"/>
  <c r="C97" i="8"/>
  <c r="B97" i="8"/>
  <c r="A97" i="8"/>
  <c r="C96" i="8"/>
  <c r="B96" i="8"/>
  <c r="A96" i="8"/>
  <c r="C95" i="8"/>
  <c r="B95" i="8"/>
  <c r="A95" i="8"/>
  <c r="C94" i="8"/>
  <c r="B94" i="8"/>
  <c r="A94" i="8"/>
  <c r="C93" i="8"/>
  <c r="B93" i="8"/>
  <c r="A93" i="8"/>
  <c r="C92" i="8"/>
  <c r="B92" i="8"/>
  <c r="A92" i="8"/>
  <c r="C91" i="8"/>
  <c r="B91" i="8"/>
  <c r="A91" i="8"/>
  <c r="C90" i="8"/>
  <c r="B90" i="8"/>
  <c r="A90" i="8"/>
  <c r="C89" i="8"/>
  <c r="B89" i="8"/>
  <c r="A89" i="8"/>
  <c r="C88" i="8"/>
  <c r="B88" i="8"/>
  <c r="A88" i="8"/>
  <c r="C87" i="8"/>
  <c r="B87" i="8"/>
  <c r="A87" i="8"/>
  <c r="C86" i="8"/>
  <c r="B86" i="8"/>
  <c r="A86" i="8"/>
  <c r="C85" i="8"/>
  <c r="B85" i="8"/>
  <c r="A85" i="8"/>
  <c r="C84" i="8"/>
  <c r="B84" i="8"/>
  <c r="A84" i="8"/>
  <c r="C83" i="8"/>
  <c r="B83" i="8"/>
  <c r="A83" i="8"/>
  <c r="C82" i="8"/>
  <c r="B82" i="8"/>
  <c r="A82" i="8"/>
  <c r="C81" i="8"/>
  <c r="B81" i="8"/>
  <c r="A81" i="8"/>
  <c r="C80" i="8"/>
  <c r="B80" i="8"/>
  <c r="A80" i="8"/>
  <c r="C79" i="8"/>
  <c r="B79" i="8"/>
  <c r="A79" i="8"/>
  <c r="C78" i="8"/>
  <c r="B78" i="8"/>
  <c r="A78" i="8"/>
  <c r="C77" i="8"/>
  <c r="B77" i="8"/>
  <c r="A77" i="8"/>
  <c r="C76" i="8"/>
  <c r="B76" i="8"/>
  <c r="A76" i="8"/>
  <c r="C75" i="8"/>
  <c r="B75" i="8"/>
  <c r="A75" i="8"/>
  <c r="C74" i="8"/>
  <c r="B74" i="8"/>
  <c r="A74" i="8"/>
  <c r="C73" i="8"/>
  <c r="B73" i="8"/>
  <c r="A73" i="8"/>
  <c r="C72" i="8"/>
  <c r="B72" i="8"/>
  <c r="A72" i="8"/>
  <c r="C71" i="8"/>
  <c r="B71" i="8"/>
  <c r="A71" i="8"/>
  <c r="C70" i="8"/>
  <c r="B70" i="8"/>
  <c r="A70" i="8"/>
  <c r="C69" i="8"/>
  <c r="B69" i="8"/>
  <c r="A69" i="8"/>
  <c r="C68" i="8"/>
  <c r="B68" i="8"/>
  <c r="A68" i="8"/>
  <c r="C67" i="8"/>
  <c r="B67" i="8"/>
  <c r="A67" i="8"/>
  <c r="C66" i="8"/>
  <c r="B66" i="8"/>
  <c r="A66" i="8"/>
  <c r="C65" i="8"/>
  <c r="B65" i="8"/>
  <c r="A65" i="8"/>
  <c r="C64" i="8"/>
  <c r="B64" i="8"/>
  <c r="A64" i="8"/>
  <c r="C63" i="8"/>
  <c r="B63" i="8"/>
  <c r="A63" i="8"/>
  <c r="C62" i="8"/>
  <c r="B62" i="8"/>
  <c r="A62" i="8"/>
  <c r="C61" i="8"/>
  <c r="B61" i="8"/>
  <c r="A61" i="8"/>
  <c r="C60" i="8"/>
  <c r="B60" i="8"/>
  <c r="A60" i="8"/>
  <c r="C59" i="8"/>
  <c r="B59" i="8"/>
  <c r="A59" i="8"/>
  <c r="C58" i="8"/>
  <c r="B58" i="8"/>
  <c r="A58" i="8"/>
  <c r="C57" i="8"/>
  <c r="B57" i="8"/>
  <c r="A57" i="8"/>
  <c r="C56" i="8"/>
  <c r="B56" i="8"/>
  <c r="A56" i="8"/>
  <c r="C55" i="8"/>
  <c r="B55" i="8"/>
  <c r="A55" i="8"/>
  <c r="C54" i="8"/>
  <c r="B54" i="8"/>
  <c r="A54" i="8"/>
  <c r="C53" i="8"/>
  <c r="B53" i="8"/>
  <c r="A53" i="8"/>
  <c r="C52" i="8"/>
  <c r="B52" i="8"/>
  <c r="A52" i="8"/>
  <c r="C51" i="8"/>
  <c r="B51" i="8"/>
  <c r="A51" i="8"/>
  <c r="C50" i="8"/>
  <c r="B50" i="8"/>
  <c r="A50" i="8"/>
  <c r="C49" i="8"/>
  <c r="B49" i="8"/>
  <c r="A49" i="8"/>
  <c r="C48" i="8"/>
  <c r="B48" i="8"/>
  <c r="A48" i="8"/>
  <c r="C47" i="8"/>
  <c r="B47" i="8"/>
  <c r="A47" i="8"/>
  <c r="C46" i="8"/>
  <c r="B46" i="8"/>
  <c r="A46" i="8"/>
  <c r="C45" i="8"/>
  <c r="B45" i="8"/>
  <c r="A45" i="8"/>
  <c r="C44" i="8"/>
  <c r="B44" i="8"/>
  <c r="A44" i="8"/>
  <c r="C43" i="8"/>
  <c r="B43" i="8"/>
  <c r="A43" i="8"/>
  <c r="C42" i="8"/>
  <c r="B42" i="8"/>
  <c r="A42" i="8"/>
  <c r="C41" i="8"/>
  <c r="B41" i="8"/>
  <c r="A41" i="8"/>
  <c r="C40" i="8"/>
  <c r="B40" i="8"/>
  <c r="A40" i="8"/>
  <c r="C39" i="8"/>
  <c r="B39" i="8"/>
  <c r="A39" i="8"/>
  <c r="C38" i="8"/>
  <c r="B38" i="8"/>
  <c r="A38" i="8"/>
  <c r="C37" i="8"/>
  <c r="B37" i="8"/>
  <c r="A37" i="8"/>
  <c r="C36" i="8"/>
  <c r="B36" i="8"/>
  <c r="A36" i="8"/>
  <c r="C35" i="8"/>
  <c r="B35" i="8"/>
  <c r="A35" i="8"/>
  <c r="C34" i="8"/>
  <c r="B34" i="8"/>
  <c r="A34" i="8"/>
  <c r="C33" i="8"/>
  <c r="B33" i="8"/>
  <c r="A33" i="8"/>
  <c r="C32" i="8"/>
  <c r="B32" i="8"/>
  <c r="A32" i="8"/>
  <c r="C31" i="8"/>
  <c r="B31" i="8"/>
  <c r="A31" i="8"/>
  <c r="C30" i="8"/>
  <c r="B30" i="8"/>
  <c r="A30" i="8"/>
  <c r="C29" i="8"/>
  <c r="B29" i="8"/>
  <c r="A29" i="8"/>
  <c r="C28" i="8"/>
  <c r="B28" i="8"/>
  <c r="A28" i="8"/>
  <c r="C27" i="8"/>
  <c r="B27" i="8"/>
  <c r="A27" i="8"/>
  <c r="C26" i="8"/>
  <c r="B26" i="8"/>
  <c r="A26" i="8"/>
  <c r="C25" i="8"/>
  <c r="B25" i="8"/>
  <c r="A25" i="8"/>
  <c r="C24" i="8"/>
  <c r="B24" i="8"/>
  <c r="A24" i="8"/>
  <c r="C23" i="8"/>
  <c r="B23" i="8"/>
  <c r="A23" i="8"/>
  <c r="C22" i="8"/>
  <c r="B22" i="8"/>
  <c r="A22" i="8"/>
  <c r="C21" i="8"/>
  <c r="B21" i="8"/>
  <c r="A21" i="8"/>
  <c r="C20" i="8"/>
  <c r="B20" i="8"/>
  <c r="A20" i="8"/>
  <c r="C19" i="8"/>
  <c r="B19" i="8"/>
  <c r="A19" i="8"/>
  <c r="C18" i="8"/>
  <c r="B18" i="8"/>
  <c r="A18" i="8"/>
  <c r="C17" i="8"/>
  <c r="B17" i="8"/>
  <c r="A17" i="8"/>
  <c r="C16" i="8"/>
  <c r="B16" i="8"/>
  <c r="A16" i="8"/>
  <c r="C15" i="8"/>
  <c r="B15" i="8"/>
  <c r="A15" i="8"/>
  <c r="C14" i="8"/>
  <c r="B14" i="8"/>
  <c r="A14" i="8"/>
  <c r="C13" i="8"/>
  <c r="B13" i="8"/>
  <c r="A13" i="8"/>
  <c r="C12" i="8"/>
  <c r="B12" i="8"/>
  <c r="A12" i="8"/>
  <c r="C11" i="8"/>
  <c r="B11" i="8"/>
  <c r="A11" i="8"/>
  <c r="C10" i="8"/>
  <c r="B10" i="8"/>
  <c r="A10" i="8"/>
  <c r="C9" i="8"/>
  <c r="B9" i="8"/>
  <c r="A9" i="8"/>
  <c r="C8" i="8"/>
  <c r="B8" i="8"/>
  <c r="A8" i="8"/>
  <c r="C7" i="8"/>
  <c r="B7" i="8"/>
  <c r="A7" i="8"/>
  <c r="C6" i="8"/>
  <c r="B6" i="8"/>
  <c r="A6" i="8"/>
  <c r="C5" i="8"/>
  <c r="B5" i="8"/>
  <c r="A5" i="8"/>
  <c r="C101" i="7"/>
  <c r="B101" i="7"/>
  <c r="A101" i="7"/>
  <c r="C100" i="7"/>
  <c r="B100" i="7"/>
  <c r="A100" i="7"/>
  <c r="C99" i="7"/>
  <c r="B99" i="7"/>
  <c r="A99" i="7"/>
  <c r="C98" i="7"/>
  <c r="B98" i="7"/>
  <c r="A98" i="7"/>
  <c r="C97" i="7"/>
  <c r="B97" i="7"/>
  <c r="A97" i="7"/>
  <c r="C96" i="7"/>
  <c r="B96" i="7"/>
  <c r="A96" i="7"/>
  <c r="C95" i="7"/>
  <c r="B95" i="7"/>
  <c r="A95" i="7"/>
  <c r="C94" i="7"/>
  <c r="B94" i="7"/>
  <c r="A94" i="7"/>
  <c r="C93" i="7"/>
  <c r="B93" i="7"/>
  <c r="A93" i="7"/>
  <c r="C92" i="7"/>
  <c r="B92" i="7"/>
  <c r="A92" i="7"/>
  <c r="C91" i="7"/>
  <c r="B91" i="7"/>
  <c r="A91" i="7"/>
  <c r="C90" i="7"/>
  <c r="B90" i="7"/>
  <c r="A90" i="7"/>
  <c r="C89" i="7"/>
  <c r="B89" i="7"/>
  <c r="A89" i="7"/>
  <c r="C88" i="7"/>
  <c r="B88" i="7"/>
  <c r="A88" i="7"/>
  <c r="C87" i="7"/>
  <c r="B87" i="7"/>
  <c r="A87" i="7"/>
  <c r="C86" i="7"/>
  <c r="B86" i="7"/>
  <c r="A86" i="7"/>
  <c r="C85" i="7"/>
  <c r="B85" i="7"/>
  <c r="A85" i="7"/>
  <c r="C84" i="7"/>
  <c r="B84" i="7"/>
  <c r="A84" i="7"/>
  <c r="C83" i="7"/>
  <c r="B83" i="7"/>
  <c r="A83" i="7"/>
  <c r="C82" i="7"/>
  <c r="B82" i="7"/>
  <c r="A82" i="7"/>
  <c r="C81" i="7"/>
  <c r="B81" i="7"/>
  <c r="A81" i="7"/>
  <c r="C80" i="7"/>
  <c r="B80" i="7"/>
  <c r="A80" i="7"/>
  <c r="C79" i="7"/>
  <c r="B79" i="7"/>
  <c r="A79" i="7"/>
  <c r="C78" i="7"/>
  <c r="B78" i="7"/>
  <c r="A78" i="7"/>
  <c r="C77" i="7"/>
  <c r="B77" i="7"/>
  <c r="A77" i="7"/>
  <c r="C76" i="7"/>
  <c r="B76" i="7"/>
  <c r="A76" i="7"/>
  <c r="C75" i="7"/>
  <c r="B75" i="7"/>
  <c r="A75" i="7"/>
  <c r="C74" i="7"/>
  <c r="B74" i="7"/>
  <c r="A74" i="7"/>
  <c r="C73" i="7"/>
  <c r="B73" i="7"/>
  <c r="A73" i="7"/>
  <c r="C72" i="7"/>
  <c r="B72" i="7"/>
  <c r="A72" i="7"/>
  <c r="C71" i="7"/>
  <c r="B71" i="7"/>
  <c r="A71" i="7"/>
  <c r="C70" i="7"/>
  <c r="B70" i="7"/>
  <c r="A70" i="7"/>
  <c r="C69" i="7"/>
  <c r="B69" i="7"/>
  <c r="A69" i="7"/>
  <c r="C68" i="7"/>
  <c r="B68" i="7"/>
  <c r="A68" i="7"/>
  <c r="C67" i="7"/>
  <c r="B67" i="7"/>
  <c r="A67" i="7"/>
  <c r="C66" i="7"/>
  <c r="B66" i="7"/>
  <c r="A66" i="7"/>
  <c r="C65" i="7"/>
  <c r="B65" i="7"/>
  <c r="A65" i="7"/>
  <c r="C64" i="7"/>
  <c r="B64" i="7"/>
  <c r="A64" i="7"/>
  <c r="C63" i="7"/>
  <c r="B63" i="7"/>
  <c r="A63" i="7"/>
  <c r="C62" i="7"/>
  <c r="B62" i="7"/>
  <c r="A62" i="7"/>
  <c r="C61" i="7"/>
  <c r="B61" i="7"/>
  <c r="A61" i="7"/>
  <c r="C60" i="7"/>
  <c r="B60" i="7"/>
  <c r="A60" i="7"/>
  <c r="C59" i="7"/>
  <c r="B59" i="7"/>
  <c r="A59" i="7"/>
  <c r="C58" i="7"/>
  <c r="B58" i="7"/>
  <c r="A58" i="7"/>
  <c r="C57" i="7"/>
  <c r="B57" i="7"/>
  <c r="A57" i="7"/>
  <c r="C56" i="7"/>
  <c r="B56" i="7"/>
  <c r="A56" i="7"/>
  <c r="C55" i="7"/>
  <c r="B55" i="7"/>
  <c r="A55" i="7"/>
  <c r="C54" i="7"/>
  <c r="B54" i="7"/>
  <c r="A54" i="7"/>
  <c r="C53" i="7"/>
  <c r="B53" i="7"/>
  <c r="A53" i="7"/>
  <c r="C52" i="7"/>
  <c r="B52" i="7"/>
  <c r="A52" i="7"/>
  <c r="C51" i="7"/>
  <c r="B51" i="7"/>
  <c r="A51" i="7"/>
  <c r="C50" i="7"/>
  <c r="B50" i="7"/>
  <c r="A50" i="7"/>
  <c r="C49" i="7"/>
  <c r="B49" i="7"/>
  <c r="A49" i="7"/>
  <c r="C48" i="7"/>
  <c r="B48" i="7"/>
  <c r="A48" i="7"/>
  <c r="C47" i="7"/>
  <c r="B47" i="7"/>
  <c r="A47" i="7"/>
  <c r="C46" i="7"/>
  <c r="B46" i="7"/>
  <c r="A46" i="7"/>
  <c r="C45" i="7"/>
  <c r="B45" i="7"/>
  <c r="A45" i="7"/>
  <c r="C44" i="7"/>
  <c r="B44" i="7"/>
  <c r="A44" i="7"/>
  <c r="C43" i="7"/>
  <c r="B43" i="7"/>
  <c r="A43" i="7"/>
  <c r="C42" i="7"/>
  <c r="B42" i="7"/>
  <c r="A42" i="7"/>
  <c r="C41" i="7"/>
  <c r="B41" i="7"/>
  <c r="A41" i="7"/>
  <c r="C40" i="7"/>
  <c r="B40" i="7"/>
  <c r="A40" i="7"/>
  <c r="C39" i="7"/>
  <c r="B39" i="7"/>
  <c r="A39" i="7"/>
  <c r="C38" i="7"/>
  <c r="B38" i="7"/>
  <c r="A38" i="7"/>
  <c r="C37" i="7"/>
  <c r="B37" i="7"/>
  <c r="A37" i="7"/>
  <c r="C36" i="7"/>
  <c r="B36" i="7"/>
  <c r="A36" i="7"/>
  <c r="C35" i="7"/>
  <c r="B35" i="7"/>
  <c r="A35" i="7"/>
  <c r="C34" i="7"/>
  <c r="B34" i="7"/>
  <c r="A34" i="7"/>
  <c r="C33" i="7"/>
  <c r="B33" i="7"/>
  <c r="A33" i="7"/>
  <c r="C32" i="7"/>
  <c r="B32" i="7"/>
  <c r="A32" i="7"/>
  <c r="C31" i="7"/>
  <c r="B31" i="7"/>
  <c r="A31" i="7"/>
  <c r="C30" i="7"/>
  <c r="B30" i="7"/>
  <c r="A30" i="7"/>
  <c r="C29" i="7"/>
  <c r="B29" i="7"/>
  <c r="A29" i="7"/>
  <c r="C28" i="7"/>
  <c r="B28" i="7"/>
  <c r="A28" i="7"/>
  <c r="C27" i="7"/>
  <c r="B27" i="7"/>
  <c r="A27" i="7"/>
  <c r="C26" i="7"/>
  <c r="B26" i="7"/>
  <c r="A26" i="7"/>
  <c r="C25" i="7"/>
  <c r="B25" i="7"/>
  <c r="A25" i="7"/>
  <c r="C24" i="7"/>
  <c r="B24" i="7"/>
  <c r="A24" i="7"/>
  <c r="C23" i="7"/>
  <c r="B23" i="7"/>
  <c r="A23" i="7"/>
  <c r="C22" i="7"/>
  <c r="B22" i="7"/>
  <c r="A22" i="7"/>
  <c r="C21" i="7"/>
  <c r="B21" i="7"/>
  <c r="A21" i="7"/>
  <c r="C20" i="7"/>
  <c r="B20" i="7"/>
  <c r="A20" i="7"/>
  <c r="C19" i="7"/>
  <c r="B19" i="7"/>
  <c r="A19" i="7"/>
  <c r="C18" i="7"/>
  <c r="B18" i="7"/>
  <c r="A18" i="7"/>
  <c r="C17" i="7"/>
  <c r="B17" i="7"/>
  <c r="A17" i="7"/>
  <c r="C16" i="7"/>
  <c r="B16" i="7"/>
  <c r="A16" i="7"/>
  <c r="C15" i="7"/>
  <c r="B15" i="7"/>
  <c r="A15" i="7"/>
  <c r="C14" i="7"/>
  <c r="B14" i="7"/>
  <c r="A14" i="7"/>
  <c r="C13" i="7"/>
  <c r="B13" i="7"/>
  <c r="A13" i="7"/>
  <c r="C12" i="7"/>
  <c r="B12" i="7"/>
  <c r="A12" i="7"/>
  <c r="C11" i="7"/>
  <c r="B11" i="7"/>
  <c r="A11" i="7"/>
  <c r="C10" i="7"/>
  <c r="B10" i="7"/>
  <c r="A10" i="7"/>
  <c r="C9" i="7"/>
  <c r="B9" i="7"/>
  <c r="A9" i="7"/>
  <c r="C8" i="7"/>
  <c r="B8" i="7"/>
  <c r="A8" i="7"/>
  <c r="C7" i="7"/>
  <c r="B7" i="7"/>
  <c r="A7" i="7"/>
  <c r="C6" i="7"/>
  <c r="B6" i="7"/>
  <c r="A6" i="7"/>
  <c r="C5" i="7"/>
  <c r="B5" i="7"/>
  <c r="A5" i="7"/>
  <c r="C4" i="7"/>
  <c r="B4" i="7"/>
  <c r="A4" i="7"/>
  <c r="C104" i="6"/>
  <c r="B104" i="6"/>
  <c r="A104" i="6"/>
  <c r="C103" i="6"/>
  <c r="B103" i="6"/>
  <c r="A103" i="6"/>
  <c r="C102" i="6"/>
  <c r="B102" i="6"/>
  <c r="A102" i="6"/>
  <c r="C101" i="6"/>
  <c r="B101" i="6"/>
  <c r="A101" i="6"/>
  <c r="C100" i="6"/>
  <c r="B100" i="6"/>
  <c r="A100" i="6"/>
  <c r="C99" i="6"/>
  <c r="B99" i="6"/>
  <c r="A99" i="6"/>
  <c r="C98" i="6"/>
  <c r="B98" i="6"/>
  <c r="A98" i="6"/>
  <c r="C97" i="6"/>
  <c r="B97" i="6"/>
  <c r="A97" i="6"/>
  <c r="C96" i="6"/>
  <c r="B96" i="6"/>
  <c r="A96" i="6"/>
  <c r="C95" i="6"/>
  <c r="B95" i="6"/>
  <c r="A95" i="6"/>
  <c r="C94" i="6"/>
  <c r="B94" i="6"/>
  <c r="A94" i="6"/>
  <c r="C93" i="6"/>
  <c r="B93" i="6"/>
  <c r="A93" i="6"/>
  <c r="C92" i="6"/>
  <c r="B92" i="6"/>
  <c r="A92" i="6"/>
  <c r="C91" i="6"/>
  <c r="B91" i="6"/>
  <c r="A91" i="6"/>
  <c r="C90" i="6"/>
  <c r="B90" i="6"/>
  <c r="A90" i="6"/>
  <c r="C89" i="6"/>
  <c r="B89" i="6"/>
  <c r="A89" i="6"/>
  <c r="C88" i="6"/>
  <c r="B88" i="6"/>
  <c r="A88" i="6"/>
  <c r="C87" i="6"/>
  <c r="B87" i="6"/>
  <c r="A87" i="6"/>
  <c r="C86" i="6"/>
  <c r="B86" i="6"/>
  <c r="A86" i="6"/>
  <c r="C85" i="6"/>
  <c r="B85" i="6"/>
  <c r="A85" i="6"/>
  <c r="C84" i="6"/>
  <c r="B84" i="6"/>
  <c r="A84" i="6"/>
  <c r="C83" i="6"/>
  <c r="B83" i="6"/>
  <c r="A83" i="6"/>
  <c r="C82" i="6"/>
  <c r="B82" i="6"/>
  <c r="A82" i="6"/>
  <c r="C81" i="6"/>
  <c r="B81" i="6"/>
  <c r="A81" i="6"/>
  <c r="C80" i="6"/>
  <c r="B80" i="6"/>
  <c r="A80" i="6"/>
  <c r="C79" i="6"/>
  <c r="B79" i="6"/>
  <c r="A79" i="6"/>
  <c r="C78" i="6"/>
  <c r="B78" i="6"/>
  <c r="A78" i="6"/>
  <c r="C77" i="6"/>
  <c r="B77" i="6"/>
  <c r="A77" i="6"/>
  <c r="C76" i="6"/>
  <c r="B76" i="6"/>
  <c r="A76" i="6"/>
  <c r="C75" i="6"/>
  <c r="B75" i="6"/>
  <c r="A75" i="6"/>
  <c r="C74" i="6"/>
  <c r="B74" i="6"/>
  <c r="A74" i="6"/>
  <c r="C73" i="6"/>
  <c r="B73" i="6"/>
  <c r="A73" i="6"/>
  <c r="C72" i="6"/>
  <c r="B72" i="6"/>
  <c r="A72" i="6"/>
  <c r="C71" i="6"/>
  <c r="B71" i="6"/>
  <c r="A71" i="6"/>
  <c r="C70" i="6"/>
  <c r="B70" i="6"/>
  <c r="A70" i="6"/>
  <c r="C69" i="6"/>
  <c r="B69" i="6"/>
  <c r="A69" i="6"/>
  <c r="C68" i="6"/>
  <c r="B68" i="6"/>
  <c r="A68" i="6"/>
  <c r="C67" i="6"/>
  <c r="B67" i="6"/>
  <c r="A67" i="6"/>
  <c r="C66" i="6"/>
  <c r="B66" i="6"/>
  <c r="A66" i="6"/>
  <c r="C65" i="6"/>
  <c r="B65" i="6"/>
  <c r="A65" i="6"/>
  <c r="C64" i="6"/>
  <c r="B64" i="6"/>
  <c r="A64" i="6"/>
  <c r="C63" i="6"/>
  <c r="B63" i="6"/>
  <c r="A63" i="6"/>
  <c r="C62" i="6"/>
  <c r="B62" i="6"/>
  <c r="A62" i="6"/>
  <c r="C61" i="6"/>
  <c r="B61" i="6"/>
  <c r="A61" i="6"/>
  <c r="C60" i="6"/>
  <c r="B60" i="6"/>
  <c r="A60" i="6"/>
  <c r="C59" i="6"/>
  <c r="B59" i="6"/>
  <c r="A59" i="6"/>
  <c r="C58" i="6"/>
  <c r="B58" i="6"/>
  <c r="A58" i="6"/>
  <c r="C57" i="6"/>
  <c r="B57" i="6"/>
  <c r="A57" i="6"/>
  <c r="C56" i="6"/>
  <c r="B56" i="6"/>
  <c r="A56" i="6"/>
  <c r="C55" i="6"/>
  <c r="B55" i="6"/>
  <c r="A55" i="6"/>
  <c r="C54" i="6"/>
  <c r="B54" i="6"/>
  <c r="A54" i="6"/>
  <c r="C53" i="6"/>
  <c r="B53" i="6"/>
  <c r="A53" i="6"/>
  <c r="C52" i="6"/>
  <c r="B52" i="6"/>
  <c r="A52" i="6"/>
  <c r="C51" i="6"/>
  <c r="B51" i="6"/>
  <c r="A51" i="6"/>
  <c r="C50" i="6"/>
  <c r="B50" i="6"/>
  <c r="A50" i="6"/>
  <c r="C49" i="6"/>
  <c r="B49" i="6"/>
  <c r="A49" i="6"/>
  <c r="C48" i="6"/>
  <c r="B48" i="6"/>
  <c r="A48" i="6"/>
  <c r="C47" i="6"/>
  <c r="B47" i="6"/>
  <c r="A47" i="6"/>
  <c r="C46" i="6"/>
  <c r="B46" i="6"/>
  <c r="A46" i="6"/>
  <c r="C45" i="6"/>
  <c r="B45" i="6"/>
  <c r="A45" i="6"/>
  <c r="C44" i="6"/>
  <c r="B44" i="6"/>
  <c r="A44" i="6"/>
  <c r="C43" i="6"/>
  <c r="B43" i="6"/>
  <c r="A43" i="6"/>
  <c r="C42" i="6"/>
  <c r="B42" i="6"/>
  <c r="A42" i="6"/>
  <c r="C41" i="6"/>
  <c r="B41" i="6"/>
  <c r="A41" i="6"/>
  <c r="C40" i="6"/>
  <c r="B40" i="6"/>
  <c r="A40" i="6"/>
  <c r="C39" i="6"/>
  <c r="B39" i="6"/>
  <c r="A39" i="6"/>
  <c r="C38" i="6"/>
  <c r="B38" i="6"/>
  <c r="A38" i="6"/>
  <c r="C37" i="6"/>
  <c r="B37" i="6"/>
  <c r="A37" i="6"/>
  <c r="C36" i="6"/>
  <c r="B36" i="6"/>
  <c r="A36" i="6"/>
  <c r="C35" i="6"/>
  <c r="B35" i="6"/>
  <c r="A35" i="6"/>
  <c r="C34" i="6"/>
  <c r="B34" i="6"/>
  <c r="A34" i="6"/>
  <c r="C33" i="6"/>
  <c r="B33" i="6"/>
  <c r="A33" i="6"/>
  <c r="C32" i="6"/>
  <c r="B32" i="6"/>
  <c r="A32" i="6"/>
  <c r="C31" i="6"/>
  <c r="B31" i="6"/>
  <c r="A31" i="6"/>
  <c r="C30" i="6"/>
  <c r="B30" i="6"/>
  <c r="A30" i="6"/>
  <c r="C29" i="6"/>
  <c r="B29" i="6"/>
  <c r="A29" i="6"/>
  <c r="C28" i="6"/>
  <c r="B28" i="6"/>
  <c r="A28" i="6"/>
  <c r="C27" i="6"/>
  <c r="B27" i="6"/>
  <c r="A27" i="6"/>
  <c r="C26" i="6"/>
  <c r="B26" i="6"/>
  <c r="A26" i="6"/>
  <c r="C25" i="6"/>
  <c r="B25" i="6"/>
  <c r="A25" i="6"/>
  <c r="C24" i="6"/>
  <c r="B24" i="6"/>
  <c r="A24" i="6"/>
  <c r="C23" i="6"/>
  <c r="B23" i="6"/>
  <c r="A23" i="6"/>
  <c r="C22" i="6"/>
  <c r="B22" i="6"/>
  <c r="A22" i="6"/>
  <c r="C21" i="6"/>
  <c r="B21" i="6"/>
  <c r="A21" i="6"/>
  <c r="C20" i="6"/>
  <c r="B20" i="6"/>
  <c r="A20" i="6"/>
  <c r="C19" i="6"/>
  <c r="B19" i="6"/>
  <c r="A19" i="6"/>
  <c r="C18" i="6"/>
  <c r="B18" i="6"/>
  <c r="A18" i="6"/>
  <c r="C17" i="6"/>
  <c r="B17" i="6"/>
  <c r="A17" i="6"/>
  <c r="C16" i="6"/>
  <c r="B16" i="6"/>
  <c r="A16" i="6"/>
  <c r="C15" i="6"/>
  <c r="B15" i="6"/>
  <c r="A15" i="6"/>
  <c r="C14" i="6"/>
  <c r="B14" i="6"/>
  <c r="A14" i="6"/>
  <c r="C13" i="6"/>
  <c r="B13" i="6"/>
  <c r="A13" i="6"/>
  <c r="C12" i="6"/>
  <c r="B12" i="6"/>
  <c r="A12" i="6"/>
  <c r="C11" i="6"/>
  <c r="B11" i="6"/>
  <c r="A11" i="6"/>
  <c r="C10" i="6"/>
  <c r="B10" i="6"/>
  <c r="A10" i="6"/>
  <c r="C9" i="6"/>
  <c r="B9" i="6"/>
  <c r="A9" i="6"/>
  <c r="C8" i="6"/>
  <c r="B8" i="6"/>
  <c r="A8" i="6"/>
  <c r="C7" i="6"/>
  <c r="B7" i="6"/>
  <c r="A7" i="6"/>
  <c r="C6" i="6"/>
  <c r="B6" i="6"/>
  <c r="A6" i="6"/>
  <c r="C5" i="6"/>
  <c r="B5" i="6"/>
  <c r="A5" i="6"/>
  <c r="C4" i="6"/>
  <c r="B4" i="6"/>
  <c r="A4" i="6"/>
  <c r="C101" i="27"/>
  <c r="B101" i="27"/>
  <c r="A101" i="27"/>
  <c r="C100" i="27"/>
  <c r="B100" i="27"/>
  <c r="A100" i="27"/>
  <c r="C99" i="27"/>
  <c r="B99" i="27"/>
  <c r="A99" i="27"/>
  <c r="C98" i="27"/>
  <c r="B98" i="27"/>
  <c r="A98" i="27"/>
  <c r="C97" i="27"/>
  <c r="B97" i="27"/>
  <c r="A97" i="27"/>
  <c r="C96" i="27"/>
  <c r="B96" i="27"/>
  <c r="A96" i="27"/>
  <c r="C95" i="27"/>
  <c r="B95" i="27"/>
  <c r="A95" i="27"/>
  <c r="C94" i="27"/>
  <c r="B94" i="27"/>
  <c r="A94" i="27"/>
  <c r="C93" i="27"/>
  <c r="B93" i="27"/>
  <c r="A93" i="27"/>
  <c r="C92" i="27"/>
  <c r="B92" i="27"/>
  <c r="A92" i="27"/>
  <c r="C91" i="27"/>
  <c r="B91" i="27"/>
  <c r="A91" i="27"/>
  <c r="C90" i="27"/>
  <c r="B90" i="27"/>
  <c r="A90" i="27"/>
  <c r="C89" i="27"/>
  <c r="B89" i="27"/>
  <c r="A89" i="27"/>
  <c r="C88" i="27"/>
  <c r="B88" i="27"/>
  <c r="A88" i="27"/>
  <c r="C87" i="27"/>
  <c r="B87" i="27"/>
  <c r="A87" i="27"/>
  <c r="C86" i="27"/>
  <c r="B86" i="27"/>
  <c r="A86" i="27"/>
  <c r="C85" i="27"/>
  <c r="B85" i="27"/>
  <c r="A85" i="27"/>
  <c r="C84" i="27"/>
  <c r="B84" i="27"/>
  <c r="A84" i="27"/>
  <c r="C83" i="27"/>
  <c r="B83" i="27"/>
  <c r="A83" i="27"/>
  <c r="C82" i="27"/>
  <c r="B82" i="27"/>
  <c r="A82" i="27"/>
  <c r="C81" i="27"/>
  <c r="B81" i="27"/>
  <c r="A81" i="27"/>
  <c r="C80" i="27"/>
  <c r="B80" i="27"/>
  <c r="A80" i="27"/>
  <c r="C79" i="27"/>
  <c r="B79" i="27"/>
  <c r="A79" i="27"/>
  <c r="C78" i="27"/>
  <c r="B78" i="27"/>
  <c r="A78" i="27"/>
  <c r="C77" i="27"/>
  <c r="B77" i="27"/>
  <c r="A77" i="27"/>
  <c r="C76" i="27"/>
  <c r="B76" i="27"/>
  <c r="A76" i="27"/>
  <c r="C75" i="27"/>
  <c r="B75" i="27"/>
  <c r="A75" i="27"/>
  <c r="C74" i="27"/>
  <c r="B74" i="27"/>
  <c r="A74" i="27"/>
  <c r="C73" i="27"/>
  <c r="B73" i="27"/>
  <c r="A73" i="27"/>
  <c r="C72" i="27"/>
  <c r="B72" i="27"/>
  <c r="A72" i="27"/>
  <c r="C71" i="27"/>
  <c r="B71" i="27"/>
  <c r="A71" i="27"/>
  <c r="C70" i="27"/>
  <c r="B70" i="27"/>
  <c r="A70" i="27"/>
  <c r="C69" i="27"/>
  <c r="B69" i="27"/>
  <c r="A69" i="27"/>
  <c r="C68" i="27"/>
  <c r="B68" i="27"/>
  <c r="A68" i="27"/>
  <c r="C67" i="27"/>
  <c r="B67" i="27"/>
  <c r="A67" i="27"/>
  <c r="C66" i="27"/>
  <c r="B66" i="27"/>
  <c r="A66" i="27"/>
  <c r="C65" i="27"/>
  <c r="B65" i="27"/>
  <c r="A65" i="27"/>
  <c r="C64" i="27"/>
  <c r="B64" i="27"/>
  <c r="A64" i="27"/>
  <c r="C63" i="27"/>
  <c r="B63" i="27"/>
  <c r="A63" i="27"/>
  <c r="C62" i="27"/>
  <c r="B62" i="27"/>
  <c r="A62" i="27"/>
  <c r="C61" i="27"/>
  <c r="B61" i="27"/>
  <c r="A61" i="27"/>
  <c r="C60" i="27"/>
  <c r="B60" i="27"/>
  <c r="A60" i="27"/>
  <c r="C59" i="27"/>
  <c r="B59" i="27"/>
  <c r="A59" i="27"/>
  <c r="C58" i="27"/>
  <c r="B58" i="27"/>
  <c r="A58" i="27"/>
  <c r="C57" i="27"/>
  <c r="B57" i="27"/>
  <c r="A57" i="27"/>
  <c r="C56" i="27"/>
  <c r="B56" i="27"/>
  <c r="A56" i="27"/>
  <c r="C55" i="27"/>
  <c r="B55" i="27"/>
  <c r="A55" i="27"/>
  <c r="C54" i="27"/>
  <c r="B54" i="27"/>
  <c r="A54" i="27"/>
  <c r="C53" i="27"/>
  <c r="B53" i="27"/>
  <c r="A53" i="27"/>
  <c r="C52" i="27"/>
  <c r="B52" i="27"/>
  <c r="A52" i="27"/>
  <c r="C51" i="27"/>
  <c r="B51" i="27"/>
  <c r="A51" i="27"/>
  <c r="C50" i="27"/>
  <c r="B50" i="27"/>
  <c r="A50" i="27"/>
  <c r="C49" i="27"/>
  <c r="B49" i="27"/>
  <c r="A49" i="27"/>
  <c r="C48" i="27"/>
  <c r="B48" i="27"/>
  <c r="A48" i="27"/>
  <c r="C47" i="27"/>
  <c r="B47" i="27"/>
  <c r="A47" i="27"/>
  <c r="C46" i="27"/>
  <c r="B46" i="27"/>
  <c r="A46" i="27"/>
  <c r="C45" i="27"/>
  <c r="B45" i="27"/>
  <c r="A45" i="27"/>
  <c r="C44" i="27"/>
  <c r="B44" i="27"/>
  <c r="A44" i="27"/>
  <c r="C43" i="27"/>
  <c r="B43" i="27"/>
  <c r="A43" i="27"/>
  <c r="C42" i="27"/>
  <c r="B42" i="27"/>
  <c r="A42" i="27"/>
  <c r="C41" i="27"/>
  <c r="B41" i="27"/>
  <c r="A41" i="27"/>
  <c r="C40" i="27"/>
  <c r="B40" i="27"/>
  <c r="A40" i="27"/>
  <c r="C39" i="27"/>
  <c r="B39" i="27"/>
  <c r="A39" i="27"/>
  <c r="C38" i="27"/>
  <c r="B38" i="27"/>
  <c r="A38" i="27"/>
  <c r="C37" i="27"/>
  <c r="B37" i="27"/>
  <c r="A37" i="27"/>
  <c r="C36" i="27"/>
  <c r="B36" i="27"/>
  <c r="A36" i="27"/>
  <c r="C35" i="27"/>
  <c r="B35" i="27"/>
  <c r="A35" i="27"/>
  <c r="C34" i="27"/>
  <c r="B34" i="27"/>
  <c r="A34" i="27"/>
  <c r="C33" i="27"/>
  <c r="B33" i="27"/>
  <c r="A33" i="27"/>
  <c r="C32" i="27"/>
  <c r="B32" i="27"/>
  <c r="A32" i="27"/>
  <c r="C31" i="27"/>
  <c r="B31" i="27"/>
  <c r="A31" i="27"/>
  <c r="C30" i="27"/>
  <c r="B30" i="27"/>
  <c r="A30" i="27"/>
  <c r="C29" i="27"/>
  <c r="B29" i="27"/>
  <c r="A29" i="27"/>
  <c r="C28" i="27"/>
  <c r="B28" i="27"/>
  <c r="A28" i="27"/>
  <c r="C27" i="27"/>
  <c r="B27" i="27"/>
  <c r="A27" i="27"/>
  <c r="C26" i="27"/>
  <c r="B26" i="27"/>
  <c r="A26" i="27"/>
  <c r="C25" i="27"/>
  <c r="B25" i="27"/>
  <c r="A25" i="27"/>
  <c r="C24" i="27"/>
  <c r="B24" i="27"/>
  <c r="A24" i="27"/>
  <c r="C23" i="27"/>
  <c r="B23" i="27"/>
  <c r="A23" i="27"/>
  <c r="C22" i="27"/>
  <c r="B22" i="27"/>
  <c r="A22" i="27"/>
  <c r="C21" i="27"/>
  <c r="B21" i="27"/>
  <c r="A21" i="27"/>
  <c r="C20" i="27"/>
  <c r="B20" i="27"/>
  <c r="A20" i="27"/>
  <c r="C19" i="27"/>
  <c r="B19" i="27"/>
  <c r="A19" i="27"/>
  <c r="C18" i="27"/>
  <c r="B18" i="27"/>
  <c r="A18" i="27"/>
  <c r="C17" i="27"/>
  <c r="B17" i="27"/>
  <c r="A17" i="27"/>
  <c r="C16" i="27"/>
  <c r="B16" i="27"/>
  <c r="A16" i="27"/>
  <c r="C15" i="27"/>
  <c r="B15" i="27"/>
  <c r="A15" i="27"/>
  <c r="C14" i="27"/>
  <c r="B14" i="27"/>
  <c r="A14" i="27"/>
  <c r="C13" i="27"/>
  <c r="B13" i="27"/>
  <c r="A13" i="27"/>
  <c r="C12" i="27"/>
  <c r="B12" i="27"/>
  <c r="A12" i="27"/>
  <c r="C11" i="27"/>
  <c r="B11" i="27"/>
  <c r="A11" i="27"/>
  <c r="C10" i="27"/>
  <c r="B10" i="27"/>
  <c r="A10" i="27"/>
  <c r="C9" i="27"/>
  <c r="B9" i="27"/>
  <c r="A9" i="27"/>
  <c r="C8" i="27"/>
  <c r="B8" i="27"/>
  <c r="A8" i="27"/>
  <c r="C7" i="27"/>
  <c r="B7" i="27"/>
  <c r="A7" i="27"/>
  <c r="C6" i="27"/>
  <c r="B6" i="27"/>
  <c r="A6" i="27"/>
  <c r="C5" i="27"/>
  <c r="B5" i="27"/>
  <c r="A5" i="27"/>
  <c r="C4" i="27"/>
  <c r="B4" i="27"/>
  <c r="A4" i="27"/>
  <c r="C104" i="26"/>
  <c r="B104" i="26"/>
  <c r="A104" i="26"/>
  <c r="C103" i="26"/>
  <c r="B103" i="26"/>
  <c r="A103" i="26"/>
  <c r="C102" i="26"/>
  <c r="B102" i="26"/>
  <c r="A102" i="26"/>
  <c r="C101" i="26"/>
  <c r="B101" i="26"/>
  <c r="A101" i="26"/>
  <c r="C100" i="26"/>
  <c r="B100" i="26"/>
  <c r="A100" i="26"/>
  <c r="C99" i="26"/>
  <c r="B99" i="26"/>
  <c r="A99" i="26"/>
  <c r="C98" i="26"/>
  <c r="B98" i="26"/>
  <c r="A98" i="26"/>
  <c r="C97" i="26"/>
  <c r="B97" i="26"/>
  <c r="A97" i="26"/>
  <c r="C96" i="26"/>
  <c r="B96" i="26"/>
  <c r="A96" i="26"/>
  <c r="C95" i="26"/>
  <c r="B95" i="26"/>
  <c r="A95" i="26"/>
  <c r="C94" i="26"/>
  <c r="B94" i="26"/>
  <c r="A94" i="26"/>
  <c r="C93" i="26"/>
  <c r="B93" i="26"/>
  <c r="A93" i="26"/>
  <c r="C92" i="26"/>
  <c r="B92" i="26"/>
  <c r="A92" i="26"/>
  <c r="C91" i="26"/>
  <c r="B91" i="26"/>
  <c r="A91" i="26"/>
  <c r="C90" i="26"/>
  <c r="B90" i="26"/>
  <c r="A90" i="26"/>
  <c r="C89" i="26"/>
  <c r="B89" i="26"/>
  <c r="A89" i="26"/>
  <c r="C88" i="26"/>
  <c r="B88" i="26"/>
  <c r="A88" i="26"/>
  <c r="C87" i="26"/>
  <c r="B87" i="26"/>
  <c r="A87" i="26"/>
  <c r="C86" i="26"/>
  <c r="B86" i="26"/>
  <c r="A86" i="26"/>
  <c r="C85" i="26"/>
  <c r="B85" i="26"/>
  <c r="A85" i="26"/>
  <c r="C84" i="26"/>
  <c r="B84" i="26"/>
  <c r="A84" i="26"/>
  <c r="C83" i="26"/>
  <c r="B83" i="26"/>
  <c r="A83" i="26"/>
  <c r="C82" i="26"/>
  <c r="B82" i="26"/>
  <c r="A82" i="26"/>
  <c r="C81" i="26"/>
  <c r="B81" i="26"/>
  <c r="A81" i="26"/>
  <c r="C80" i="26"/>
  <c r="B80" i="26"/>
  <c r="A80" i="26"/>
  <c r="C79" i="26"/>
  <c r="B79" i="26"/>
  <c r="A79" i="26"/>
  <c r="C78" i="26"/>
  <c r="B78" i="26"/>
  <c r="A78" i="26"/>
  <c r="C77" i="26"/>
  <c r="B77" i="26"/>
  <c r="A77" i="26"/>
  <c r="C76" i="26"/>
  <c r="B76" i="26"/>
  <c r="A76" i="26"/>
  <c r="C75" i="26"/>
  <c r="B75" i="26"/>
  <c r="A75" i="26"/>
  <c r="C74" i="26"/>
  <c r="B74" i="26"/>
  <c r="A74" i="26"/>
  <c r="C73" i="26"/>
  <c r="B73" i="26"/>
  <c r="A73" i="26"/>
  <c r="C72" i="26"/>
  <c r="B72" i="26"/>
  <c r="A72" i="26"/>
  <c r="C71" i="26"/>
  <c r="B71" i="26"/>
  <c r="A71" i="26"/>
  <c r="C70" i="26"/>
  <c r="B70" i="26"/>
  <c r="A70" i="26"/>
  <c r="C69" i="26"/>
  <c r="B69" i="26"/>
  <c r="A69" i="26"/>
  <c r="C68" i="26"/>
  <c r="B68" i="26"/>
  <c r="A68" i="26"/>
  <c r="C67" i="26"/>
  <c r="B67" i="26"/>
  <c r="A67" i="26"/>
  <c r="C66" i="26"/>
  <c r="B66" i="26"/>
  <c r="A66" i="26"/>
  <c r="C65" i="26"/>
  <c r="B65" i="26"/>
  <c r="A65" i="26"/>
  <c r="C64" i="26"/>
  <c r="B64" i="26"/>
  <c r="A64" i="26"/>
  <c r="C63" i="26"/>
  <c r="B63" i="26"/>
  <c r="A63" i="26"/>
  <c r="C62" i="26"/>
  <c r="B62" i="26"/>
  <c r="A62" i="26"/>
  <c r="C61" i="26"/>
  <c r="B61" i="26"/>
  <c r="A61" i="26"/>
  <c r="C60" i="26"/>
  <c r="B60" i="26"/>
  <c r="A60" i="26"/>
  <c r="C59" i="26"/>
  <c r="B59" i="26"/>
  <c r="A59" i="26"/>
  <c r="C58" i="26"/>
  <c r="B58" i="26"/>
  <c r="A58" i="26"/>
  <c r="C57" i="26"/>
  <c r="B57" i="26"/>
  <c r="A57" i="26"/>
  <c r="C56" i="26"/>
  <c r="B56" i="26"/>
  <c r="A56" i="26"/>
  <c r="C55" i="26"/>
  <c r="B55" i="26"/>
  <c r="A55" i="26"/>
  <c r="C54" i="26"/>
  <c r="B54" i="26"/>
  <c r="A54" i="26"/>
  <c r="C53" i="26"/>
  <c r="B53" i="26"/>
  <c r="A53" i="26"/>
  <c r="C52" i="26"/>
  <c r="B52" i="26"/>
  <c r="A52" i="26"/>
  <c r="C51" i="26"/>
  <c r="B51" i="26"/>
  <c r="A51" i="26"/>
  <c r="C50" i="26"/>
  <c r="B50" i="26"/>
  <c r="A50" i="26"/>
  <c r="C49" i="26"/>
  <c r="B49" i="26"/>
  <c r="A49" i="26"/>
  <c r="C48" i="26"/>
  <c r="B48" i="26"/>
  <c r="A48" i="26"/>
  <c r="C47" i="26"/>
  <c r="B47" i="26"/>
  <c r="A47" i="26"/>
  <c r="C46" i="26"/>
  <c r="B46" i="26"/>
  <c r="A46" i="26"/>
  <c r="C45" i="26"/>
  <c r="B45" i="26"/>
  <c r="A45" i="26"/>
  <c r="C44" i="26"/>
  <c r="B44" i="26"/>
  <c r="A44" i="26"/>
  <c r="C43" i="26"/>
  <c r="B43" i="26"/>
  <c r="A43" i="26"/>
  <c r="C42" i="26"/>
  <c r="B42" i="26"/>
  <c r="A42" i="26"/>
  <c r="C41" i="26"/>
  <c r="B41" i="26"/>
  <c r="A41" i="26"/>
  <c r="C40" i="26"/>
  <c r="B40" i="26"/>
  <c r="A40" i="26"/>
  <c r="C39" i="26"/>
  <c r="B39" i="26"/>
  <c r="A39" i="26"/>
  <c r="C38" i="26"/>
  <c r="B38" i="26"/>
  <c r="A38" i="26"/>
  <c r="C37" i="26"/>
  <c r="B37" i="26"/>
  <c r="A37" i="26"/>
  <c r="C36" i="26"/>
  <c r="B36" i="26"/>
  <c r="A36" i="26"/>
  <c r="C35" i="26"/>
  <c r="B35" i="26"/>
  <c r="A35" i="26"/>
  <c r="C34" i="26"/>
  <c r="B34" i="26"/>
  <c r="A34" i="26"/>
  <c r="C33" i="26"/>
  <c r="B33" i="26"/>
  <c r="A33" i="26"/>
  <c r="C32" i="26"/>
  <c r="B32" i="26"/>
  <c r="A32" i="26"/>
  <c r="C31" i="26"/>
  <c r="B31" i="26"/>
  <c r="A31" i="26"/>
  <c r="C30" i="26"/>
  <c r="B30" i="26"/>
  <c r="A30" i="26"/>
  <c r="C29" i="26"/>
  <c r="B29" i="26"/>
  <c r="A29" i="26"/>
  <c r="C28" i="26"/>
  <c r="B28" i="26"/>
  <c r="A28" i="26"/>
  <c r="C27" i="26"/>
  <c r="B27" i="26"/>
  <c r="A27" i="26"/>
  <c r="C26" i="26"/>
  <c r="B26" i="26"/>
  <c r="A26" i="26"/>
  <c r="C25" i="26"/>
  <c r="B25" i="26"/>
  <c r="A25" i="26"/>
  <c r="C24" i="26"/>
  <c r="B24" i="26"/>
  <c r="A24" i="26"/>
  <c r="C23" i="26"/>
  <c r="B23" i="26"/>
  <c r="A23" i="26"/>
  <c r="C22" i="26"/>
  <c r="B22" i="26"/>
  <c r="A22" i="26"/>
  <c r="C21" i="26"/>
  <c r="B21" i="26"/>
  <c r="A21" i="26"/>
  <c r="C20" i="26"/>
  <c r="B20" i="26"/>
  <c r="A20" i="26"/>
  <c r="C19" i="26"/>
  <c r="B19" i="26"/>
  <c r="A19" i="26"/>
  <c r="C18" i="26"/>
  <c r="B18" i="26"/>
  <c r="A18" i="26"/>
  <c r="C17" i="26"/>
  <c r="B17" i="26"/>
  <c r="A17" i="26"/>
  <c r="C16" i="26"/>
  <c r="B16" i="26"/>
  <c r="A16" i="26"/>
  <c r="C15" i="26"/>
  <c r="B15" i="26"/>
  <c r="A15" i="26"/>
  <c r="C14" i="26"/>
  <c r="B14" i="26"/>
  <c r="A14" i="26"/>
  <c r="C13" i="26"/>
  <c r="B13" i="26"/>
  <c r="A13" i="26"/>
  <c r="C12" i="26"/>
  <c r="B12" i="26"/>
  <c r="A12" i="26"/>
  <c r="C11" i="26"/>
  <c r="B11" i="26"/>
  <c r="A11" i="26"/>
  <c r="C10" i="26"/>
  <c r="B10" i="26"/>
  <c r="A10" i="26"/>
  <c r="C9" i="26"/>
  <c r="B9" i="26"/>
  <c r="A9" i="26"/>
  <c r="C8" i="26"/>
  <c r="B8" i="26"/>
  <c r="A8" i="26"/>
  <c r="C7" i="26"/>
  <c r="B7" i="26"/>
  <c r="A7" i="26"/>
  <c r="C6" i="26"/>
  <c r="B6" i="26"/>
  <c r="A6" i="26"/>
  <c r="C5" i="26"/>
  <c r="B5" i="26"/>
  <c r="A5" i="26"/>
  <c r="C4" i="26"/>
  <c r="B4" i="26"/>
  <c r="A4" i="26"/>
  <c r="C101" i="3"/>
  <c r="B101" i="3"/>
  <c r="A101" i="3"/>
  <c r="C100" i="3"/>
  <c r="B100" i="3"/>
  <c r="A100" i="3"/>
  <c r="C99" i="3"/>
  <c r="B99" i="3"/>
  <c r="A99" i="3"/>
  <c r="C98" i="3"/>
  <c r="B98" i="3"/>
  <c r="A98" i="3"/>
  <c r="C97" i="3"/>
  <c r="B97" i="3"/>
  <c r="A97" i="3"/>
  <c r="C96" i="3"/>
  <c r="B96" i="3"/>
  <c r="A96" i="3"/>
  <c r="C95" i="3"/>
  <c r="B95" i="3"/>
  <c r="A95" i="3"/>
  <c r="C94" i="3"/>
  <c r="B94" i="3"/>
  <c r="A94" i="3"/>
  <c r="C93" i="3"/>
  <c r="B93" i="3"/>
  <c r="A93" i="3"/>
  <c r="C92" i="3"/>
  <c r="B92" i="3"/>
  <c r="A92" i="3"/>
  <c r="C91" i="3"/>
  <c r="B91" i="3"/>
  <c r="A91" i="3"/>
  <c r="C90" i="3"/>
  <c r="B90" i="3"/>
  <c r="A90" i="3"/>
  <c r="C89" i="3"/>
  <c r="B89" i="3"/>
  <c r="A89" i="3"/>
  <c r="C88" i="3"/>
  <c r="B88" i="3"/>
  <c r="A88" i="3"/>
  <c r="C87" i="3"/>
  <c r="B87" i="3"/>
  <c r="A87" i="3"/>
  <c r="C86" i="3"/>
  <c r="B86" i="3"/>
  <c r="A86" i="3"/>
  <c r="C85" i="3"/>
  <c r="B85" i="3"/>
  <c r="A85" i="3"/>
  <c r="C84" i="3"/>
  <c r="B84" i="3"/>
  <c r="A84" i="3"/>
  <c r="C83" i="3"/>
  <c r="B83" i="3"/>
  <c r="A83" i="3"/>
  <c r="C82" i="3"/>
  <c r="B82" i="3"/>
  <c r="A82" i="3"/>
  <c r="C81" i="3"/>
  <c r="B81" i="3"/>
  <c r="A81" i="3"/>
  <c r="C80" i="3"/>
  <c r="B80" i="3"/>
  <c r="A80" i="3"/>
  <c r="C79" i="3"/>
  <c r="B79" i="3"/>
  <c r="A79" i="3"/>
  <c r="C78" i="3"/>
  <c r="B78" i="3"/>
  <c r="A78" i="3"/>
  <c r="C77" i="3"/>
  <c r="B77" i="3"/>
  <c r="A77" i="3"/>
  <c r="C76" i="3"/>
  <c r="B76" i="3"/>
  <c r="A76" i="3"/>
  <c r="C75" i="3"/>
  <c r="B75" i="3"/>
  <c r="A75" i="3"/>
  <c r="C74" i="3"/>
  <c r="B74" i="3"/>
  <c r="A74" i="3"/>
  <c r="C73" i="3"/>
  <c r="B73" i="3"/>
  <c r="A73" i="3"/>
  <c r="C72" i="3"/>
  <c r="B72" i="3"/>
  <c r="A72" i="3"/>
  <c r="C71" i="3"/>
  <c r="B71" i="3"/>
  <c r="A71" i="3"/>
  <c r="C70" i="3"/>
  <c r="B70" i="3"/>
  <c r="A70" i="3"/>
  <c r="C69" i="3"/>
  <c r="B69" i="3"/>
  <c r="A69" i="3"/>
  <c r="C68" i="3"/>
  <c r="B68" i="3"/>
  <c r="A68" i="3"/>
  <c r="C67" i="3"/>
  <c r="B67" i="3"/>
  <c r="A67" i="3"/>
  <c r="C66" i="3"/>
  <c r="B66" i="3"/>
  <c r="A66" i="3"/>
  <c r="C65" i="3"/>
  <c r="B65" i="3"/>
  <c r="A65" i="3"/>
  <c r="C64" i="3"/>
  <c r="B64" i="3"/>
  <c r="A64" i="3"/>
  <c r="C63" i="3"/>
  <c r="B63" i="3"/>
  <c r="A63" i="3"/>
  <c r="C62" i="3"/>
  <c r="B62" i="3"/>
  <c r="A62" i="3"/>
  <c r="C61" i="3"/>
  <c r="B61" i="3"/>
  <c r="A61" i="3"/>
  <c r="C60" i="3"/>
  <c r="B60" i="3"/>
  <c r="A60" i="3"/>
  <c r="C59" i="3"/>
  <c r="B59" i="3"/>
  <c r="A59" i="3"/>
  <c r="C58" i="3"/>
  <c r="B58" i="3"/>
  <c r="A58" i="3"/>
  <c r="C57" i="3"/>
  <c r="B57" i="3"/>
  <c r="A57" i="3"/>
  <c r="C56" i="3"/>
  <c r="B56" i="3"/>
  <c r="A56" i="3"/>
  <c r="C55" i="3"/>
  <c r="B55" i="3"/>
  <c r="A55" i="3"/>
  <c r="C54" i="3"/>
  <c r="B54" i="3"/>
  <c r="A54" i="3"/>
  <c r="C53" i="3"/>
  <c r="B53" i="3"/>
  <c r="A53" i="3"/>
  <c r="C52" i="3"/>
  <c r="B52" i="3"/>
  <c r="A52" i="3"/>
  <c r="C51" i="3"/>
  <c r="B51" i="3"/>
  <c r="A51" i="3"/>
  <c r="C50" i="3"/>
  <c r="B50" i="3"/>
  <c r="A50" i="3"/>
  <c r="C49" i="3"/>
  <c r="B49" i="3"/>
  <c r="A49" i="3"/>
  <c r="C48" i="3"/>
  <c r="B48" i="3"/>
  <c r="A48" i="3"/>
  <c r="C47" i="3"/>
  <c r="B47" i="3"/>
  <c r="A47" i="3"/>
  <c r="C46" i="3"/>
  <c r="B46" i="3"/>
  <c r="A46" i="3"/>
  <c r="C45" i="3"/>
  <c r="B45" i="3"/>
  <c r="A45" i="3"/>
  <c r="C44" i="3"/>
  <c r="B44" i="3"/>
  <c r="A44" i="3"/>
  <c r="C43" i="3"/>
  <c r="B43" i="3"/>
  <c r="A43" i="3"/>
  <c r="C42" i="3"/>
  <c r="B42" i="3"/>
  <c r="A42" i="3"/>
  <c r="C41" i="3"/>
  <c r="B41" i="3"/>
  <c r="A41" i="3"/>
  <c r="C40" i="3"/>
  <c r="B40" i="3"/>
  <c r="A40" i="3"/>
  <c r="C39" i="3"/>
  <c r="B39" i="3"/>
  <c r="A39" i="3"/>
  <c r="C38" i="3"/>
  <c r="B38" i="3"/>
  <c r="A38" i="3"/>
  <c r="C37" i="3"/>
  <c r="B37" i="3"/>
  <c r="A37" i="3"/>
  <c r="C36" i="3"/>
  <c r="B36" i="3"/>
  <c r="A36" i="3"/>
  <c r="C35" i="3"/>
  <c r="B35" i="3"/>
  <c r="A35" i="3"/>
  <c r="C34" i="3"/>
  <c r="B34" i="3"/>
  <c r="A34" i="3"/>
  <c r="C33" i="3"/>
  <c r="B33" i="3"/>
  <c r="A33" i="3"/>
  <c r="C32" i="3"/>
  <c r="B32" i="3"/>
  <c r="A32" i="3"/>
  <c r="C31" i="3"/>
  <c r="B31" i="3"/>
  <c r="A31" i="3"/>
  <c r="C30" i="3"/>
  <c r="B30" i="3"/>
  <c r="A30" i="3"/>
  <c r="C29" i="3"/>
  <c r="B29" i="3"/>
  <c r="A29" i="3"/>
  <c r="C28" i="3"/>
  <c r="B28" i="3"/>
  <c r="A28" i="3"/>
  <c r="C27" i="3"/>
  <c r="B27" i="3"/>
  <c r="A27" i="3"/>
  <c r="C26" i="3"/>
  <c r="B26" i="3"/>
  <c r="A26" i="3"/>
  <c r="C25" i="3"/>
  <c r="B25" i="3"/>
  <c r="A25" i="3"/>
  <c r="C24" i="3"/>
  <c r="B24" i="3"/>
  <c r="A24" i="3"/>
  <c r="C23" i="3"/>
  <c r="B23" i="3"/>
  <c r="A23" i="3"/>
  <c r="C22" i="3"/>
  <c r="B22" i="3"/>
  <c r="A22" i="3"/>
  <c r="C21" i="3"/>
  <c r="B21" i="3"/>
  <c r="A21" i="3"/>
  <c r="C20" i="3"/>
  <c r="B20" i="3"/>
  <c r="A20" i="3"/>
  <c r="C19" i="3"/>
  <c r="B19" i="3"/>
  <c r="A19" i="3"/>
  <c r="C18" i="3"/>
  <c r="B18" i="3"/>
  <c r="A18" i="3"/>
  <c r="C17" i="3"/>
  <c r="B17" i="3"/>
  <c r="A17" i="3"/>
  <c r="C16" i="3"/>
  <c r="B16" i="3"/>
  <c r="A16" i="3"/>
  <c r="C15" i="3"/>
  <c r="B15" i="3"/>
  <c r="A15" i="3"/>
  <c r="C14" i="3"/>
  <c r="B14" i="3"/>
  <c r="A14" i="3"/>
  <c r="C13" i="3"/>
  <c r="B13" i="3"/>
  <c r="A13" i="3"/>
  <c r="C12" i="3"/>
  <c r="B12" i="3"/>
  <c r="A12" i="3"/>
  <c r="C11" i="3"/>
  <c r="B11" i="3"/>
  <c r="A11" i="3"/>
  <c r="C10" i="3"/>
  <c r="B10" i="3"/>
  <c r="A10" i="3"/>
  <c r="C9" i="3"/>
  <c r="B9" i="3"/>
  <c r="A9" i="3"/>
  <c r="C8" i="3"/>
  <c r="B8" i="3"/>
  <c r="A8" i="3"/>
  <c r="C7" i="3"/>
  <c r="B7" i="3"/>
  <c r="A7" i="3"/>
  <c r="C6" i="3"/>
  <c r="B6" i="3"/>
  <c r="A6" i="3"/>
  <c r="C5" i="3"/>
  <c r="B5" i="3"/>
  <c r="A5" i="3"/>
  <c r="C4" i="3"/>
  <c r="B4" i="3"/>
  <c r="A4" i="3"/>
  <c r="C104" i="25"/>
  <c r="B104" i="25"/>
  <c r="A104" i="25"/>
  <c r="C103" i="25"/>
  <c r="B103" i="25"/>
  <c r="A103" i="25"/>
  <c r="C102" i="25"/>
  <c r="B102" i="25"/>
  <c r="A102" i="25"/>
  <c r="C101" i="25"/>
  <c r="B101" i="25"/>
  <c r="A101" i="25"/>
  <c r="C100" i="25"/>
  <c r="B100" i="25"/>
  <c r="A100" i="25"/>
  <c r="C99" i="25"/>
  <c r="B99" i="25"/>
  <c r="A99" i="25"/>
  <c r="C98" i="25"/>
  <c r="B98" i="25"/>
  <c r="A98" i="25"/>
  <c r="C97" i="25"/>
  <c r="B97" i="25"/>
  <c r="A97" i="25"/>
  <c r="C96" i="25"/>
  <c r="B96" i="25"/>
  <c r="A96" i="25"/>
  <c r="C95" i="25"/>
  <c r="B95" i="25"/>
  <c r="A95" i="25"/>
  <c r="C94" i="25"/>
  <c r="B94" i="25"/>
  <c r="A94" i="25"/>
  <c r="C93" i="25"/>
  <c r="B93" i="25"/>
  <c r="A93" i="25"/>
  <c r="C92" i="25"/>
  <c r="B92" i="25"/>
  <c r="A92" i="25"/>
  <c r="C91" i="25"/>
  <c r="B91" i="25"/>
  <c r="A91" i="25"/>
  <c r="C90" i="25"/>
  <c r="B90" i="25"/>
  <c r="A90" i="25"/>
  <c r="C89" i="25"/>
  <c r="B89" i="25"/>
  <c r="A89" i="25"/>
  <c r="C88" i="25"/>
  <c r="B88" i="25"/>
  <c r="A88" i="25"/>
  <c r="C87" i="25"/>
  <c r="B87" i="25"/>
  <c r="A87" i="25"/>
  <c r="C86" i="25"/>
  <c r="B86" i="25"/>
  <c r="A86" i="25"/>
  <c r="C85" i="25"/>
  <c r="B85" i="25"/>
  <c r="A85" i="25"/>
  <c r="C84" i="25"/>
  <c r="B84" i="25"/>
  <c r="A84" i="25"/>
  <c r="C83" i="25"/>
  <c r="B83" i="25"/>
  <c r="A83" i="25"/>
  <c r="C82" i="25"/>
  <c r="B82" i="25"/>
  <c r="A82" i="25"/>
  <c r="C81" i="25"/>
  <c r="B81" i="25"/>
  <c r="A81" i="25"/>
  <c r="C80" i="25"/>
  <c r="B80" i="25"/>
  <c r="A80" i="25"/>
  <c r="C79" i="25"/>
  <c r="B79" i="25"/>
  <c r="A79" i="25"/>
  <c r="C78" i="25"/>
  <c r="B78" i="25"/>
  <c r="A78" i="25"/>
  <c r="C77" i="25"/>
  <c r="B77" i="25"/>
  <c r="A77" i="25"/>
  <c r="C76" i="25"/>
  <c r="B76" i="25"/>
  <c r="A76" i="25"/>
  <c r="C75" i="25"/>
  <c r="B75" i="25"/>
  <c r="A75" i="25"/>
  <c r="C74" i="25"/>
  <c r="B74" i="25"/>
  <c r="A74" i="25"/>
  <c r="C73" i="25"/>
  <c r="B73" i="25"/>
  <c r="A73" i="25"/>
  <c r="C72" i="25"/>
  <c r="B72" i="25"/>
  <c r="A72" i="25"/>
  <c r="C71" i="25"/>
  <c r="B71" i="25"/>
  <c r="A71" i="25"/>
  <c r="C70" i="25"/>
  <c r="B70" i="25"/>
  <c r="A70" i="25"/>
  <c r="C69" i="25"/>
  <c r="B69" i="25"/>
  <c r="A69" i="25"/>
  <c r="C68" i="25"/>
  <c r="B68" i="25"/>
  <c r="A68" i="25"/>
  <c r="C67" i="25"/>
  <c r="B67" i="25"/>
  <c r="A67" i="25"/>
  <c r="C66" i="25"/>
  <c r="B66" i="25"/>
  <c r="A66" i="25"/>
  <c r="C65" i="25"/>
  <c r="B65" i="25"/>
  <c r="A65" i="25"/>
  <c r="C64" i="25"/>
  <c r="B64" i="25"/>
  <c r="A64" i="25"/>
  <c r="C63" i="25"/>
  <c r="B63" i="25"/>
  <c r="A63" i="25"/>
  <c r="C62" i="25"/>
  <c r="B62" i="25"/>
  <c r="A62" i="25"/>
  <c r="C61" i="25"/>
  <c r="B61" i="25"/>
  <c r="A61" i="25"/>
  <c r="C60" i="25"/>
  <c r="B60" i="25"/>
  <c r="A60" i="25"/>
  <c r="C59" i="25"/>
  <c r="B59" i="25"/>
  <c r="A59" i="25"/>
  <c r="C58" i="25"/>
  <c r="B58" i="25"/>
  <c r="A58" i="25"/>
  <c r="C57" i="25"/>
  <c r="B57" i="25"/>
  <c r="A57" i="25"/>
  <c r="C56" i="25"/>
  <c r="B56" i="25"/>
  <c r="A56" i="25"/>
  <c r="C55" i="25"/>
  <c r="B55" i="25"/>
  <c r="A55" i="25"/>
  <c r="C54" i="25"/>
  <c r="B54" i="25"/>
  <c r="A54" i="25"/>
  <c r="C53" i="25"/>
  <c r="B53" i="25"/>
  <c r="A53" i="25"/>
  <c r="C52" i="25"/>
  <c r="B52" i="25"/>
  <c r="A52" i="25"/>
  <c r="C51" i="25"/>
  <c r="B51" i="25"/>
  <c r="A51" i="25"/>
  <c r="C50" i="25"/>
  <c r="B50" i="25"/>
  <c r="A50" i="25"/>
  <c r="C49" i="25"/>
  <c r="B49" i="25"/>
  <c r="A49" i="25"/>
  <c r="C48" i="25"/>
  <c r="B48" i="25"/>
  <c r="A48" i="25"/>
  <c r="C47" i="25"/>
  <c r="B47" i="25"/>
  <c r="A47" i="25"/>
  <c r="C46" i="25"/>
  <c r="B46" i="25"/>
  <c r="A46" i="25"/>
  <c r="C45" i="25"/>
  <c r="B45" i="25"/>
  <c r="A45" i="25"/>
  <c r="C44" i="25"/>
  <c r="B44" i="25"/>
  <c r="A44" i="25"/>
  <c r="C43" i="25"/>
  <c r="B43" i="25"/>
  <c r="A43" i="25"/>
  <c r="C42" i="25"/>
  <c r="B42" i="25"/>
  <c r="A42" i="25"/>
  <c r="C41" i="25"/>
  <c r="B41" i="25"/>
  <c r="A41" i="25"/>
  <c r="C40" i="25"/>
  <c r="B40" i="25"/>
  <c r="A40" i="25"/>
  <c r="C39" i="25"/>
  <c r="B39" i="25"/>
  <c r="A39" i="25"/>
  <c r="C38" i="25"/>
  <c r="B38" i="25"/>
  <c r="A38" i="25"/>
  <c r="C37" i="25"/>
  <c r="B37" i="25"/>
  <c r="A37" i="25"/>
  <c r="C36" i="25"/>
  <c r="B36" i="25"/>
  <c r="A36" i="25"/>
  <c r="C35" i="25"/>
  <c r="B35" i="25"/>
  <c r="A35" i="25"/>
  <c r="C34" i="25"/>
  <c r="B34" i="25"/>
  <c r="A34" i="25"/>
  <c r="C33" i="25"/>
  <c r="B33" i="25"/>
  <c r="A33" i="25"/>
  <c r="C32" i="25"/>
  <c r="B32" i="25"/>
  <c r="A32" i="25"/>
  <c r="C31" i="25"/>
  <c r="B31" i="25"/>
  <c r="A31" i="25"/>
  <c r="C30" i="25"/>
  <c r="B30" i="25"/>
  <c r="A30" i="25"/>
  <c r="C29" i="25"/>
  <c r="B29" i="25"/>
  <c r="A29" i="25"/>
  <c r="C28" i="25"/>
  <c r="B28" i="25"/>
  <c r="A28" i="25"/>
  <c r="C27" i="25"/>
  <c r="B27" i="25"/>
  <c r="A27" i="25"/>
  <c r="C26" i="25"/>
  <c r="B26" i="25"/>
  <c r="A26" i="25"/>
  <c r="C25" i="25"/>
  <c r="B25" i="25"/>
  <c r="A25" i="25"/>
  <c r="C24" i="25"/>
  <c r="B24" i="25"/>
  <c r="A24" i="25"/>
  <c r="C23" i="25"/>
  <c r="B23" i="25"/>
  <c r="A23" i="25"/>
  <c r="C22" i="25"/>
  <c r="B22" i="25"/>
  <c r="A22" i="25"/>
  <c r="C21" i="25"/>
  <c r="B21" i="25"/>
  <c r="A21" i="25"/>
  <c r="C20" i="25"/>
  <c r="B20" i="25"/>
  <c r="A20" i="25"/>
  <c r="C19" i="25"/>
  <c r="B19" i="25"/>
  <c r="A19" i="25"/>
  <c r="C18" i="25"/>
  <c r="B18" i="25"/>
  <c r="A18" i="25"/>
  <c r="C17" i="25"/>
  <c r="B17" i="25"/>
  <c r="A17" i="25"/>
  <c r="C16" i="25"/>
  <c r="B16" i="25"/>
  <c r="A16" i="25"/>
  <c r="C15" i="25"/>
  <c r="B15" i="25"/>
  <c r="A15" i="25"/>
  <c r="C14" i="25"/>
  <c r="B14" i="25"/>
  <c r="A14" i="25"/>
  <c r="C13" i="25"/>
  <c r="B13" i="25"/>
  <c r="A13" i="25"/>
  <c r="C12" i="25"/>
  <c r="B12" i="25"/>
  <c r="A12" i="25"/>
  <c r="C11" i="25"/>
  <c r="B11" i="25"/>
  <c r="A11" i="25"/>
  <c r="C10" i="25"/>
  <c r="B10" i="25"/>
  <c r="A10" i="25"/>
  <c r="C9" i="25"/>
  <c r="B9" i="25"/>
  <c r="A9" i="25"/>
  <c r="C8" i="25"/>
  <c r="B8" i="25"/>
  <c r="A8" i="25"/>
  <c r="C7" i="25"/>
  <c r="B7" i="25"/>
  <c r="A7" i="25"/>
  <c r="C6" i="25"/>
  <c r="B6" i="25"/>
  <c r="A6" i="25"/>
  <c r="C5" i="25"/>
  <c r="B5" i="25"/>
  <c r="A5" i="25"/>
  <c r="C4" i="25"/>
  <c r="B4" i="25"/>
  <c r="A4" i="25"/>
  <c r="C101" i="10"/>
  <c r="B101" i="10"/>
  <c r="A101" i="10"/>
  <c r="C100" i="10"/>
  <c r="B100" i="10"/>
  <c r="A100" i="10"/>
  <c r="C99" i="10"/>
  <c r="B99" i="10"/>
  <c r="A99" i="10"/>
  <c r="C98" i="10"/>
  <c r="B98" i="10"/>
  <c r="A98" i="10"/>
  <c r="C97" i="10"/>
  <c r="B97" i="10"/>
  <c r="A97" i="10"/>
  <c r="C96" i="10"/>
  <c r="B96" i="10"/>
  <c r="A96" i="10"/>
  <c r="C95" i="10"/>
  <c r="B95" i="10"/>
  <c r="A95" i="10"/>
  <c r="C94" i="10"/>
  <c r="B94" i="10"/>
  <c r="A94" i="10"/>
  <c r="C93" i="10"/>
  <c r="B93" i="10"/>
  <c r="A93" i="10"/>
  <c r="C92" i="10"/>
  <c r="B92" i="10"/>
  <c r="A92" i="10"/>
  <c r="C91" i="10"/>
  <c r="B91" i="10"/>
  <c r="A91" i="10"/>
  <c r="C90" i="10"/>
  <c r="B90" i="10"/>
  <c r="A90" i="10"/>
  <c r="C89" i="10"/>
  <c r="B89" i="10"/>
  <c r="A89" i="10"/>
  <c r="C88" i="10"/>
  <c r="B88" i="10"/>
  <c r="A88" i="10"/>
  <c r="C87" i="10"/>
  <c r="B87" i="10"/>
  <c r="A87" i="10"/>
  <c r="C86" i="10"/>
  <c r="B86" i="10"/>
  <c r="A86" i="10"/>
  <c r="C85" i="10"/>
  <c r="B85" i="10"/>
  <c r="A85" i="10"/>
  <c r="C84" i="10"/>
  <c r="B84" i="10"/>
  <c r="A84" i="10"/>
  <c r="C83" i="10"/>
  <c r="B83" i="10"/>
  <c r="A83" i="10"/>
  <c r="C82" i="10"/>
  <c r="B82" i="10"/>
  <c r="A82" i="10"/>
  <c r="C81" i="10"/>
  <c r="B81" i="10"/>
  <c r="A81" i="10"/>
  <c r="C80" i="10"/>
  <c r="B80" i="10"/>
  <c r="A80" i="10"/>
  <c r="C79" i="10"/>
  <c r="B79" i="10"/>
  <c r="A79" i="10"/>
  <c r="C78" i="10"/>
  <c r="B78" i="10"/>
  <c r="A78" i="10"/>
  <c r="C77" i="10"/>
  <c r="B77" i="10"/>
  <c r="A77" i="10"/>
  <c r="C76" i="10"/>
  <c r="B76" i="10"/>
  <c r="A76" i="10"/>
  <c r="C75" i="10"/>
  <c r="B75" i="10"/>
  <c r="A75" i="10"/>
  <c r="C74" i="10"/>
  <c r="B74" i="10"/>
  <c r="A74" i="10"/>
  <c r="C73" i="10"/>
  <c r="B73" i="10"/>
  <c r="A73" i="10"/>
  <c r="C72" i="10"/>
  <c r="B72" i="10"/>
  <c r="A72" i="10"/>
  <c r="C71" i="10"/>
  <c r="B71" i="10"/>
  <c r="A71" i="10"/>
  <c r="C70" i="10"/>
  <c r="B70" i="10"/>
  <c r="A70" i="10"/>
  <c r="C69" i="10"/>
  <c r="B69" i="10"/>
  <c r="A69" i="10"/>
  <c r="C68" i="10"/>
  <c r="B68" i="10"/>
  <c r="A68" i="10"/>
  <c r="C67" i="10"/>
  <c r="B67" i="10"/>
  <c r="A67" i="10"/>
  <c r="C66" i="10"/>
  <c r="B66" i="10"/>
  <c r="A66" i="10"/>
  <c r="C65" i="10"/>
  <c r="B65" i="10"/>
  <c r="A65" i="10"/>
  <c r="C64" i="10"/>
  <c r="B64" i="10"/>
  <c r="A64" i="10"/>
  <c r="C63" i="10"/>
  <c r="B63" i="10"/>
  <c r="A63" i="10"/>
  <c r="C62" i="10"/>
  <c r="B62" i="10"/>
  <c r="A62" i="10"/>
  <c r="C61" i="10"/>
  <c r="B61" i="10"/>
  <c r="A61" i="10"/>
  <c r="C60" i="10"/>
  <c r="B60" i="10"/>
  <c r="A60" i="10"/>
  <c r="C59" i="10"/>
  <c r="B59" i="10"/>
  <c r="A59" i="10"/>
  <c r="C58" i="10"/>
  <c r="B58" i="10"/>
  <c r="A58" i="10"/>
  <c r="C57" i="10"/>
  <c r="B57" i="10"/>
  <c r="A57" i="10"/>
  <c r="C56" i="10"/>
  <c r="B56" i="10"/>
  <c r="A56" i="10"/>
  <c r="C55" i="10"/>
  <c r="B55" i="10"/>
  <c r="A55" i="10"/>
  <c r="C54" i="10"/>
  <c r="B54" i="10"/>
  <c r="A54" i="10"/>
  <c r="C53" i="10"/>
  <c r="B53" i="10"/>
  <c r="A53" i="10"/>
  <c r="C52" i="10"/>
  <c r="B52" i="10"/>
  <c r="A52" i="10"/>
  <c r="C51" i="10"/>
  <c r="B51" i="10"/>
  <c r="A51" i="10"/>
  <c r="C50" i="10"/>
  <c r="B50" i="10"/>
  <c r="A50" i="10"/>
  <c r="C49" i="10"/>
  <c r="B49" i="10"/>
  <c r="A49" i="10"/>
  <c r="C48" i="10"/>
  <c r="B48" i="10"/>
  <c r="A48" i="10"/>
  <c r="C47" i="10"/>
  <c r="B47" i="10"/>
  <c r="A47" i="10"/>
  <c r="C46" i="10"/>
  <c r="B46" i="10"/>
  <c r="A46" i="10"/>
  <c r="C45" i="10"/>
  <c r="B45" i="10"/>
  <c r="A45" i="10"/>
  <c r="C44" i="10"/>
  <c r="B44" i="10"/>
  <c r="A44" i="10"/>
  <c r="C43" i="10"/>
  <c r="B43" i="10"/>
  <c r="A43" i="10"/>
  <c r="C42" i="10"/>
  <c r="B42" i="10"/>
  <c r="A42" i="10"/>
  <c r="C41" i="10"/>
  <c r="B41" i="10"/>
  <c r="A41" i="10"/>
  <c r="C40" i="10"/>
  <c r="B40" i="10"/>
  <c r="A40" i="10"/>
  <c r="C39" i="10"/>
  <c r="B39" i="10"/>
  <c r="A39" i="10"/>
  <c r="C38" i="10"/>
  <c r="B38" i="10"/>
  <c r="A38" i="10"/>
  <c r="C37" i="10"/>
  <c r="B37" i="10"/>
  <c r="A37" i="10"/>
  <c r="C36" i="10"/>
  <c r="B36" i="10"/>
  <c r="A36" i="10"/>
  <c r="C35" i="10"/>
  <c r="B35" i="10"/>
  <c r="A35" i="10"/>
  <c r="C34" i="10"/>
  <c r="B34" i="10"/>
  <c r="A34" i="10"/>
  <c r="C33" i="10"/>
  <c r="B33" i="10"/>
  <c r="A33" i="10"/>
  <c r="C32" i="10"/>
  <c r="B32" i="10"/>
  <c r="A32" i="10"/>
  <c r="C31" i="10"/>
  <c r="B31" i="10"/>
  <c r="A31" i="10"/>
  <c r="C30" i="10"/>
  <c r="B30" i="10"/>
  <c r="A30" i="10"/>
  <c r="C29" i="10"/>
  <c r="B29" i="10"/>
  <c r="A29" i="10"/>
  <c r="C28" i="10"/>
  <c r="B28" i="10"/>
  <c r="A28" i="10"/>
  <c r="C27" i="10"/>
  <c r="B27" i="10"/>
  <c r="A27" i="10"/>
  <c r="C26" i="10"/>
  <c r="B26" i="10"/>
  <c r="A26" i="10"/>
  <c r="C25" i="10"/>
  <c r="B25" i="10"/>
  <c r="A25" i="10"/>
  <c r="C24" i="10"/>
  <c r="B24" i="10"/>
  <c r="A24" i="10"/>
  <c r="C23" i="10"/>
  <c r="B23" i="10"/>
  <c r="A23" i="10"/>
  <c r="C22" i="10"/>
  <c r="B22" i="10"/>
  <c r="A22" i="10"/>
  <c r="C21" i="10"/>
  <c r="B21" i="10"/>
  <c r="A21" i="10"/>
  <c r="C20" i="10"/>
  <c r="B20" i="10"/>
  <c r="A20" i="10"/>
  <c r="C19" i="10"/>
  <c r="B19" i="10"/>
  <c r="A19" i="10"/>
  <c r="C18" i="10"/>
  <c r="B18" i="10"/>
  <c r="A18" i="10"/>
  <c r="C17" i="10"/>
  <c r="B17" i="10"/>
  <c r="A17" i="10"/>
  <c r="C16" i="10"/>
  <c r="B16" i="10"/>
  <c r="A16" i="10"/>
  <c r="C15" i="10"/>
  <c r="B15" i="10"/>
  <c r="A15" i="10"/>
  <c r="C14" i="10"/>
  <c r="B14" i="10"/>
  <c r="A14" i="10"/>
  <c r="C13" i="10"/>
  <c r="B13" i="10"/>
  <c r="A13" i="10"/>
  <c r="C12" i="10"/>
  <c r="B12" i="10"/>
  <c r="A12" i="10"/>
  <c r="C11" i="10"/>
  <c r="B11" i="10"/>
  <c r="A11" i="10"/>
  <c r="C10" i="10"/>
  <c r="B10" i="10"/>
  <c r="A10" i="10"/>
  <c r="C9" i="10"/>
  <c r="B9" i="10"/>
  <c r="A9" i="10"/>
  <c r="C8" i="10"/>
  <c r="B8" i="10"/>
  <c r="A8" i="10"/>
  <c r="C7" i="10"/>
  <c r="B7" i="10"/>
  <c r="A7" i="10"/>
  <c r="C6" i="10"/>
  <c r="B6" i="10"/>
  <c r="A6" i="10"/>
  <c r="C5" i="10"/>
  <c r="B5" i="10"/>
  <c r="A5" i="10"/>
  <c r="C4" i="10"/>
  <c r="B4" i="10"/>
  <c r="A4" i="10"/>
  <c r="C104" i="23"/>
  <c r="B104" i="23"/>
  <c r="A104" i="23"/>
  <c r="C103" i="23"/>
  <c r="B103" i="23"/>
  <c r="A103" i="23"/>
  <c r="C102" i="23"/>
  <c r="B102" i="23"/>
  <c r="A102" i="23"/>
  <c r="C101" i="23"/>
  <c r="B101" i="23"/>
  <c r="A101" i="23"/>
  <c r="C100" i="23"/>
  <c r="B100" i="23"/>
  <c r="A100" i="23"/>
  <c r="C99" i="23"/>
  <c r="B99" i="23"/>
  <c r="A99" i="23"/>
  <c r="C98" i="23"/>
  <c r="B98" i="23"/>
  <c r="A98" i="23"/>
  <c r="C97" i="23"/>
  <c r="B97" i="23"/>
  <c r="A97" i="23"/>
  <c r="C96" i="23"/>
  <c r="B96" i="23"/>
  <c r="A96" i="23"/>
  <c r="C95" i="23"/>
  <c r="B95" i="23"/>
  <c r="A95" i="23"/>
  <c r="C94" i="23"/>
  <c r="B94" i="23"/>
  <c r="A94" i="23"/>
  <c r="C93" i="23"/>
  <c r="B93" i="23"/>
  <c r="A93" i="23"/>
  <c r="C92" i="23"/>
  <c r="B92" i="23"/>
  <c r="A92" i="23"/>
  <c r="C91" i="23"/>
  <c r="B91" i="23"/>
  <c r="A91" i="23"/>
  <c r="C90" i="23"/>
  <c r="B90" i="23"/>
  <c r="A90" i="23"/>
  <c r="C89" i="23"/>
  <c r="B89" i="23"/>
  <c r="A89" i="23"/>
  <c r="C88" i="23"/>
  <c r="B88" i="23"/>
  <c r="A88" i="23"/>
  <c r="C87" i="23"/>
  <c r="B87" i="23"/>
  <c r="A87" i="23"/>
  <c r="C86" i="23"/>
  <c r="B86" i="23"/>
  <c r="A86" i="23"/>
  <c r="C85" i="23"/>
  <c r="B85" i="23"/>
  <c r="A85" i="23"/>
  <c r="C84" i="23"/>
  <c r="B84" i="23"/>
  <c r="A84" i="23"/>
  <c r="C83" i="23"/>
  <c r="B83" i="23"/>
  <c r="A83" i="23"/>
  <c r="C82" i="23"/>
  <c r="B82" i="23"/>
  <c r="A82" i="23"/>
  <c r="C81" i="23"/>
  <c r="B81" i="23"/>
  <c r="A81" i="23"/>
  <c r="C80" i="23"/>
  <c r="B80" i="23"/>
  <c r="A80" i="23"/>
  <c r="C79" i="23"/>
  <c r="B79" i="23"/>
  <c r="A79" i="23"/>
  <c r="C78" i="23"/>
  <c r="B78" i="23"/>
  <c r="A78" i="23"/>
  <c r="C77" i="23"/>
  <c r="B77" i="23"/>
  <c r="A77" i="23"/>
  <c r="C76" i="23"/>
  <c r="B76" i="23"/>
  <c r="A76" i="23"/>
  <c r="C75" i="23"/>
  <c r="B75" i="23"/>
  <c r="A75" i="23"/>
  <c r="C74" i="23"/>
  <c r="B74" i="23"/>
  <c r="A74" i="23"/>
  <c r="C73" i="23"/>
  <c r="B73" i="23"/>
  <c r="A73" i="23"/>
  <c r="C72" i="23"/>
  <c r="B72" i="23"/>
  <c r="A72" i="23"/>
  <c r="C71" i="23"/>
  <c r="B71" i="23"/>
  <c r="A71" i="23"/>
  <c r="C70" i="23"/>
  <c r="B70" i="23"/>
  <c r="A70" i="23"/>
  <c r="C69" i="23"/>
  <c r="B69" i="23"/>
  <c r="A69" i="23"/>
  <c r="C68" i="23"/>
  <c r="B68" i="23"/>
  <c r="A68" i="23"/>
  <c r="C67" i="23"/>
  <c r="B67" i="23"/>
  <c r="A67" i="23"/>
  <c r="C66" i="23"/>
  <c r="B66" i="23"/>
  <c r="A66" i="23"/>
  <c r="C65" i="23"/>
  <c r="B65" i="23"/>
  <c r="A65" i="23"/>
  <c r="C64" i="23"/>
  <c r="B64" i="23"/>
  <c r="A64" i="23"/>
  <c r="C63" i="23"/>
  <c r="B63" i="23"/>
  <c r="A63" i="23"/>
  <c r="C62" i="23"/>
  <c r="B62" i="23"/>
  <c r="A62" i="23"/>
  <c r="C61" i="23"/>
  <c r="B61" i="23"/>
  <c r="A61" i="23"/>
  <c r="C60" i="23"/>
  <c r="B60" i="23"/>
  <c r="A60" i="23"/>
  <c r="C59" i="23"/>
  <c r="B59" i="23"/>
  <c r="A59" i="23"/>
  <c r="C58" i="23"/>
  <c r="B58" i="23"/>
  <c r="A58" i="23"/>
  <c r="C57" i="23"/>
  <c r="B57" i="23"/>
  <c r="A57" i="23"/>
  <c r="C56" i="23"/>
  <c r="B56" i="23"/>
  <c r="A56" i="23"/>
  <c r="C55" i="23"/>
  <c r="B55" i="23"/>
  <c r="A55" i="23"/>
  <c r="C54" i="23"/>
  <c r="B54" i="23"/>
  <c r="A54" i="23"/>
  <c r="C53" i="23"/>
  <c r="B53" i="23"/>
  <c r="A53" i="23"/>
  <c r="C52" i="23"/>
  <c r="B52" i="23"/>
  <c r="A52" i="23"/>
  <c r="C51" i="23"/>
  <c r="B51" i="23"/>
  <c r="A51" i="23"/>
  <c r="C50" i="23"/>
  <c r="B50" i="23"/>
  <c r="A50" i="23"/>
  <c r="C49" i="23"/>
  <c r="B49" i="23"/>
  <c r="A49" i="23"/>
  <c r="C48" i="23"/>
  <c r="B48" i="23"/>
  <c r="A48" i="23"/>
  <c r="C47" i="23"/>
  <c r="B47" i="23"/>
  <c r="A47" i="23"/>
  <c r="C46" i="23"/>
  <c r="B46" i="23"/>
  <c r="A46" i="23"/>
  <c r="C45" i="23"/>
  <c r="B45" i="23"/>
  <c r="A45" i="23"/>
  <c r="C44" i="23"/>
  <c r="B44" i="23"/>
  <c r="A44" i="23"/>
  <c r="C43" i="23"/>
  <c r="B43" i="23"/>
  <c r="A43" i="23"/>
  <c r="C42" i="23"/>
  <c r="B42" i="23"/>
  <c r="A42" i="23"/>
  <c r="C41" i="23"/>
  <c r="B41" i="23"/>
  <c r="A41" i="23"/>
  <c r="C40" i="23"/>
  <c r="B40" i="23"/>
  <c r="A40" i="23"/>
  <c r="C39" i="23"/>
  <c r="B39" i="23"/>
  <c r="A39" i="23"/>
  <c r="C38" i="23"/>
  <c r="B38" i="23"/>
  <c r="A38" i="23"/>
  <c r="C37" i="23"/>
  <c r="B37" i="23"/>
  <c r="A37" i="23"/>
  <c r="C36" i="23"/>
  <c r="B36" i="23"/>
  <c r="A36" i="23"/>
  <c r="C35" i="23"/>
  <c r="B35" i="23"/>
  <c r="A35" i="23"/>
  <c r="C34" i="23"/>
  <c r="B34" i="23"/>
  <c r="A34" i="23"/>
  <c r="C33" i="23"/>
  <c r="B33" i="23"/>
  <c r="A33" i="23"/>
  <c r="C32" i="23"/>
  <c r="B32" i="23"/>
  <c r="A32" i="23"/>
  <c r="C31" i="23"/>
  <c r="B31" i="23"/>
  <c r="A31" i="23"/>
  <c r="C30" i="23"/>
  <c r="B30" i="23"/>
  <c r="A30" i="23"/>
  <c r="C29" i="23"/>
  <c r="B29" i="23"/>
  <c r="A29" i="23"/>
  <c r="C28" i="23"/>
  <c r="B28" i="23"/>
  <c r="A28" i="23"/>
  <c r="C27" i="23"/>
  <c r="B27" i="23"/>
  <c r="A27" i="23"/>
  <c r="C26" i="23"/>
  <c r="B26" i="23"/>
  <c r="A26" i="23"/>
  <c r="C25" i="23"/>
  <c r="B25" i="23"/>
  <c r="A25" i="23"/>
  <c r="C24" i="23"/>
  <c r="B24" i="23"/>
  <c r="A24" i="23"/>
  <c r="C23" i="23"/>
  <c r="B23" i="23"/>
  <c r="A23" i="23"/>
  <c r="C22" i="23"/>
  <c r="B22" i="23"/>
  <c r="A22" i="23"/>
  <c r="C21" i="23"/>
  <c r="B21" i="23"/>
  <c r="A21" i="23"/>
  <c r="C20" i="23"/>
  <c r="B20" i="23"/>
  <c r="A20" i="23"/>
  <c r="C19" i="23"/>
  <c r="B19" i="23"/>
  <c r="A19" i="23"/>
  <c r="C18" i="23"/>
  <c r="B18" i="23"/>
  <c r="A18" i="23"/>
  <c r="C17" i="23"/>
  <c r="B17" i="23"/>
  <c r="A17" i="23"/>
  <c r="C16" i="23"/>
  <c r="B16" i="23"/>
  <c r="A16" i="23"/>
  <c r="C15" i="23"/>
  <c r="B15" i="23"/>
  <c r="A15" i="23"/>
  <c r="C14" i="23"/>
  <c r="B14" i="23"/>
  <c r="A14" i="23"/>
  <c r="C13" i="23"/>
  <c r="B13" i="23"/>
  <c r="A13" i="23"/>
  <c r="C12" i="23"/>
  <c r="B12" i="23"/>
  <c r="A12" i="23"/>
  <c r="C11" i="23"/>
  <c r="B11" i="23"/>
  <c r="A11" i="23"/>
  <c r="C10" i="23"/>
  <c r="B10" i="23"/>
  <c r="A10" i="23"/>
  <c r="C9" i="23"/>
  <c r="B9" i="23"/>
  <c r="A9" i="23"/>
  <c r="C8" i="23"/>
  <c r="B8" i="23"/>
  <c r="A8" i="23"/>
  <c r="C7" i="23"/>
  <c r="B7" i="23"/>
  <c r="A7" i="23"/>
  <c r="C6" i="23"/>
  <c r="B6" i="23"/>
  <c r="A6" i="23"/>
  <c r="C5" i="23"/>
  <c r="B5" i="23"/>
  <c r="A5" i="23"/>
  <c r="C4" i="23"/>
  <c r="B4" i="23"/>
  <c r="A4" i="23"/>
  <c r="D101" i="18"/>
  <c r="D100" i="18"/>
  <c r="D99" i="18"/>
  <c r="D98" i="18"/>
  <c r="D97" i="18"/>
  <c r="D96" i="18"/>
  <c r="D95" i="18"/>
  <c r="D94" i="18"/>
  <c r="D89" i="18"/>
  <c r="D88" i="18"/>
  <c r="D87" i="18"/>
  <c r="D86" i="18"/>
  <c r="D85" i="18"/>
  <c r="D84" i="18"/>
  <c r="D83" i="18"/>
  <c r="D82" i="18"/>
  <c r="D81" i="18"/>
  <c r="D80" i="18"/>
  <c r="D79" i="18"/>
  <c r="D78" i="18"/>
  <c r="D77" i="18"/>
  <c r="D76" i="18"/>
  <c r="D75" i="18"/>
  <c r="D74" i="18"/>
  <c r="D73" i="18"/>
  <c r="D72" i="18"/>
  <c r="D71" i="18"/>
  <c r="D70" i="18"/>
  <c r="D69" i="18"/>
  <c r="D68" i="18"/>
  <c r="D67" i="18"/>
  <c r="D66" i="18"/>
  <c r="D65" i="18"/>
  <c r="D64" i="18"/>
  <c r="D63" i="18"/>
  <c r="D62" i="18"/>
  <c r="D61" i="18"/>
  <c r="D60" i="18"/>
  <c r="D59" i="18"/>
  <c r="D58" i="18"/>
  <c r="D57" i="18"/>
  <c r="D56" i="18"/>
  <c r="D55" i="18"/>
  <c r="D54" i="18"/>
  <c r="D53" i="18"/>
  <c r="D52" i="18"/>
  <c r="D51" i="18"/>
  <c r="D50" i="18"/>
  <c r="D49" i="18"/>
  <c r="D48" i="18"/>
  <c r="D47" i="18"/>
  <c r="D46" i="18"/>
  <c r="D45" i="18"/>
  <c r="D44" i="18"/>
  <c r="D43" i="18"/>
  <c r="D42" i="18"/>
  <c r="D41" i="18"/>
  <c r="D40" i="18"/>
  <c r="D39" i="18"/>
  <c r="D38" i="18"/>
  <c r="D37" i="18"/>
  <c r="D36" i="18"/>
  <c r="D35" i="18"/>
  <c r="D34" i="18"/>
  <c r="D33" i="18"/>
  <c r="D32" i="18"/>
  <c r="D31" i="18"/>
  <c r="D30" i="18"/>
  <c r="D29" i="18"/>
  <c r="D28" i="18"/>
  <c r="D27" i="18"/>
  <c r="D26" i="18"/>
  <c r="D25" i="18"/>
  <c r="D24" i="18"/>
  <c r="D23" i="18"/>
  <c r="D22" i="18"/>
  <c r="D21" i="18"/>
  <c r="D20" i="18"/>
  <c r="D19" i="18"/>
  <c r="D18" i="18"/>
  <c r="D17" i="18"/>
  <c r="D16" i="18"/>
  <c r="D15" i="18"/>
  <c r="D14" i="18"/>
  <c r="D13" i="18"/>
  <c r="D12" i="18"/>
  <c r="D10" i="18"/>
  <c r="D9" i="18"/>
  <c r="D8" i="18"/>
  <c r="D7" i="18"/>
  <c r="D6" i="18"/>
  <c r="D5" i="18"/>
  <c r="D4" i="18"/>
  <c r="D104" i="17"/>
  <c r="D103" i="17"/>
  <c r="D102" i="17"/>
  <c r="D101" i="17"/>
  <c r="D100" i="17"/>
  <c r="D99" i="17"/>
  <c r="D98" i="17"/>
  <c r="D97" i="17"/>
  <c r="D96" i="17"/>
  <c r="D95" i="17"/>
  <c r="D94" i="17"/>
  <c r="D93" i="17"/>
  <c r="D92" i="17"/>
  <c r="D87" i="17"/>
  <c r="D86" i="17"/>
  <c r="D85" i="17"/>
  <c r="D84" i="17"/>
  <c r="D83" i="17"/>
  <c r="D82" i="17"/>
  <c r="D81" i="17"/>
  <c r="D80" i="17"/>
  <c r="D79" i="17"/>
  <c r="D75" i="17"/>
  <c r="D74" i="17"/>
  <c r="D73" i="17"/>
  <c r="D72" i="17"/>
  <c r="D71" i="17"/>
  <c r="D70" i="17"/>
  <c r="D69" i="17"/>
  <c r="D68" i="17"/>
  <c r="D67" i="17"/>
  <c r="D65" i="17"/>
  <c r="D64" i="17"/>
  <c r="D63" i="17"/>
  <c r="D62" i="17"/>
  <c r="D61" i="17"/>
  <c r="D60" i="17"/>
  <c r="D59" i="17"/>
  <c r="D57" i="17"/>
  <c r="D56" i="17"/>
  <c r="D55" i="17"/>
  <c r="D54" i="17"/>
  <c r="D53" i="17"/>
  <c r="D52" i="17"/>
  <c r="D51" i="17"/>
  <c r="D50" i="17"/>
  <c r="D49" i="17"/>
  <c r="D48" i="17"/>
  <c r="D47" i="17"/>
  <c r="D46" i="17"/>
  <c r="D45" i="17"/>
  <c r="D44" i="17"/>
  <c r="D43" i="17"/>
  <c r="D42" i="17"/>
  <c r="D41" i="17"/>
  <c r="D40" i="17"/>
  <c r="D39" i="17"/>
  <c r="D38" i="17"/>
  <c r="D37" i="17"/>
  <c r="D36" i="17"/>
  <c r="D35" i="17"/>
  <c r="D34" i="17"/>
  <c r="D33" i="17"/>
  <c r="D32" i="17"/>
  <c r="D31" i="17"/>
  <c r="D30" i="17"/>
  <c r="D29" i="17"/>
  <c r="D28" i="17"/>
  <c r="D27" i="17"/>
  <c r="D26" i="17"/>
  <c r="D25" i="17"/>
  <c r="D24" i="17"/>
  <c r="D23" i="17"/>
  <c r="D22" i="17"/>
  <c r="D21" i="17"/>
  <c r="D20" i="17"/>
  <c r="D19" i="17"/>
  <c r="D18" i="17"/>
  <c r="D17" i="17"/>
  <c r="D16" i="17"/>
  <c r="D15" i="17"/>
  <c r="D14" i="17"/>
  <c r="D13" i="17"/>
  <c r="D12" i="17"/>
  <c r="D10" i="17"/>
  <c r="D9" i="17"/>
  <c r="D8" i="17"/>
  <c r="D7" i="17"/>
  <c r="D6" i="17"/>
  <c r="D5" i="17"/>
  <c r="D4" i="17"/>
  <c r="D11" i="18"/>
  <c r="C101" i="18"/>
  <c r="B101" i="18"/>
  <c r="A101" i="18"/>
  <c r="C100" i="18"/>
  <c r="B100" i="18"/>
  <c r="A100" i="18"/>
  <c r="C99" i="18"/>
  <c r="B99" i="18"/>
  <c r="A99" i="18"/>
  <c r="C98" i="18"/>
  <c r="B98" i="18"/>
  <c r="A98" i="18"/>
  <c r="C97" i="18"/>
  <c r="B97" i="18"/>
  <c r="A97" i="18"/>
  <c r="C96" i="18"/>
  <c r="B96" i="18"/>
  <c r="A96" i="18"/>
  <c r="C95" i="18"/>
  <c r="B95" i="18"/>
  <c r="A95" i="18"/>
  <c r="C94" i="18"/>
  <c r="B94" i="18"/>
  <c r="A94" i="18"/>
  <c r="C93" i="18"/>
  <c r="B93" i="18"/>
  <c r="A93" i="18"/>
  <c r="C92" i="18"/>
  <c r="B92" i="18"/>
  <c r="A92" i="18"/>
  <c r="C91" i="18"/>
  <c r="B91" i="18"/>
  <c r="A91" i="18"/>
  <c r="C90" i="18"/>
  <c r="B90" i="18"/>
  <c r="A90" i="18"/>
  <c r="C89" i="18"/>
  <c r="B89" i="18"/>
  <c r="A89" i="18"/>
  <c r="C88" i="18"/>
  <c r="B88" i="18"/>
  <c r="A88" i="18"/>
  <c r="C87" i="18"/>
  <c r="B87" i="18"/>
  <c r="A87" i="18"/>
  <c r="C86" i="18"/>
  <c r="B86" i="18"/>
  <c r="A86" i="18"/>
  <c r="C85" i="18"/>
  <c r="B85" i="18"/>
  <c r="A85" i="18"/>
  <c r="C84" i="18"/>
  <c r="B84" i="18"/>
  <c r="A84" i="18"/>
  <c r="C83" i="18"/>
  <c r="B83" i="18"/>
  <c r="A83" i="18"/>
  <c r="C82" i="18"/>
  <c r="B82" i="18"/>
  <c r="A82" i="18"/>
  <c r="C81" i="18"/>
  <c r="B81" i="18"/>
  <c r="A81" i="18"/>
  <c r="C80" i="18"/>
  <c r="B80" i="18"/>
  <c r="A80" i="18"/>
  <c r="C79" i="18"/>
  <c r="B79" i="18"/>
  <c r="A79" i="18"/>
  <c r="C78" i="18"/>
  <c r="B78" i="18"/>
  <c r="A78" i="18"/>
  <c r="C77" i="18"/>
  <c r="B77" i="18"/>
  <c r="A77" i="18"/>
  <c r="C76" i="18"/>
  <c r="B76" i="18"/>
  <c r="A76" i="18"/>
  <c r="C75" i="18"/>
  <c r="B75" i="18"/>
  <c r="A75" i="18"/>
  <c r="C74" i="18"/>
  <c r="B74" i="18"/>
  <c r="A74" i="18"/>
  <c r="C73" i="18"/>
  <c r="B73" i="18"/>
  <c r="A73" i="18"/>
  <c r="C72" i="18"/>
  <c r="B72" i="18"/>
  <c r="A72" i="18"/>
  <c r="C71" i="18"/>
  <c r="B71" i="18"/>
  <c r="A71" i="18"/>
  <c r="C70" i="18"/>
  <c r="B70" i="18"/>
  <c r="A70" i="18"/>
  <c r="C69" i="18"/>
  <c r="B69" i="18"/>
  <c r="A69" i="18"/>
  <c r="C68" i="18"/>
  <c r="B68" i="18"/>
  <c r="A68" i="18"/>
  <c r="C67" i="18"/>
  <c r="B67" i="18"/>
  <c r="A67" i="18"/>
  <c r="C66" i="18"/>
  <c r="B66" i="18"/>
  <c r="A66" i="18"/>
  <c r="C65" i="18"/>
  <c r="B65" i="18"/>
  <c r="A65" i="18"/>
  <c r="C64" i="18"/>
  <c r="B64" i="18"/>
  <c r="A64" i="18"/>
  <c r="C63" i="18"/>
  <c r="B63" i="18"/>
  <c r="A63" i="18"/>
  <c r="C62" i="18"/>
  <c r="B62" i="18"/>
  <c r="A62" i="18"/>
  <c r="C61" i="18"/>
  <c r="B61" i="18"/>
  <c r="A61" i="18"/>
  <c r="C60" i="18"/>
  <c r="B60" i="18"/>
  <c r="A60" i="18"/>
  <c r="C59" i="18"/>
  <c r="B59" i="18"/>
  <c r="A59" i="18"/>
  <c r="C58" i="18"/>
  <c r="B58" i="18"/>
  <c r="A58" i="18"/>
  <c r="C57" i="18"/>
  <c r="B57" i="18"/>
  <c r="A57" i="18"/>
  <c r="C56" i="18"/>
  <c r="B56" i="18"/>
  <c r="A56" i="18"/>
  <c r="C55" i="18"/>
  <c r="B55" i="18"/>
  <c r="A55" i="18"/>
  <c r="C54" i="18"/>
  <c r="B54" i="18"/>
  <c r="A54" i="18"/>
  <c r="C53" i="18"/>
  <c r="B53" i="18"/>
  <c r="A53" i="18"/>
  <c r="C52" i="18"/>
  <c r="B52" i="18"/>
  <c r="A52" i="18"/>
  <c r="C51" i="18"/>
  <c r="B51" i="18"/>
  <c r="A51" i="18"/>
  <c r="C50" i="18"/>
  <c r="B50" i="18"/>
  <c r="A50" i="18"/>
  <c r="C49" i="18"/>
  <c r="B49" i="18"/>
  <c r="A49" i="18"/>
  <c r="C48" i="18"/>
  <c r="B48" i="18"/>
  <c r="A48" i="18"/>
  <c r="C47" i="18"/>
  <c r="B47" i="18"/>
  <c r="A47" i="18"/>
  <c r="C46" i="18"/>
  <c r="B46" i="18"/>
  <c r="A46" i="18"/>
  <c r="C45" i="18"/>
  <c r="B45" i="18"/>
  <c r="A45" i="18"/>
  <c r="C44" i="18"/>
  <c r="B44" i="18"/>
  <c r="A44" i="18"/>
  <c r="C43" i="18"/>
  <c r="B43" i="18"/>
  <c r="A43" i="18"/>
  <c r="C42" i="18"/>
  <c r="B42" i="18"/>
  <c r="A42" i="18"/>
  <c r="C41" i="18"/>
  <c r="B41" i="18"/>
  <c r="A41" i="18"/>
  <c r="C40" i="18"/>
  <c r="B40" i="18"/>
  <c r="A40" i="18"/>
  <c r="C39" i="18"/>
  <c r="B39" i="18"/>
  <c r="A39" i="18"/>
  <c r="C38" i="18"/>
  <c r="B38" i="18"/>
  <c r="A38" i="18"/>
  <c r="C37" i="18"/>
  <c r="B37" i="18"/>
  <c r="A37" i="18"/>
  <c r="C36" i="18"/>
  <c r="B36" i="18"/>
  <c r="A36" i="18"/>
  <c r="C35" i="18"/>
  <c r="B35" i="18"/>
  <c r="A35" i="18"/>
  <c r="C34" i="18"/>
  <c r="B34" i="18"/>
  <c r="A34" i="18"/>
  <c r="C33" i="18"/>
  <c r="B33" i="18"/>
  <c r="A33" i="18"/>
  <c r="C32" i="18"/>
  <c r="B32" i="18"/>
  <c r="A32" i="18"/>
  <c r="C31" i="18"/>
  <c r="B31" i="18"/>
  <c r="A31" i="18"/>
  <c r="C30" i="18"/>
  <c r="B30" i="18"/>
  <c r="A30" i="18"/>
  <c r="C29" i="18"/>
  <c r="B29" i="18"/>
  <c r="A29" i="18"/>
  <c r="C28" i="18"/>
  <c r="B28" i="18"/>
  <c r="A28" i="18"/>
  <c r="C27" i="18"/>
  <c r="B27" i="18"/>
  <c r="A27" i="18"/>
  <c r="C26" i="18"/>
  <c r="B26" i="18"/>
  <c r="A26" i="18"/>
  <c r="C25" i="18"/>
  <c r="B25" i="18"/>
  <c r="A25" i="18"/>
  <c r="C24" i="18"/>
  <c r="B24" i="18"/>
  <c r="A24" i="18"/>
  <c r="C23" i="18"/>
  <c r="B23" i="18"/>
  <c r="A23" i="18"/>
  <c r="C22" i="18"/>
  <c r="B22" i="18"/>
  <c r="A22" i="18"/>
  <c r="C21" i="18"/>
  <c r="B21" i="18"/>
  <c r="A21" i="18"/>
  <c r="C20" i="18"/>
  <c r="B20" i="18"/>
  <c r="A20" i="18"/>
  <c r="C19" i="18"/>
  <c r="B19" i="18"/>
  <c r="A19" i="18"/>
  <c r="C18" i="18"/>
  <c r="B18" i="18"/>
  <c r="A18" i="18"/>
  <c r="C17" i="18"/>
  <c r="B17" i="18"/>
  <c r="A17" i="18"/>
  <c r="C16" i="18"/>
  <c r="B16" i="18"/>
  <c r="A16" i="18"/>
  <c r="C15" i="18"/>
  <c r="B15" i="18"/>
  <c r="A15" i="18"/>
  <c r="C14" i="18"/>
  <c r="B14" i="18"/>
  <c r="A14" i="18"/>
  <c r="C13" i="18"/>
  <c r="B13" i="18"/>
  <c r="A13" i="18"/>
  <c r="C12" i="18"/>
  <c r="B12" i="18"/>
  <c r="A12" i="18"/>
  <c r="C11" i="18"/>
  <c r="B11" i="18"/>
  <c r="A11" i="18"/>
  <c r="C10" i="18"/>
  <c r="B10" i="18"/>
  <c r="A10" i="18"/>
  <c r="C9" i="18"/>
  <c r="B9" i="18"/>
  <c r="A9" i="18"/>
  <c r="C8" i="18"/>
  <c r="B8" i="18"/>
  <c r="A8" i="18"/>
  <c r="C7" i="18"/>
  <c r="B7" i="18"/>
  <c r="A7" i="18"/>
  <c r="C6" i="18"/>
  <c r="B6" i="18"/>
  <c r="A6" i="18"/>
  <c r="C5" i="18"/>
  <c r="B5" i="18"/>
  <c r="A5" i="18"/>
  <c r="C4" i="18"/>
  <c r="B4" i="18"/>
  <c r="A4" i="18"/>
  <c r="D11" i="17"/>
  <c r="C104" i="17"/>
  <c r="B104" i="17"/>
  <c r="A104" i="17"/>
  <c r="C103" i="17"/>
  <c r="B103" i="17"/>
  <c r="A103" i="17"/>
  <c r="C102" i="17"/>
  <c r="B102" i="17"/>
  <c r="A102" i="17"/>
  <c r="C101" i="17"/>
  <c r="B101" i="17"/>
  <c r="A101" i="17"/>
  <c r="C100" i="17"/>
  <c r="B100" i="17"/>
  <c r="A100" i="17"/>
  <c r="C99" i="17"/>
  <c r="B99" i="17"/>
  <c r="A99" i="17"/>
  <c r="C98" i="17"/>
  <c r="B98" i="17"/>
  <c r="A98" i="17"/>
  <c r="C97" i="17"/>
  <c r="B97" i="17"/>
  <c r="A97" i="17"/>
  <c r="C96" i="17"/>
  <c r="B96" i="17"/>
  <c r="A96" i="17"/>
  <c r="C95" i="17"/>
  <c r="B95" i="17"/>
  <c r="A95" i="17"/>
  <c r="C94" i="17"/>
  <c r="B94" i="17"/>
  <c r="A94" i="17"/>
  <c r="C93" i="17"/>
  <c r="B93" i="17"/>
  <c r="A93" i="17"/>
  <c r="C92" i="17"/>
  <c r="B92" i="17"/>
  <c r="A92" i="17"/>
  <c r="C91" i="17"/>
  <c r="B91" i="17"/>
  <c r="A91" i="17"/>
  <c r="C90" i="17"/>
  <c r="B90" i="17"/>
  <c r="A90" i="17"/>
  <c r="C89" i="17"/>
  <c r="B89" i="17"/>
  <c r="A89" i="17"/>
  <c r="C88" i="17"/>
  <c r="B88" i="17"/>
  <c r="A88" i="17"/>
  <c r="C87" i="17"/>
  <c r="B87" i="17"/>
  <c r="A87" i="17"/>
  <c r="C86" i="17"/>
  <c r="B86" i="17"/>
  <c r="A86" i="17"/>
  <c r="C85" i="17"/>
  <c r="B85" i="17"/>
  <c r="A85" i="17"/>
  <c r="C84" i="17"/>
  <c r="B84" i="17"/>
  <c r="A84" i="17"/>
  <c r="C83" i="17"/>
  <c r="B83" i="17"/>
  <c r="A83" i="17"/>
  <c r="C82" i="17"/>
  <c r="B82" i="17"/>
  <c r="A82" i="17"/>
  <c r="C81" i="17"/>
  <c r="B81" i="17"/>
  <c r="A81" i="17"/>
  <c r="C80" i="17"/>
  <c r="B80" i="17"/>
  <c r="A80" i="17"/>
  <c r="C79" i="17"/>
  <c r="B79" i="17"/>
  <c r="A79" i="17"/>
  <c r="C78" i="17"/>
  <c r="B78" i="17"/>
  <c r="A78" i="17"/>
  <c r="C77" i="17"/>
  <c r="B77" i="17"/>
  <c r="A77" i="17"/>
  <c r="C76" i="17"/>
  <c r="B76" i="17"/>
  <c r="A76" i="17"/>
  <c r="C75" i="17"/>
  <c r="B75" i="17"/>
  <c r="A75" i="17"/>
  <c r="C74" i="17"/>
  <c r="B74" i="17"/>
  <c r="A74" i="17"/>
  <c r="C73" i="17"/>
  <c r="B73" i="17"/>
  <c r="A73" i="17"/>
  <c r="C72" i="17"/>
  <c r="B72" i="17"/>
  <c r="A72" i="17"/>
  <c r="C71" i="17"/>
  <c r="B71" i="17"/>
  <c r="A71" i="17"/>
  <c r="C70" i="17"/>
  <c r="B70" i="17"/>
  <c r="A70" i="17"/>
  <c r="C69" i="17"/>
  <c r="B69" i="17"/>
  <c r="A69" i="17"/>
  <c r="C68" i="17"/>
  <c r="B68" i="17"/>
  <c r="A68" i="17"/>
  <c r="C67" i="17"/>
  <c r="B67" i="17"/>
  <c r="A67" i="17"/>
  <c r="C66" i="17"/>
  <c r="B66" i="17"/>
  <c r="A66" i="17"/>
  <c r="C65" i="17"/>
  <c r="B65" i="17"/>
  <c r="A65" i="17"/>
  <c r="C64" i="17"/>
  <c r="B64" i="17"/>
  <c r="A64" i="17"/>
  <c r="C63" i="17"/>
  <c r="B63" i="17"/>
  <c r="A63" i="17"/>
  <c r="C62" i="17"/>
  <c r="B62" i="17"/>
  <c r="A62" i="17"/>
  <c r="C61" i="17"/>
  <c r="B61" i="17"/>
  <c r="A61" i="17"/>
  <c r="C60" i="17"/>
  <c r="B60" i="17"/>
  <c r="A60" i="17"/>
  <c r="C59" i="17"/>
  <c r="B59" i="17"/>
  <c r="A59" i="17"/>
  <c r="C58" i="17"/>
  <c r="B58" i="17"/>
  <c r="A58" i="17"/>
  <c r="C57" i="17"/>
  <c r="B57" i="17"/>
  <c r="A57" i="17"/>
  <c r="C56" i="17"/>
  <c r="B56" i="17"/>
  <c r="A56" i="17"/>
  <c r="C55" i="17"/>
  <c r="B55" i="17"/>
  <c r="A55" i="17"/>
  <c r="C54" i="17"/>
  <c r="B54" i="17"/>
  <c r="A54" i="17"/>
  <c r="C53" i="17"/>
  <c r="B53" i="17"/>
  <c r="A53" i="17"/>
  <c r="C52" i="17"/>
  <c r="B52" i="17"/>
  <c r="A52" i="17"/>
  <c r="C51" i="17"/>
  <c r="B51" i="17"/>
  <c r="A51" i="17"/>
  <c r="C50" i="17"/>
  <c r="B50" i="17"/>
  <c r="A50" i="17"/>
  <c r="C49" i="17"/>
  <c r="B49" i="17"/>
  <c r="A49" i="17"/>
  <c r="C48" i="17"/>
  <c r="B48" i="17"/>
  <c r="A48" i="17"/>
  <c r="C47" i="17"/>
  <c r="B47" i="17"/>
  <c r="A47" i="17"/>
  <c r="C46" i="17"/>
  <c r="B46" i="17"/>
  <c r="A46" i="17"/>
  <c r="C45" i="17"/>
  <c r="B45" i="17"/>
  <c r="A45" i="17"/>
  <c r="C44" i="17"/>
  <c r="B44" i="17"/>
  <c r="A44" i="17"/>
  <c r="C43" i="17"/>
  <c r="B43" i="17"/>
  <c r="A43" i="17"/>
  <c r="C42" i="17"/>
  <c r="B42" i="17"/>
  <c r="A42" i="17"/>
  <c r="C41" i="17"/>
  <c r="B41" i="17"/>
  <c r="A41" i="17"/>
  <c r="C40" i="17"/>
  <c r="B40" i="17"/>
  <c r="A40" i="17"/>
  <c r="C39" i="17"/>
  <c r="B39" i="17"/>
  <c r="A39" i="17"/>
  <c r="C38" i="17"/>
  <c r="B38" i="17"/>
  <c r="A38" i="17"/>
  <c r="C37" i="17"/>
  <c r="B37" i="17"/>
  <c r="A37" i="17"/>
  <c r="C36" i="17"/>
  <c r="B36" i="17"/>
  <c r="A36" i="17"/>
  <c r="C35" i="17"/>
  <c r="B35" i="17"/>
  <c r="A35" i="17"/>
  <c r="C34" i="17"/>
  <c r="B34" i="17"/>
  <c r="A34" i="17"/>
  <c r="C33" i="17"/>
  <c r="B33" i="17"/>
  <c r="A33" i="17"/>
  <c r="C32" i="17"/>
  <c r="B32" i="17"/>
  <c r="A32" i="17"/>
  <c r="C31" i="17"/>
  <c r="B31" i="17"/>
  <c r="A31" i="17"/>
  <c r="C30" i="17"/>
  <c r="B30" i="17"/>
  <c r="A30" i="17"/>
  <c r="C29" i="17"/>
  <c r="B29" i="17"/>
  <c r="A29" i="17"/>
  <c r="C28" i="17"/>
  <c r="B28" i="17"/>
  <c r="A28" i="17"/>
  <c r="C27" i="17"/>
  <c r="B27" i="17"/>
  <c r="A27" i="17"/>
  <c r="C26" i="17"/>
  <c r="B26" i="17"/>
  <c r="A26" i="17"/>
  <c r="C25" i="17"/>
  <c r="B25" i="17"/>
  <c r="A25" i="17"/>
  <c r="C24" i="17"/>
  <c r="B24" i="17"/>
  <c r="A24" i="17"/>
  <c r="C23" i="17"/>
  <c r="B23" i="17"/>
  <c r="A23" i="17"/>
  <c r="C22" i="17"/>
  <c r="B22" i="17"/>
  <c r="A22" i="17"/>
  <c r="C21" i="17"/>
  <c r="B21" i="17"/>
  <c r="A21" i="17"/>
  <c r="C20" i="17"/>
  <c r="B20" i="17"/>
  <c r="A20" i="17"/>
  <c r="C19" i="17"/>
  <c r="B19" i="17"/>
  <c r="A19" i="17"/>
  <c r="C18" i="17"/>
  <c r="B18" i="17"/>
  <c r="A18" i="17"/>
  <c r="C17" i="17"/>
  <c r="B17" i="17"/>
  <c r="A17" i="17"/>
  <c r="C16" i="17"/>
  <c r="B16" i="17"/>
  <c r="A16" i="17"/>
  <c r="C15" i="17"/>
  <c r="B15" i="17"/>
  <c r="A15" i="17"/>
  <c r="C14" i="17"/>
  <c r="B14" i="17"/>
  <c r="A14" i="17"/>
  <c r="C13" i="17"/>
  <c r="B13" i="17"/>
  <c r="A13" i="17"/>
  <c r="C12" i="17"/>
  <c r="B12" i="17"/>
  <c r="A12" i="17"/>
  <c r="C11" i="17"/>
  <c r="B11" i="17"/>
  <c r="A11" i="17"/>
  <c r="C10" i="17"/>
  <c r="B10" i="17"/>
  <c r="A10" i="17"/>
  <c r="C9" i="17"/>
  <c r="B9" i="17"/>
  <c r="A9" i="17"/>
  <c r="C8" i="17"/>
  <c r="B8" i="17"/>
  <c r="A8" i="17"/>
  <c r="C7" i="17"/>
  <c r="B7" i="17"/>
  <c r="A7" i="17"/>
  <c r="C6" i="17"/>
  <c r="B6" i="17"/>
  <c r="A6" i="17"/>
  <c r="C5" i="17"/>
  <c r="B5" i="17"/>
  <c r="A5" i="17"/>
  <c r="C4" i="17"/>
  <c r="B4" i="17"/>
  <c r="A4" i="17"/>
  <c r="C100" i="20"/>
  <c r="B100" i="20"/>
  <c r="A100" i="20"/>
  <c r="C99" i="20"/>
  <c r="B99" i="20"/>
  <c r="A99" i="20"/>
  <c r="C98" i="20"/>
  <c r="B98" i="20"/>
  <c r="A98" i="20"/>
  <c r="C97" i="20"/>
  <c r="B97" i="20"/>
  <c r="A97" i="20"/>
  <c r="C96" i="20"/>
  <c r="B96" i="20"/>
  <c r="A96" i="20"/>
  <c r="C95" i="20"/>
  <c r="B95" i="20"/>
  <c r="A95" i="20"/>
  <c r="C94" i="20"/>
  <c r="B94" i="20"/>
  <c r="A94" i="20"/>
  <c r="C93" i="20"/>
  <c r="B93" i="20"/>
  <c r="A93" i="20"/>
  <c r="C92" i="20"/>
  <c r="B92" i="20"/>
  <c r="A92" i="20"/>
  <c r="C91" i="20"/>
  <c r="B91" i="20"/>
  <c r="A91" i="20"/>
  <c r="C90" i="20"/>
  <c r="B90" i="20"/>
  <c r="A90" i="20"/>
  <c r="C89" i="20"/>
  <c r="B89" i="20"/>
  <c r="A89" i="20"/>
  <c r="C88" i="20"/>
  <c r="B88" i="20"/>
  <c r="A88" i="20"/>
  <c r="C87" i="20"/>
  <c r="B87" i="20"/>
  <c r="A87" i="20"/>
  <c r="C86" i="20"/>
  <c r="B86" i="20"/>
  <c r="A86" i="20"/>
  <c r="C85" i="20"/>
  <c r="B85" i="20"/>
  <c r="A85" i="20"/>
  <c r="C84" i="20"/>
  <c r="B84" i="20"/>
  <c r="A84" i="20"/>
  <c r="C83" i="20"/>
  <c r="B83" i="20"/>
  <c r="A83" i="20"/>
  <c r="C82" i="20"/>
  <c r="B82" i="20"/>
  <c r="A82" i="20"/>
  <c r="C81" i="20"/>
  <c r="B81" i="20"/>
  <c r="A81" i="20"/>
  <c r="C80" i="20"/>
  <c r="B80" i="20"/>
  <c r="A80" i="20"/>
  <c r="C79" i="20"/>
  <c r="B79" i="20"/>
  <c r="A79" i="20"/>
  <c r="C78" i="20"/>
  <c r="B78" i="20"/>
  <c r="A78" i="20"/>
  <c r="C77" i="20"/>
  <c r="B77" i="20"/>
  <c r="A77" i="20"/>
  <c r="C76" i="20"/>
  <c r="B76" i="20"/>
  <c r="A76" i="20"/>
  <c r="C75" i="20"/>
  <c r="B75" i="20"/>
  <c r="A75" i="20"/>
  <c r="C74" i="20"/>
  <c r="B74" i="20"/>
  <c r="A74" i="20"/>
  <c r="C73" i="20"/>
  <c r="B73" i="20"/>
  <c r="A73" i="20"/>
  <c r="C72" i="20"/>
  <c r="B72" i="20"/>
  <c r="A72" i="20"/>
  <c r="C71" i="20"/>
  <c r="B71" i="20"/>
  <c r="A71" i="20"/>
  <c r="C70" i="20"/>
  <c r="B70" i="20"/>
  <c r="A70" i="20"/>
  <c r="C69" i="20"/>
  <c r="B69" i="20"/>
  <c r="A69" i="20"/>
  <c r="C68" i="20"/>
  <c r="B68" i="20"/>
  <c r="A68" i="20"/>
  <c r="C67" i="20"/>
  <c r="B67" i="20"/>
  <c r="A67" i="20"/>
  <c r="C66" i="20"/>
  <c r="B66" i="20"/>
  <c r="A66" i="20"/>
  <c r="C65" i="20"/>
  <c r="B65" i="20"/>
  <c r="A65" i="20"/>
  <c r="C64" i="20"/>
  <c r="B64" i="20"/>
  <c r="A64" i="20"/>
  <c r="C63" i="20"/>
  <c r="B63" i="20"/>
  <c r="A63" i="20"/>
  <c r="C62" i="20"/>
  <c r="B62" i="20"/>
  <c r="A62" i="20"/>
  <c r="C61" i="20"/>
  <c r="B61" i="20"/>
  <c r="A61" i="20"/>
  <c r="C60" i="20"/>
  <c r="B60" i="20"/>
  <c r="A60" i="20"/>
  <c r="C59" i="20"/>
  <c r="B59" i="20"/>
  <c r="A59" i="20"/>
  <c r="C58" i="20"/>
  <c r="B58" i="20"/>
  <c r="A58" i="20"/>
  <c r="C57" i="20"/>
  <c r="B57" i="20"/>
  <c r="A57" i="20"/>
  <c r="C56" i="20"/>
  <c r="B56" i="20"/>
  <c r="A56" i="20"/>
  <c r="C55" i="20"/>
  <c r="B55" i="20"/>
  <c r="A55" i="20"/>
  <c r="C54" i="20"/>
  <c r="B54" i="20"/>
  <c r="A54" i="20"/>
  <c r="C53" i="20"/>
  <c r="B53" i="20"/>
  <c r="A53" i="20"/>
  <c r="C52" i="20"/>
  <c r="B52" i="20"/>
  <c r="A52" i="20"/>
  <c r="C51" i="20"/>
  <c r="B51" i="20"/>
  <c r="A51" i="20"/>
  <c r="C50" i="20"/>
  <c r="B50" i="20"/>
  <c r="A50" i="20"/>
  <c r="C49" i="20"/>
  <c r="B49" i="20"/>
  <c r="A49" i="20"/>
  <c r="C48" i="20"/>
  <c r="B48" i="20"/>
  <c r="A48" i="20"/>
  <c r="C47" i="20"/>
  <c r="B47" i="20"/>
  <c r="A47" i="20"/>
  <c r="C46" i="20"/>
  <c r="B46" i="20"/>
  <c r="A46" i="20"/>
  <c r="C45" i="20"/>
  <c r="B45" i="20"/>
  <c r="A45" i="20"/>
  <c r="C44" i="20"/>
  <c r="B44" i="20"/>
  <c r="A44" i="20"/>
  <c r="C43" i="20"/>
  <c r="B43" i="20"/>
  <c r="A43" i="20"/>
  <c r="C42" i="20"/>
  <c r="B42" i="20"/>
  <c r="A42" i="20"/>
  <c r="C41" i="20"/>
  <c r="B41" i="20"/>
  <c r="A41" i="20"/>
  <c r="C40" i="20"/>
  <c r="B40" i="20"/>
  <c r="A40" i="20"/>
  <c r="C39" i="20"/>
  <c r="B39" i="20"/>
  <c r="A39" i="20"/>
  <c r="C38" i="20"/>
  <c r="B38" i="20"/>
  <c r="A38" i="20"/>
  <c r="C37" i="20"/>
  <c r="B37" i="20"/>
  <c r="A37" i="20"/>
  <c r="C36" i="20"/>
  <c r="B36" i="20"/>
  <c r="A36" i="20"/>
  <c r="C35" i="20"/>
  <c r="B35" i="20"/>
  <c r="A35" i="20"/>
  <c r="C34" i="20"/>
  <c r="B34" i="20"/>
  <c r="A34" i="20"/>
  <c r="C33" i="20"/>
  <c r="B33" i="20"/>
  <c r="A33" i="20"/>
  <c r="C32" i="20"/>
  <c r="B32" i="20"/>
  <c r="A32" i="20"/>
  <c r="C31" i="20"/>
  <c r="B31" i="20"/>
  <c r="A31" i="20"/>
  <c r="C30" i="20"/>
  <c r="B30" i="20"/>
  <c r="A30" i="20"/>
  <c r="C29" i="20"/>
  <c r="B29" i="20"/>
  <c r="A29" i="20"/>
  <c r="C28" i="20"/>
  <c r="B28" i="20"/>
  <c r="A28" i="20"/>
  <c r="C27" i="20"/>
  <c r="B27" i="20"/>
  <c r="A27" i="20"/>
  <c r="C26" i="20"/>
  <c r="B26" i="20"/>
  <c r="A26" i="20"/>
  <c r="C25" i="20"/>
  <c r="B25" i="20"/>
  <c r="A25" i="20"/>
  <c r="C24" i="20"/>
  <c r="B24" i="20"/>
  <c r="A24" i="20"/>
  <c r="C23" i="20"/>
  <c r="B23" i="20"/>
  <c r="A23" i="20"/>
  <c r="C22" i="20"/>
  <c r="B22" i="20"/>
  <c r="A22" i="20"/>
  <c r="C21" i="20"/>
  <c r="B21" i="20"/>
  <c r="A21" i="20"/>
  <c r="C20" i="20"/>
  <c r="B20" i="20"/>
  <c r="A20" i="20"/>
  <c r="C19" i="20"/>
  <c r="B19" i="20"/>
  <c r="A19" i="20"/>
  <c r="C18" i="20"/>
  <c r="B18" i="20"/>
  <c r="A18" i="20"/>
  <c r="C17" i="20"/>
  <c r="B17" i="20"/>
  <c r="A17" i="20"/>
  <c r="C16" i="20"/>
  <c r="B16" i="20"/>
  <c r="A16" i="20"/>
  <c r="C15" i="20"/>
  <c r="B15" i="20"/>
  <c r="A15" i="20"/>
  <c r="C14" i="20"/>
  <c r="B14" i="20"/>
  <c r="A14" i="20"/>
  <c r="C13" i="20"/>
  <c r="B13" i="20"/>
  <c r="A13" i="20"/>
  <c r="C12" i="20"/>
  <c r="B12" i="20"/>
  <c r="A12" i="20"/>
  <c r="C11" i="20"/>
  <c r="B11" i="20"/>
  <c r="A11" i="20"/>
  <c r="C10" i="20"/>
  <c r="B10" i="20"/>
  <c r="A10" i="20"/>
  <c r="C9" i="20"/>
  <c r="B9" i="20"/>
  <c r="A9" i="20"/>
  <c r="C8" i="20"/>
  <c r="B8" i="20"/>
  <c r="A8" i="20"/>
  <c r="C7" i="20"/>
  <c r="B7" i="20"/>
  <c r="A7" i="20"/>
  <c r="C6" i="20"/>
  <c r="B6" i="20"/>
  <c r="A6" i="20"/>
  <c r="C5" i="20"/>
  <c r="B5" i="20"/>
  <c r="A5" i="20"/>
  <c r="C4" i="20"/>
  <c r="B4" i="20"/>
  <c r="A4" i="20"/>
  <c r="C3" i="20"/>
  <c r="B3" i="20"/>
  <c r="A3" i="20"/>
  <c r="C103" i="19"/>
  <c r="B103" i="19"/>
  <c r="A103" i="19"/>
  <c r="C102" i="19"/>
  <c r="B102" i="19"/>
  <c r="A102" i="19"/>
  <c r="C101" i="19"/>
  <c r="B101" i="19"/>
  <c r="A101" i="19"/>
  <c r="C100" i="19"/>
  <c r="B100" i="19"/>
  <c r="A100" i="19"/>
  <c r="C99" i="19"/>
  <c r="B99" i="19"/>
  <c r="A99" i="19"/>
  <c r="C98" i="19"/>
  <c r="B98" i="19"/>
  <c r="A98" i="19"/>
  <c r="C97" i="19"/>
  <c r="B97" i="19"/>
  <c r="A97" i="19"/>
  <c r="C96" i="19"/>
  <c r="B96" i="19"/>
  <c r="A96" i="19"/>
  <c r="C95" i="19"/>
  <c r="B95" i="19"/>
  <c r="A95" i="19"/>
  <c r="C94" i="19"/>
  <c r="B94" i="19"/>
  <c r="A94" i="19"/>
  <c r="C93" i="19"/>
  <c r="B93" i="19"/>
  <c r="A93" i="19"/>
  <c r="C92" i="19"/>
  <c r="B92" i="19"/>
  <c r="A92" i="19"/>
  <c r="C91" i="19"/>
  <c r="B91" i="19"/>
  <c r="A91" i="19"/>
  <c r="C90" i="19"/>
  <c r="B90" i="19"/>
  <c r="A90" i="19"/>
  <c r="C89" i="19"/>
  <c r="B89" i="19"/>
  <c r="A89" i="19"/>
  <c r="C88" i="19"/>
  <c r="B88" i="19"/>
  <c r="A88" i="19"/>
  <c r="C87" i="19"/>
  <c r="B87" i="19"/>
  <c r="A87" i="19"/>
  <c r="C86" i="19"/>
  <c r="B86" i="19"/>
  <c r="A86" i="19"/>
  <c r="C85" i="19"/>
  <c r="B85" i="19"/>
  <c r="A85" i="19"/>
  <c r="C84" i="19"/>
  <c r="B84" i="19"/>
  <c r="A84" i="19"/>
  <c r="C83" i="19"/>
  <c r="B83" i="19"/>
  <c r="A83" i="19"/>
  <c r="C82" i="19"/>
  <c r="B82" i="19"/>
  <c r="A82" i="19"/>
  <c r="C81" i="19"/>
  <c r="B81" i="19"/>
  <c r="A81" i="19"/>
  <c r="C80" i="19"/>
  <c r="B80" i="19"/>
  <c r="A80" i="19"/>
  <c r="C79" i="19"/>
  <c r="B79" i="19"/>
  <c r="A79" i="19"/>
  <c r="C78" i="19"/>
  <c r="B78" i="19"/>
  <c r="A78" i="19"/>
  <c r="C77" i="19"/>
  <c r="B77" i="19"/>
  <c r="A77" i="19"/>
  <c r="C76" i="19"/>
  <c r="B76" i="19"/>
  <c r="A76" i="19"/>
  <c r="C75" i="19"/>
  <c r="B75" i="19"/>
  <c r="A75" i="19"/>
  <c r="C74" i="19"/>
  <c r="B74" i="19"/>
  <c r="A74" i="19"/>
  <c r="C73" i="19"/>
  <c r="B73" i="19"/>
  <c r="A73" i="19"/>
  <c r="C72" i="19"/>
  <c r="B72" i="19"/>
  <c r="A72" i="19"/>
  <c r="C71" i="19"/>
  <c r="B71" i="19"/>
  <c r="A71" i="19"/>
  <c r="C70" i="19"/>
  <c r="B70" i="19"/>
  <c r="A70" i="19"/>
  <c r="C69" i="19"/>
  <c r="B69" i="19"/>
  <c r="A69" i="19"/>
  <c r="C68" i="19"/>
  <c r="B68" i="19"/>
  <c r="A68" i="19"/>
  <c r="C67" i="19"/>
  <c r="B67" i="19"/>
  <c r="A67" i="19"/>
  <c r="C66" i="19"/>
  <c r="B66" i="19"/>
  <c r="A66" i="19"/>
  <c r="C65" i="19"/>
  <c r="B65" i="19"/>
  <c r="A65" i="19"/>
  <c r="C64" i="19"/>
  <c r="B64" i="19"/>
  <c r="A64" i="19"/>
  <c r="C63" i="19"/>
  <c r="B63" i="19"/>
  <c r="A63" i="19"/>
  <c r="C62" i="19"/>
  <c r="B62" i="19"/>
  <c r="A62" i="19"/>
  <c r="C61" i="19"/>
  <c r="B61" i="19"/>
  <c r="A61" i="19"/>
  <c r="C60" i="19"/>
  <c r="B60" i="19"/>
  <c r="A60" i="19"/>
  <c r="C59" i="19"/>
  <c r="B59" i="19"/>
  <c r="A59" i="19"/>
  <c r="C58" i="19"/>
  <c r="B58" i="19"/>
  <c r="A58" i="19"/>
  <c r="C57" i="19"/>
  <c r="B57" i="19"/>
  <c r="A57" i="19"/>
  <c r="C56" i="19"/>
  <c r="B56" i="19"/>
  <c r="A56" i="19"/>
  <c r="C55" i="19"/>
  <c r="B55" i="19"/>
  <c r="A55" i="19"/>
  <c r="C54" i="19"/>
  <c r="B54" i="19"/>
  <c r="A54" i="19"/>
  <c r="C53" i="19"/>
  <c r="B53" i="19"/>
  <c r="A53" i="19"/>
  <c r="C52" i="19"/>
  <c r="B52" i="19"/>
  <c r="A52" i="19"/>
  <c r="C51" i="19"/>
  <c r="B51" i="19"/>
  <c r="A51" i="19"/>
  <c r="C50" i="19"/>
  <c r="B50" i="19"/>
  <c r="A50" i="19"/>
  <c r="C49" i="19"/>
  <c r="B49" i="19"/>
  <c r="A49" i="19"/>
  <c r="C48" i="19"/>
  <c r="B48" i="19"/>
  <c r="A48" i="19"/>
  <c r="C47" i="19"/>
  <c r="B47" i="19"/>
  <c r="A47" i="19"/>
  <c r="C46" i="19"/>
  <c r="B46" i="19"/>
  <c r="A46" i="19"/>
  <c r="C45" i="19"/>
  <c r="B45" i="19"/>
  <c r="A45" i="19"/>
  <c r="C44" i="19"/>
  <c r="B44" i="19"/>
  <c r="A44" i="19"/>
  <c r="C43" i="19"/>
  <c r="B43" i="19"/>
  <c r="A43" i="19"/>
  <c r="C42" i="19"/>
  <c r="B42" i="19"/>
  <c r="A42" i="19"/>
  <c r="C41" i="19"/>
  <c r="B41" i="19"/>
  <c r="A41" i="19"/>
  <c r="C40" i="19"/>
  <c r="B40" i="19"/>
  <c r="A40" i="19"/>
  <c r="C39" i="19"/>
  <c r="B39" i="19"/>
  <c r="A39" i="19"/>
  <c r="C38" i="19"/>
  <c r="B38" i="19"/>
  <c r="A38" i="19"/>
  <c r="C37" i="19"/>
  <c r="B37" i="19"/>
  <c r="A37" i="19"/>
  <c r="C36" i="19"/>
  <c r="B36" i="19"/>
  <c r="A36" i="19"/>
  <c r="C35" i="19"/>
  <c r="B35" i="19"/>
  <c r="A35" i="19"/>
  <c r="C34" i="19"/>
  <c r="B34" i="19"/>
  <c r="A34" i="19"/>
  <c r="C33" i="19"/>
  <c r="B33" i="19"/>
  <c r="A33" i="19"/>
  <c r="C32" i="19"/>
  <c r="B32" i="19"/>
  <c r="A32" i="19"/>
  <c r="C31" i="19"/>
  <c r="B31" i="19"/>
  <c r="A31" i="19"/>
  <c r="C30" i="19"/>
  <c r="B30" i="19"/>
  <c r="A30" i="19"/>
  <c r="C29" i="19"/>
  <c r="B29" i="19"/>
  <c r="A29" i="19"/>
  <c r="C28" i="19"/>
  <c r="B28" i="19"/>
  <c r="A28" i="19"/>
  <c r="C27" i="19"/>
  <c r="B27" i="19"/>
  <c r="A27" i="19"/>
  <c r="C26" i="19"/>
  <c r="B26" i="19"/>
  <c r="A26" i="19"/>
  <c r="C25" i="19"/>
  <c r="B25" i="19"/>
  <c r="A25" i="19"/>
  <c r="C24" i="19"/>
  <c r="B24" i="19"/>
  <c r="A24" i="19"/>
  <c r="C23" i="19"/>
  <c r="B23" i="19"/>
  <c r="A23" i="19"/>
  <c r="C22" i="19"/>
  <c r="B22" i="19"/>
  <c r="A22" i="19"/>
  <c r="C21" i="19"/>
  <c r="B21" i="19"/>
  <c r="A21" i="19"/>
  <c r="C20" i="19"/>
  <c r="B20" i="19"/>
  <c r="A20" i="19"/>
  <c r="C19" i="19"/>
  <c r="B19" i="19"/>
  <c r="A19" i="19"/>
  <c r="C18" i="19"/>
  <c r="B18" i="19"/>
  <c r="A18" i="19"/>
  <c r="C17" i="19"/>
  <c r="B17" i="19"/>
  <c r="A17" i="19"/>
  <c r="C16" i="19"/>
  <c r="B16" i="19"/>
  <c r="A16" i="19"/>
  <c r="C15" i="19"/>
  <c r="B15" i="19"/>
  <c r="A15" i="19"/>
  <c r="C14" i="19"/>
  <c r="B14" i="19"/>
  <c r="A14" i="19"/>
  <c r="C13" i="19"/>
  <c r="B13" i="19"/>
  <c r="A13" i="19"/>
  <c r="C12" i="19"/>
  <c r="B12" i="19"/>
  <c r="A12" i="19"/>
  <c r="C11" i="19"/>
  <c r="B11" i="19"/>
  <c r="A11" i="19"/>
  <c r="C10" i="19"/>
  <c r="B10" i="19"/>
  <c r="A10" i="19"/>
  <c r="C9" i="19"/>
  <c r="B9" i="19"/>
  <c r="A9" i="19"/>
  <c r="C8" i="19"/>
  <c r="B8" i="19"/>
  <c r="A8" i="19"/>
  <c r="C7" i="19"/>
  <c r="B7" i="19"/>
  <c r="A7" i="19"/>
  <c r="C6" i="19"/>
  <c r="B6" i="19"/>
  <c r="A6" i="19"/>
  <c r="C5" i="19"/>
  <c r="B5" i="19"/>
  <c r="A5" i="19"/>
  <c r="C4" i="19"/>
  <c r="B4" i="19"/>
  <c r="A4" i="19"/>
  <c r="C3" i="19"/>
  <c r="B3" i="19"/>
  <c r="A3" i="19"/>
  <c r="J105" i="15"/>
  <c r="I105" i="15"/>
  <c r="J104" i="15"/>
  <c r="I104" i="15"/>
  <c r="J103" i="15"/>
  <c r="I103" i="15"/>
  <c r="J102" i="15"/>
  <c r="I102" i="15"/>
  <c r="J101" i="15"/>
  <c r="L101" i="15" s="1"/>
  <c r="I101" i="15"/>
  <c r="J100" i="15"/>
  <c r="L100" i="15" s="1"/>
  <c r="I100" i="15"/>
  <c r="J99" i="15"/>
  <c r="L99" i="15" s="1"/>
  <c r="I99" i="15"/>
  <c r="J98" i="15"/>
  <c r="L98" i="15" s="1"/>
  <c r="I98" i="15"/>
  <c r="J97" i="15"/>
  <c r="L97" i="15" s="1"/>
  <c r="I97" i="15"/>
  <c r="J96" i="15"/>
  <c r="L96" i="15" s="1"/>
  <c r="I96" i="15"/>
  <c r="J95" i="15"/>
  <c r="L95" i="15" s="1"/>
  <c r="I95" i="15"/>
  <c r="J94" i="15"/>
  <c r="L94" i="15" s="1"/>
  <c r="I94" i="15"/>
  <c r="J93" i="15"/>
  <c r="L93" i="15" s="1"/>
  <c r="I93" i="15"/>
  <c r="J92" i="15"/>
  <c r="L92" i="15" s="1"/>
  <c r="I92" i="15"/>
  <c r="J91" i="15"/>
  <c r="L91" i="15" s="1"/>
  <c r="I91" i="15"/>
  <c r="J90" i="15"/>
  <c r="L90" i="15" s="1"/>
  <c r="I90" i="15"/>
  <c r="J89" i="15"/>
  <c r="L89" i="15" s="1"/>
  <c r="I89" i="15"/>
  <c r="J88" i="15"/>
  <c r="L88" i="15" s="1"/>
  <c r="I88" i="15"/>
  <c r="J87" i="15"/>
  <c r="L87" i="15" s="1"/>
  <c r="I87" i="15"/>
  <c r="J86" i="15"/>
  <c r="L86" i="15" s="1"/>
  <c r="I86" i="15"/>
  <c r="J85" i="15"/>
  <c r="L85" i="15" s="1"/>
  <c r="I85" i="15"/>
  <c r="J84" i="15"/>
  <c r="L84" i="15" s="1"/>
  <c r="I84" i="15"/>
  <c r="J83" i="15"/>
  <c r="L83" i="15" s="1"/>
  <c r="I83" i="15"/>
  <c r="J82" i="15"/>
  <c r="L82" i="15" s="1"/>
  <c r="I82" i="15"/>
  <c r="J81" i="15"/>
  <c r="L81" i="15" s="1"/>
  <c r="I81" i="15"/>
  <c r="I80" i="15"/>
  <c r="I106" i="15" s="1"/>
  <c r="J76" i="15"/>
  <c r="J75" i="15"/>
  <c r="L75" i="15" s="1"/>
  <c r="J74" i="15"/>
  <c r="J73" i="15"/>
  <c r="J72" i="15"/>
  <c r="J71" i="15"/>
  <c r="J70" i="15"/>
  <c r="J69" i="15"/>
  <c r="J68" i="15"/>
  <c r="L68" i="15" s="1"/>
  <c r="J66" i="15"/>
  <c r="J65" i="15"/>
  <c r="L65" i="15" s="1"/>
  <c r="J64" i="15"/>
  <c r="L64" i="15" s="1"/>
  <c r="J63" i="15"/>
  <c r="L63" i="15" s="1"/>
  <c r="J62" i="15"/>
  <c r="L62" i="15" s="1"/>
  <c r="J61" i="15"/>
  <c r="J58" i="15"/>
  <c r="L58" i="15" s="1"/>
  <c r="J57" i="15"/>
  <c r="L57" i="15" s="1"/>
  <c r="J56" i="15"/>
  <c r="L56" i="15" s="1"/>
  <c r="J55" i="15"/>
  <c r="L55" i="15" s="1"/>
  <c r="J54" i="15"/>
  <c r="L54" i="15" s="1"/>
  <c r="J53" i="15"/>
  <c r="L53" i="15" s="1"/>
  <c r="J52" i="15"/>
  <c r="L52" i="15" s="1"/>
  <c r="J51" i="15"/>
  <c r="L51" i="15" s="1"/>
  <c r="J50" i="15"/>
  <c r="L50" i="15" s="1"/>
  <c r="J49" i="15"/>
  <c r="L49" i="15" s="1"/>
  <c r="J48" i="15"/>
  <c r="L48" i="15" s="1"/>
  <c r="J47" i="15"/>
  <c r="L47" i="15" s="1"/>
  <c r="J46" i="15"/>
  <c r="L46" i="15" s="1"/>
  <c r="J45" i="15"/>
  <c r="L45" i="15" s="1"/>
  <c r="J44" i="15"/>
  <c r="L44" i="15" s="1"/>
  <c r="J43" i="15"/>
  <c r="L43" i="15" s="1"/>
  <c r="J42" i="15"/>
  <c r="L42" i="15" s="1"/>
  <c r="J41" i="15"/>
  <c r="L41" i="15" s="1"/>
  <c r="J40" i="15"/>
  <c r="L40" i="15" s="1"/>
  <c r="J39" i="15"/>
  <c r="L39" i="15" s="1"/>
  <c r="J38" i="15"/>
  <c r="L38" i="15" s="1"/>
  <c r="J37" i="15"/>
  <c r="L37" i="15" s="1"/>
  <c r="J36" i="15"/>
  <c r="L36" i="15" s="1"/>
  <c r="J35" i="15"/>
  <c r="L35" i="15" s="1"/>
  <c r="J34" i="15"/>
  <c r="L34" i="15" s="1"/>
  <c r="J33" i="15"/>
  <c r="L33" i="15" s="1"/>
  <c r="J32" i="15"/>
  <c r="L32" i="15" s="1"/>
  <c r="J31" i="15"/>
  <c r="L31" i="15" s="1"/>
  <c r="J30" i="15"/>
  <c r="L30" i="15" s="1"/>
  <c r="J29" i="15"/>
  <c r="L29" i="15" s="1"/>
  <c r="J28" i="15"/>
  <c r="L28" i="15" s="1"/>
  <c r="J27" i="15"/>
  <c r="L27" i="15" s="1"/>
  <c r="J26" i="15"/>
  <c r="L26" i="15" s="1"/>
  <c r="J25" i="15"/>
  <c r="L25" i="15" s="1"/>
  <c r="J24" i="15"/>
  <c r="L24" i="15" s="1"/>
  <c r="J23" i="15"/>
  <c r="L23" i="15" s="1"/>
  <c r="J22" i="15"/>
  <c r="L22" i="15" s="1"/>
  <c r="J21" i="15"/>
  <c r="L21" i="15" s="1"/>
  <c r="J20" i="15"/>
  <c r="L20" i="15" s="1"/>
  <c r="J19" i="15"/>
  <c r="L19" i="15" s="1"/>
  <c r="J18" i="15"/>
  <c r="L18" i="15" s="1"/>
  <c r="J17" i="15"/>
  <c r="L17" i="15" s="1"/>
  <c r="J16" i="15"/>
  <c r="L16" i="15" s="1"/>
  <c r="J15" i="15"/>
  <c r="L15" i="15" s="1"/>
  <c r="J14" i="15"/>
  <c r="L14" i="15" s="1"/>
  <c r="J13" i="15"/>
  <c r="L13" i="15" s="1"/>
  <c r="J12" i="15"/>
  <c r="J11" i="15"/>
  <c r="J10" i="15"/>
  <c r="L10" i="15" s="1"/>
  <c r="J9" i="15"/>
  <c r="L9" i="15" s="1"/>
  <c r="J8" i="15"/>
  <c r="L8" i="15" s="1"/>
  <c r="J7" i="15"/>
  <c r="J6" i="15"/>
  <c r="L6" i="15" s="1"/>
  <c r="J5" i="15"/>
  <c r="J5" i="16"/>
  <c r="J102" i="16"/>
  <c r="L102" i="16" s="1"/>
  <c r="J101" i="16"/>
  <c r="L101" i="16" s="1"/>
  <c r="J100" i="16"/>
  <c r="L100" i="16" s="1"/>
  <c r="J99" i="16"/>
  <c r="L99" i="16" s="1"/>
  <c r="J98" i="16"/>
  <c r="L98" i="16" s="1"/>
  <c r="J97" i="16"/>
  <c r="L97" i="16" s="1"/>
  <c r="J96" i="16"/>
  <c r="L96" i="16" s="1"/>
  <c r="J95" i="16"/>
  <c r="L95" i="16" s="1"/>
  <c r="J94" i="16"/>
  <c r="L94" i="16" s="1"/>
  <c r="J93" i="16"/>
  <c r="L93" i="16" s="1"/>
  <c r="J92" i="16"/>
  <c r="L92" i="16" s="1"/>
  <c r="J91" i="16"/>
  <c r="L91" i="16" s="1"/>
  <c r="J90" i="16"/>
  <c r="L90" i="16" s="1"/>
  <c r="J89" i="16"/>
  <c r="L89" i="16" s="1"/>
  <c r="J88" i="16"/>
  <c r="J87" i="16"/>
  <c r="J86" i="16"/>
  <c r="J85" i="16"/>
  <c r="J84" i="16"/>
  <c r="J83" i="16"/>
  <c r="J82" i="16"/>
  <c r="J81" i="16"/>
  <c r="J80" i="16"/>
  <c r="L80" i="16" s="1"/>
  <c r="J79" i="16"/>
  <c r="L79" i="16" s="1"/>
  <c r="J78" i="16"/>
  <c r="L78" i="16" s="1"/>
  <c r="J77" i="16"/>
  <c r="L77" i="16" s="1"/>
  <c r="J76" i="16"/>
  <c r="L76" i="16" s="1"/>
  <c r="J75" i="16"/>
  <c r="L75" i="16" s="1"/>
  <c r="J74" i="16"/>
  <c r="L74" i="16" s="1"/>
  <c r="J73" i="16"/>
  <c r="L73" i="16" s="1"/>
  <c r="J72" i="16"/>
  <c r="L72" i="16" s="1"/>
  <c r="J71" i="16"/>
  <c r="L71" i="16" s="1"/>
  <c r="J70" i="16"/>
  <c r="L70" i="16" s="1"/>
  <c r="J69" i="16"/>
  <c r="L69" i="16" s="1"/>
  <c r="J68" i="16"/>
  <c r="L68" i="16" s="1"/>
  <c r="J67" i="16"/>
  <c r="L67" i="16" s="1"/>
  <c r="J66" i="16"/>
  <c r="L66" i="16" s="1"/>
  <c r="J65" i="16"/>
  <c r="J64" i="16"/>
  <c r="L64" i="16" s="1"/>
  <c r="J63" i="16"/>
  <c r="L63" i="16" s="1"/>
  <c r="J62" i="16"/>
  <c r="L62" i="16" s="1"/>
  <c r="J61" i="16"/>
  <c r="L61" i="16" s="1"/>
  <c r="J60" i="16"/>
  <c r="L60" i="16" s="1"/>
  <c r="J59" i="16"/>
  <c r="J58" i="16"/>
  <c r="L58" i="16" s="1"/>
  <c r="J57" i="16"/>
  <c r="L57" i="16" s="1"/>
  <c r="J56" i="16"/>
  <c r="L56" i="16" s="1"/>
  <c r="J55" i="16"/>
  <c r="L55" i="16" s="1"/>
  <c r="J54" i="16"/>
  <c r="L54" i="16" s="1"/>
  <c r="J53" i="16"/>
  <c r="L53" i="16" s="1"/>
  <c r="J52" i="16"/>
  <c r="L52" i="16" s="1"/>
  <c r="J51" i="16"/>
  <c r="L51" i="16" s="1"/>
  <c r="J50" i="16"/>
  <c r="L50" i="16" s="1"/>
  <c r="J49" i="16"/>
  <c r="L49" i="16" s="1"/>
  <c r="J48" i="16"/>
  <c r="L48" i="16" s="1"/>
  <c r="J47" i="16"/>
  <c r="L47" i="16" s="1"/>
  <c r="J46" i="16"/>
  <c r="L46" i="16" s="1"/>
  <c r="J45" i="16"/>
  <c r="L45" i="16" s="1"/>
  <c r="J44" i="16"/>
  <c r="L44" i="16" s="1"/>
  <c r="J43" i="16"/>
  <c r="L43" i="16" s="1"/>
  <c r="J42" i="16"/>
  <c r="L42" i="16" s="1"/>
  <c r="J41" i="16"/>
  <c r="L41" i="16" s="1"/>
  <c r="J40" i="16"/>
  <c r="L40" i="16" s="1"/>
  <c r="J39" i="16"/>
  <c r="L39" i="16" s="1"/>
  <c r="J38" i="16"/>
  <c r="L38" i="16" s="1"/>
  <c r="J37" i="16"/>
  <c r="L37" i="16" s="1"/>
  <c r="J36" i="16"/>
  <c r="L36" i="16" s="1"/>
  <c r="J35" i="16"/>
  <c r="L35" i="16" s="1"/>
  <c r="J34" i="16"/>
  <c r="L34" i="16" s="1"/>
  <c r="J33" i="16"/>
  <c r="L33" i="16" s="1"/>
  <c r="J32" i="16"/>
  <c r="L32" i="16" s="1"/>
  <c r="J31" i="16"/>
  <c r="L31" i="16" s="1"/>
  <c r="J30" i="16"/>
  <c r="L30" i="16" s="1"/>
  <c r="J29" i="16"/>
  <c r="L29" i="16" s="1"/>
  <c r="J28" i="16"/>
  <c r="L28" i="16" s="1"/>
  <c r="J27" i="16"/>
  <c r="L27" i="16" s="1"/>
  <c r="J26" i="16"/>
  <c r="L26" i="16" s="1"/>
  <c r="J25" i="16"/>
  <c r="L25" i="16" s="1"/>
  <c r="J24" i="16"/>
  <c r="L24" i="16" s="1"/>
  <c r="J23" i="16"/>
  <c r="L23" i="16" s="1"/>
  <c r="J22" i="16"/>
  <c r="L22" i="16" s="1"/>
  <c r="J21" i="16"/>
  <c r="L21" i="16" s="1"/>
  <c r="J20" i="16"/>
  <c r="L20" i="16" s="1"/>
  <c r="J19" i="16"/>
  <c r="L19" i="16" s="1"/>
  <c r="J18" i="16"/>
  <c r="L18" i="16" s="1"/>
  <c r="J17" i="16"/>
  <c r="L17" i="16" s="1"/>
  <c r="J16" i="16"/>
  <c r="L16" i="16" s="1"/>
  <c r="J15" i="16"/>
  <c r="L15" i="16" s="1"/>
  <c r="J14" i="16"/>
  <c r="L14" i="16" s="1"/>
  <c r="J13" i="16"/>
  <c r="L13" i="16" s="1"/>
  <c r="J11" i="16"/>
  <c r="L11" i="16" s="1"/>
  <c r="J10" i="16"/>
  <c r="L10" i="16" s="1"/>
  <c r="J9" i="16"/>
  <c r="L9" i="16" s="1"/>
  <c r="J8" i="16"/>
  <c r="L8" i="16" s="1"/>
  <c r="J7" i="16"/>
  <c r="L7" i="16" s="1"/>
  <c r="J6" i="16"/>
  <c r="L6" i="16" s="1"/>
  <c r="I102" i="16"/>
  <c r="I101" i="16"/>
  <c r="I100" i="16"/>
  <c r="I99" i="16"/>
  <c r="I98" i="16"/>
  <c r="I96" i="16"/>
  <c r="I95" i="16"/>
  <c r="I94" i="16"/>
  <c r="I93" i="16"/>
  <c r="I92" i="16"/>
  <c r="I91" i="16"/>
  <c r="I90" i="16"/>
  <c r="I89" i="16"/>
  <c r="I88" i="16"/>
  <c r="I87" i="16"/>
  <c r="I86" i="16"/>
  <c r="I85" i="16"/>
  <c r="I84" i="16"/>
  <c r="I83" i="16"/>
  <c r="I82" i="16"/>
  <c r="I81" i="16"/>
  <c r="I80" i="16"/>
  <c r="I79" i="16"/>
  <c r="I78" i="16"/>
  <c r="I77" i="16"/>
  <c r="I76" i="16"/>
  <c r="I75" i="16"/>
  <c r="I74" i="16"/>
  <c r="I73" i="16"/>
  <c r="I72" i="16"/>
  <c r="I71" i="16"/>
  <c r="I70" i="16"/>
  <c r="I69" i="16"/>
  <c r="I68" i="16"/>
  <c r="I67" i="16"/>
  <c r="I66" i="16"/>
  <c r="I65" i="16"/>
  <c r="I64" i="16"/>
  <c r="I63" i="16"/>
  <c r="I62" i="16"/>
  <c r="I61" i="16"/>
  <c r="I60" i="16"/>
  <c r="I59" i="16"/>
  <c r="I58" i="16"/>
  <c r="I57" i="16"/>
  <c r="I56" i="16"/>
  <c r="I55" i="16"/>
  <c r="I54" i="16"/>
  <c r="I53" i="16"/>
  <c r="I52" i="16"/>
  <c r="I51" i="16"/>
  <c r="I50" i="16"/>
  <c r="I49" i="16"/>
  <c r="I48" i="16"/>
  <c r="I47" i="16"/>
  <c r="I46" i="16"/>
  <c r="I45" i="16"/>
  <c r="I44" i="16"/>
  <c r="I43" i="16"/>
  <c r="I42" i="16"/>
  <c r="I41" i="16"/>
  <c r="I40" i="16"/>
  <c r="I39" i="16"/>
  <c r="I38" i="16"/>
  <c r="I37" i="16"/>
  <c r="I36" i="16"/>
  <c r="I35" i="16"/>
  <c r="I34" i="16"/>
  <c r="I33" i="16"/>
  <c r="I32" i="16"/>
  <c r="I31" i="16"/>
  <c r="I30" i="16"/>
  <c r="I29" i="16"/>
  <c r="I28" i="16"/>
  <c r="I27" i="16"/>
  <c r="I26" i="16"/>
  <c r="I25" i="16"/>
  <c r="I24" i="16"/>
  <c r="I23" i="16"/>
  <c r="I22" i="16"/>
  <c r="I21" i="16"/>
  <c r="I20" i="16"/>
  <c r="I19" i="16"/>
  <c r="I18" i="16"/>
  <c r="I17" i="16"/>
  <c r="I16" i="16"/>
  <c r="I15" i="16"/>
  <c r="I14" i="16"/>
  <c r="I13" i="16"/>
  <c r="I11" i="16"/>
  <c r="I10" i="16"/>
  <c r="I9" i="16"/>
  <c r="I8" i="16"/>
  <c r="I7" i="16"/>
  <c r="I6" i="16"/>
  <c r="I5" i="16"/>
  <c r="I12" i="16"/>
  <c r="J12" i="16"/>
  <c r="L12" i="16" s="1"/>
  <c r="C102" i="16"/>
  <c r="B102" i="16"/>
  <c r="A102" i="16"/>
  <c r="C101" i="16"/>
  <c r="B101" i="16"/>
  <c r="A101" i="16"/>
  <c r="C100" i="16"/>
  <c r="B100" i="16"/>
  <c r="A100" i="16"/>
  <c r="C99" i="16"/>
  <c r="B99" i="16"/>
  <c r="A99" i="16"/>
  <c r="C98" i="16"/>
  <c r="B98" i="16"/>
  <c r="A98" i="16"/>
  <c r="C97" i="16"/>
  <c r="B97" i="16"/>
  <c r="A97" i="16"/>
  <c r="C96" i="16"/>
  <c r="B96" i="16"/>
  <c r="A96" i="16"/>
  <c r="C95" i="16"/>
  <c r="B95" i="16"/>
  <c r="A95" i="16"/>
  <c r="C94" i="16"/>
  <c r="B94" i="16"/>
  <c r="A94" i="16"/>
  <c r="C93" i="16"/>
  <c r="B93" i="16"/>
  <c r="A93" i="16"/>
  <c r="C92" i="16"/>
  <c r="B92" i="16"/>
  <c r="A92" i="16"/>
  <c r="C91" i="16"/>
  <c r="B91" i="16"/>
  <c r="A91" i="16"/>
  <c r="C90" i="16"/>
  <c r="B90" i="16"/>
  <c r="A90" i="16"/>
  <c r="C89" i="16"/>
  <c r="B89" i="16"/>
  <c r="A89" i="16"/>
  <c r="C88" i="16"/>
  <c r="B88" i="16"/>
  <c r="A88" i="16"/>
  <c r="C87" i="16"/>
  <c r="B87" i="16"/>
  <c r="A87" i="16"/>
  <c r="C86" i="16"/>
  <c r="B86" i="16"/>
  <c r="A86" i="16"/>
  <c r="C85" i="16"/>
  <c r="B85" i="16"/>
  <c r="A85" i="16"/>
  <c r="C84" i="16"/>
  <c r="B84" i="16"/>
  <c r="A84" i="16"/>
  <c r="C83" i="16"/>
  <c r="B83" i="16"/>
  <c r="A83" i="16"/>
  <c r="C82" i="16"/>
  <c r="B82" i="16"/>
  <c r="A82" i="16"/>
  <c r="C81" i="16"/>
  <c r="B81" i="16"/>
  <c r="A81" i="16"/>
  <c r="C80" i="16"/>
  <c r="B80" i="16"/>
  <c r="A80" i="16"/>
  <c r="C79" i="16"/>
  <c r="B79" i="16"/>
  <c r="A79" i="16"/>
  <c r="C78" i="16"/>
  <c r="B78" i="16"/>
  <c r="A78" i="16"/>
  <c r="C77" i="16"/>
  <c r="B77" i="16"/>
  <c r="A77" i="16"/>
  <c r="C76" i="16"/>
  <c r="B76" i="16"/>
  <c r="A76" i="16"/>
  <c r="C75" i="16"/>
  <c r="B75" i="16"/>
  <c r="A75" i="16"/>
  <c r="C74" i="16"/>
  <c r="B74" i="16"/>
  <c r="A74" i="16"/>
  <c r="C73" i="16"/>
  <c r="B73" i="16"/>
  <c r="A73" i="16"/>
  <c r="C72" i="16"/>
  <c r="B72" i="16"/>
  <c r="A72" i="16"/>
  <c r="C71" i="16"/>
  <c r="B71" i="16"/>
  <c r="A71" i="16"/>
  <c r="C70" i="16"/>
  <c r="B70" i="16"/>
  <c r="A70" i="16"/>
  <c r="C69" i="16"/>
  <c r="B69" i="16"/>
  <c r="A69" i="16"/>
  <c r="C68" i="16"/>
  <c r="B68" i="16"/>
  <c r="A68" i="16"/>
  <c r="C67" i="16"/>
  <c r="B67" i="16"/>
  <c r="A67" i="16"/>
  <c r="C66" i="16"/>
  <c r="B66" i="16"/>
  <c r="A66" i="16"/>
  <c r="C65" i="16"/>
  <c r="B65" i="16"/>
  <c r="A65" i="16"/>
  <c r="C64" i="16"/>
  <c r="B64" i="16"/>
  <c r="A64" i="16"/>
  <c r="C63" i="16"/>
  <c r="B63" i="16"/>
  <c r="A63" i="16"/>
  <c r="C62" i="16"/>
  <c r="B62" i="16"/>
  <c r="A62" i="16"/>
  <c r="C61" i="16"/>
  <c r="B61" i="16"/>
  <c r="A61" i="16"/>
  <c r="C60" i="16"/>
  <c r="B60" i="16"/>
  <c r="A60" i="16"/>
  <c r="C59" i="16"/>
  <c r="B59" i="16"/>
  <c r="A59" i="16"/>
  <c r="C58" i="16"/>
  <c r="B58" i="16"/>
  <c r="A58" i="16"/>
  <c r="C57" i="16"/>
  <c r="B57" i="16"/>
  <c r="A57" i="16"/>
  <c r="C56" i="16"/>
  <c r="B56" i="16"/>
  <c r="A56" i="16"/>
  <c r="C55" i="16"/>
  <c r="B55" i="16"/>
  <c r="A55" i="16"/>
  <c r="B54" i="16"/>
  <c r="A54" i="16"/>
  <c r="B53" i="16"/>
  <c r="A53" i="16"/>
  <c r="B52" i="16"/>
  <c r="A52" i="16"/>
  <c r="B51" i="16"/>
  <c r="A51" i="16"/>
  <c r="B50" i="16"/>
  <c r="A50" i="16"/>
  <c r="B49" i="16"/>
  <c r="A49" i="16"/>
  <c r="B48" i="16"/>
  <c r="A48" i="16"/>
  <c r="B47" i="16"/>
  <c r="A47" i="16"/>
  <c r="B46" i="16"/>
  <c r="A46" i="16"/>
  <c r="B45" i="16"/>
  <c r="A45" i="16"/>
  <c r="B44" i="16"/>
  <c r="A44" i="16"/>
  <c r="B43" i="16"/>
  <c r="A43" i="16"/>
  <c r="B42" i="16"/>
  <c r="A42" i="16"/>
  <c r="B41" i="16"/>
  <c r="A41" i="16"/>
  <c r="B40" i="16"/>
  <c r="A40" i="16"/>
  <c r="B39" i="16"/>
  <c r="A39" i="16"/>
  <c r="B38" i="16"/>
  <c r="A38" i="16"/>
  <c r="B37" i="16"/>
  <c r="A37" i="16"/>
  <c r="B36" i="16"/>
  <c r="A36" i="16"/>
  <c r="B35" i="16"/>
  <c r="A35" i="16"/>
  <c r="B34" i="16"/>
  <c r="A34" i="16"/>
  <c r="B33" i="16"/>
  <c r="A33" i="16"/>
  <c r="B32" i="16"/>
  <c r="A32" i="16"/>
  <c r="B31" i="16"/>
  <c r="A31" i="16"/>
  <c r="B30" i="16"/>
  <c r="A30" i="16"/>
  <c r="B29" i="16"/>
  <c r="A29" i="16"/>
  <c r="B28" i="16"/>
  <c r="A28" i="16"/>
  <c r="B27" i="16"/>
  <c r="A27" i="16"/>
  <c r="B26" i="16"/>
  <c r="A26" i="16"/>
  <c r="B25" i="16"/>
  <c r="A25" i="16"/>
  <c r="B24" i="16"/>
  <c r="A24" i="16"/>
  <c r="C23" i="16"/>
  <c r="B23" i="16"/>
  <c r="A23" i="16"/>
  <c r="C22" i="16"/>
  <c r="B22" i="16"/>
  <c r="A22" i="16"/>
  <c r="C21" i="16"/>
  <c r="B21" i="16"/>
  <c r="A21" i="16"/>
  <c r="B20" i="16"/>
  <c r="A20" i="16"/>
  <c r="B19" i="16"/>
  <c r="A19" i="16"/>
  <c r="B18" i="16"/>
  <c r="A18" i="16"/>
  <c r="B17" i="16"/>
  <c r="A17" i="16"/>
  <c r="B16" i="16"/>
  <c r="A16" i="16"/>
  <c r="C15" i="16"/>
  <c r="B15" i="16"/>
  <c r="A15" i="16"/>
  <c r="C14" i="16"/>
  <c r="B14" i="16"/>
  <c r="A14" i="16"/>
  <c r="C13" i="16"/>
  <c r="B13" i="16"/>
  <c r="A13" i="16"/>
  <c r="C12" i="16"/>
  <c r="B12" i="16"/>
  <c r="A12" i="16"/>
  <c r="C11" i="16"/>
  <c r="B11" i="16"/>
  <c r="A11" i="16"/>
  <c r="C10" i="16"/>
  <c r="B10" i="16"/>
  <c r="A10" i="16"/>
  <c r="C9" i="16"/>
  <c r="B9" i="16"/>
  <c r="A9" i="16"/>
  <c r="C8" i="16"/>
  <c r="B8" i="16"/>
  <c r="A8" i="16"/>
  <c r="C7" i="16"/>
  <c r="B7" i="16"/>
  <c r="A7" i="16"/>
  <c r="C6" i="16"/>
  <c r="B6" i="16"/>
  <c r="A6" i="16"/>
  <c r="C5" i="16"/>
  <c r="B5" i="16"/>
  <c r="A5" i="16"/>
  <c r="C105" i="15"/>
  <c r="B105" i="15"/>
  <c r="A105" i="15"/>
  <c r="C104" i="15"/>
  <c r="B104" i="15"/>
  <c r="A104" i="15"/>
  <c r="C103" i="15"/>
  <c r="B103" i="15"/>
  <c r="A103" i="15"/>
  <c r="C102" i="15"/>
  <c r="B102" i="15"/>
  <c r="A102" i="15"/>
  <c r="C101" i="15"/>
  <c r="B101" i="15"/>
  <c r="A101" i="15"/>
  <c r="C100" i="15"/>
  <c r="B100" i="15"/>
  <c r="A100" i="15"/>
  <c r="C99" i="15"/>
  <c r="B99" i="15"/>
  <c r="A99" i="15"/>
  <c r="C98" i="15"/>
  <c r="B98" i="15"/>
  <c r="A98" i="15"/>
  <c r="C97" i="15"/>
  <c r="B97" i="15"/>
  <c r="A97" i="15"/>
  <c r="C96" i="15"/>
  <c r="B96" i="15"/>
  <c r="A96" i="15"/>
  <c r="C95" i="15"/>
  <c r="B95" i="15"/>
  <c r="A95" i="15"/>
  <c r="C94" i="15"/>
  <c r="B94" i="15"/>
  <c r="A94" i="15"/>
  <c r="C93" i="15"/>
  <c r="B93" i="15"/>
  <c r="A93" i="15"/>
  <c r="C92" i="15"/>
  <c r="B92" i="15"/>
  <c r="A92" i="15"/>
  <c r="C91" i="15"/>
  <c r="B91" i="15"/>
  <c r="A91" i="15"/>
  <c r="C90" i="15"/>
  <c r="B90" i="15"/>
  <c r="A90" i="15"/>
  <c r="C89" i="15"/>
  <c r="B89" i="15"/>
  <c r="A89" i="15"/>
  <c r="C88" i="15"/>
  <c r="B88" i="15"/>
  <c r="A88" i="15"/>
  <c r="C87" i="15"/>
  <c r="B87" i="15"/>
  <c r="A87" i="15"/>
  <c r="C86" i="15"/>
  <c r="B86" i="15"/>
  <c r="A86" i="15"/>
  <c r="C85" i="15"/>
  <c r="B85" i="15"/>
  <c r="A85" i="15"/>
  <c r="C84" i="15"/>
  <c r="B84" i="15"/>
  <c r="A84" i="15"/>
  <c r="C83" i="15"/>
  <c r="B83" i="15"/>
  <c r="A83" i="15"/>
  <c r="C82" i="15"/>
  <c r="B82" i="15"/>
  <c r="A82" i="15"/>
  <c r="C81" i="15"/>
  <c r="B81" i="15"/>
  <c r="A81" i="15"/>
  <c r="C80" i="15"/>
  <c r="B80" i="15"/>
  <c r="A80" i="15"/>
  <c r="C79" i="15"/>
  <c r="B79" i="15"/>
  <c r="A79" i="15"/>
  <c r="C78" i="15"/>
  <c r="B78" i="15"/>
  <c r="A78" i="15"/>
  <c r="C77" i="15"/>
  <c r="B77" i="15"/>
  <c r="A77" i="15"/>
  <c r="C76" i="15"/>
  <c r="B76" i="15"/>
  <c r="A76" i="15"/>
  <c r="C75" i="15"/>
  <c r="B75" i="15"/>
  <c r="C74" i="15"/>
  <c r="B74" i="15"/>
  <c r="A74" i="15"/>
  <c r="C73" i="15"/>
  <c r="B73" i="15"/>
  <c r="A73" i="15"/>
  <c r="C72" i="15"/>
  <c r="B72" i="15"/>
  <c r="A72" i="15"/>
  <c r="C71" i="15"/>
  <c r="B71" i="15"/>
  <c r="A71" i="15"/>
  <c r="C70" i="15"/>
  <c r="B70" i="15"/>
  <c r="A70" i="15"/>
  <c r="C69" i="15"/>
  <c r="B69" i="15"/>
  <c r="A69" i="15"/>
  <c r="C68" i="15"/>
  <c r="B68" i="15"/>
  <c r="A68" i="15"/>
  <c r="C67" i="15"/>
  <c r="B67" i="15"/>
  <c r="A67" i="15"/>
  <c r="C66" i="15"/>
  <c r="B66" i="15"/>
  <c r="A66" i="15"/>
  <c r="C65" i="15"/>
  <c r="B65" i="15"/>
  <c r="A65" i="15"/>
  <c r="C64" i="15"/>
  <c r="B64" i="15"/>
  <c r="A64" i="15"/>
  <c r="C63" i="15"/>
  <c r="B63" i="15"/>
  <c r="A63" i="15"/>
  <c r="C62" i="15"/>
  <c r="B62" i="15"/>
  <c r="A62" i="15"/>
  <c r="C61" i="15"/>
  <c r="B61" i="15"/>
  <c r="A61" i="15"/>
  <c r="C60" i="15"/>
  <c r="B60" i="15"/>
  <c r="A60" i="15"/>
  <c r="C59" i="15"/>
  <c r="B59" i="15"/>
  <c r="A59" i="15"/>
  <c r="C58" i="15"/>
  <c r="B58" i="15"/>
  <c r="A58" i="15"/>
  <c r="C57" i="15"/>
  <c r="B57" i="15"/>
  <c r="A57" i="15"/>
  <c r="C56" i="15"/>
  <c r="B56" i="15"/>
  <c r="A56" i="15"/>
  <c r="C55" i="15"/>
  <c r="B55" i="15"/>
  <c r="A55" i="15"/>
  <c r="C54" i="15"/>
  <c r="B54" i="15"/>
  <c r="A54" i="15"/>
  <c r="C53" i="15"/>
  <c r="B53" i="15"/>
  <c r="A53" i="15"/>
  <c r="C52" i="15"/>
  <c r="B52" i="15"/>
  <c r="A52" i="15"/>
  <c r="C51" i="15"/>
  <c r="B51" i="15"/>
  <c r="A51" i="15"/>
  <c r="C50" i="15"/>
  <c r="B50" i="15"/>
  <c r="A50" i="15"/>
  <c r="C49" i="15"/>
  <c r="B49" i="15"/>
  <c r="A49" i="15"/>
  <c r="C48" i="15"/>
  <c r="B48" i="15"/>
  <c r="A48" i="15"/>
  <c r="C47" i="15"/>
  <c r="B47" i="15"/>
  <c r="A47" i="15"/>
  <c r="C46" i="15"/>
  <c r="B46" i="15"/>
  <c r="A46" i="15"/>
  <c r="C45" i="15"/>
  <c r="B45" i="15"/>
  <c r="A45" i="15"/>
  <c r="C44" i="15"/>
  <c r="B44" i="15"/>
  <c r="A44" i="15"/>
  <c r="C43" i="15"/>
  <c r="B43" i="15"/>
  <c r="A43" i="15"/>
  <c r="C42" i="15"/>
  <c r="B42" i="15"/>
  <c r="A42" i="15"/>
  <c r="C41" i="15"/>
  <c r="B41" i="15"/>
  <c r="A41" i="15"/>
  <c r="C40" i="15"/>
  <c r="B40" i="15"/>
  <c r="A40" i="15"/>
  <c r="C39" i="15"/>
  <c r="B39" i="15"/>
  <c r="A39" i="15"/>
  <c r="C38" i="15"/>
  <c r="B38" i="15"/>
  <c r="A38" i="15"/>
  <c r="C37" i="15"/>
  <c r="B37" i="15"/>
  <c r="A37" i="15"/>
  <c r="C36" i="15"/>
  <c r="B36" i="15"/>
  <c r="A36" i="15"/>
  <c r="C35" i="15"/>
  <c r="B35" i="15"/>
  <c r="A35" i="15"/>
  <c r="C34" i="15"/>
  <c r="B34" i="15"/>
  <c r="A34" i="15"/>
  <c r="C33" i="15"/>
  <c r="B33" i="15"/>
  <c r="A33" i="15"/>
  <c r="C32" i="15"/>
  <c r="B32" i="15"/>
  <c r="A32" i="15"/>
  <c r="C31" i="15"/>
  <c r="B31" i="15"/>
  <c r="A31" i="15"/>
  <c r="C30" i="15"/>
  <c r="B30" i="15"/>
  <c r="A30" i="15"/>
  <c r="C29" i="15"/>
  <c r="B29" i="15"/>
  <c r="A29" i="15"/>
  <c r="C28" i="15"/>
  <c r="B28" i="15"/>
  <c r="A28" i="15"/>
  <c r="C27" i="15"/>
  <c r="B27" i="15"/>
  <c r="A27" i="15"/>
  <c r="C26" i="15"/>
  <c r="B26" i="15"/>
  <c r="A26" i="15"/>
  <c r="C25" i="15"/>
  <c r="B25" i="15"/>
  <c r="A25" i="15"/>
  <c r="C24" i="15"/>
  <c r="B24" i="15"/>
  <c r="A24" i="15"/>
  <c r="C23" i="15"/>
  <c r="B23" i="15"/>
  <c r="A23" i="15"/>
  <c r="C22" i="15"/>
  <c r="B22" i="15"/>
  <c r="A22" i="15"/>
  <c r="C21" i="15"/>
  <c r="B21" i="15"/>
  <c r="A21" i="15"/>
  <c r="C20" i="15"/>
  <c r="B20" i="15"/>
  <c r="A20" i="15"/>
  <c r="C19" i="15"/>
  <c r="B19" i="15"/>
  <c r="A19" i="15"/>
  <c r="C18" i="15"/>
  <c r="B18" i="15"/>
  <c r="A18" i="15"/>
  <c r="C17" i="15"/>
  <c r="B17" i="15"/>
  <c r="A17" i="15"/>
  <c r="C16" i="15"/>
  <c r="B16" i="15"/>
  <c r="A16" i="15"/>
  <c r="C15" i="15"/>
  <c r="B15" i="15"/>
  <c r="A15" i="15"/>
  <c r="C14" i="15"/>
  <c r="B14" i="15"/>
  <c r="A14" i="15"/>
  <c r="C13" i="15"/>
  <c r="B13" i="15"/>
  <c r="A13" i="15"/>
  <c r="C12" i="15"/>
  <c r="B12" i="15"/>
  <c r="A12" i="15"/>
  <c r="C11" i="15"/>
  <c r="B11" i="15"/>
  <c r="A11" i="15"/>
  <c r="C10" i="15"/>
  <c r="B10" i="15"/>
  <c r="A10" i="15"/>
  <c r="C9" i="15"/>
  <c r="B9" i="15"/>
  <c r="A9" i="15"/>
  <c r="C8" i="15"/>
  <c r="B8" i="15"/>
  <c r="A8" i="15"/>
  <c r="C7" i="15"/>
  <c r="B7" i="15"/>
  <c r="A7" i="15"/>
  <c r="C6" i="15"/>
  <c r="B6" i="15"/>
  <c r="A6" i="15"/>
  <c r="C5" i="15"/>
  <c r="B5" i="15"/>
  <c r="A5" i="15"/>
  <c r="H102" i="7" l="1"/>
  <c r="J106" i="15"/>
  <c r="L5" i="16"/>
  <c r="J103" i="16"/>
  <c r="I103" i="16"/>
  <c r="H105" i="6"/>
  <c r="L87" i="16"/>
  <c r="L84" i="16"/>
  <c r="L88" i="16"/>
  <c r="L65" i="16"/>
  <c r="L81" i="16"/>
  <c r="L85" i="16"/>
  <c r="L59" i="16"/>
  <c r="L83" i="16"/>
  <c r="L82" i="16"/>
  <c r="L86" i="16"/>
  <c r="L5" i="15"/>
  <c r="L7" i="15"/>
  <c r="L12" i="15"/>
  <c r="L11" i="15"/>
  <c r="L71" i="15"/>
  <c r="L103" i="15"/>
  <c r="L73" i="15"/>
  <c r="L105" i="15"/>
  <c r="L61" i="15"/>
  <c r="L69" i="15"/>
  <c r="L72" i="15"/>
  <c r="L76" i="15"/>
  <c r="L104" i="15"/>
  <c r="L66" i="15"/>
  <c r="L70" i="15"/>
  <c r="L74" i="15"/>
  <c r="L102" i="15"/>
  <c r="H74" i="21"/>
  <c r="H73" i="21"/>
  <c r="H72" i="21"/>
  <c r="H70" i="21"/>
  <c r="H69" i="21"/>
  <c r="H68" i="21"/>
  <c r="H67" i="21"/>
  <c r="H64" i="21"/>
  <c r="H59" i="21"/>
  <c r="H5" i="21"/>
  <c r="H73" i="22"/>
  <c r="H72" i="22"/>
  <c r="H71" i="22"/>
  <c r="H69" i="22"/>
  <c r="H68" i="22"/>
  <c r="H67" i="22"/>
  <c r="H66" i="22"/>
  <c r="H63" i="22"/>
  <c r="H58" i="22"/>
  <c r="H5" i="22"/>
  <c r="H10" i="22"/>
  <c r="C100" i="22"/>
  <c r="B100" i="22"/>
  <c r="A100" i="22"/>
  <c r="C99" i="22"/>
  <c r="B99" i="22"/>
  <c r="A99" i="22"/>
  <c r="C98" i="22"/>
  <c r="B98" i="22"/>
  <c r="A98" i="22"/>
  <c r="C97" i="22"/>
  <c r="B97" i="22"/>
  <c r="A97" i="22"/>
  <c r="C96" i="22"/>
  <c r="B96" i="22"/>
  <c r="A96" i="22"/>
  <c r="C95" i="22"/>
  <c r="B95" i="22"/>
  <c r="A95" i="22"/>
  <c r="C94" i="22"/>
  <c r="B94" i="22"/>
  <c r="A94" i="22"/>
  <c r="C93" i="22"/>
  <c r="B93" i="22"/>
  <c r="A93" i="22"/>
  <c r="C92" i="22"/>
  <c r="B92" i="22"/>
  <c r="A92" i="22"/>
  <c r="C91" i="22"/>
  <c r="B91" i="22"/>
  <c r="A91" i="22"/>
  <c r="C90" i="22"/>
  <c r="B90" i="22"/>
  <c r="A90" i="22"/>
  <c r="C89" i="22"/>
  <c r="B89" i="22"/>
  <c r="A89" i="22"/>
  <c r="C88" i="22"/>
  <c r="B88" i="22"/>
  <c r="A88" i="22"/>
  <c r="C87" i="22"/>
  <c r="B87" i="22"/>
  <c r="A87" i="22"/>
  <c r="C86" i="22"/>
  <c r="B86" i="22"/>
  <c r="A86" i="22"/>
  <c r="C85" i="22"/>
  <c r="B85" i="22"/>
  <c r="A85" i="22"/>
  <c r="C84" i="22"/>
  <c r="B84" i="22"/>
  <c r="A84" i="22"/>
  <c r="C83" i="22"/>
  <c r="B83" i="22"/>
  <c r="A83" i="22"/>
  <c r="C82" i="22"/>
  <c r="B82" i="22"/>
  <c r="A82" i="22"/>
  <c r="C81" i="22"/>
  <c r="B81" i="22"/>
  <c r="A81" i="22"/>
  <c r="C80" i="22"/>
  <c r="B80" i="22"/>
  <c r="A80" i="22"/>
  <c r="C79" i="22"/>
  <c r="B79" i="22"/>
  <c r="A79" i="22"/>
  <c r="C78" i="22"/>
  <c r="B78" i="22"/>
  <c r="A78" i="22"/>
  <c r="C77" i="22"/>
  <c r="B77" i="22"/>
  <c r="A77" i="22"/>
  <c r="C76" i="22"/>
  <c r="B76" i="22"/>
  <c r="A76" i="22"/>
  <c r="C75" i="22"/>
  <c r="B75" i="22"/>
  <c r="A75" i="22"/>
  <c r="C74" i="22"/>
  <c r="B74" i="22"/>
  <c r="A74" i="22"/>
  <c r="C73" i="22"/>
  <c r="B73" i="22"/>
  <c r="A73" i="22"/>
  <c r="C72" i="22"/>
  <c r="B72" i="22"/>
  <c r="A72" i="22"/>
  <c r="C71" i="22"/>
  <c r="B71" i="22"/>
  <c r="A71" i="22"/>
  <c r="C70" i="22"/>
  <c r="B70" i="22"/>
  <c r="A70" i="22"/>
  <c r="C69" i="22"/>
  <c r="B69" i="22"/>
  <c r="A69" i="22"/>
  <c r="C68" i="22"/>
  <c r="B68" i="22"/>
  <c r="A68" i="22"/>
  <c r="C67" i="22"/>
  <c r="B67" i="22"/>
  <c r="A67" i="22"/>
  <c r="C66" i="22"/>
  <c r="B66" i="22"/>
  <c r="A66" i="22"/>
  <c r="C65" i="22"/>
  <c r="B65" i="22"/>
  <c r="A65" i="22"/>
  <c r="C64" i="22"/>
  <c r="B64" i="22"/>
  <c r="A64" i="22"/>
  <c r="C63" i="22"/>
  <c r="B63" i="22"/>
  <c r="A63" i="22"/>
  <c r="C62" i="22"/>
  <c r="B62" i="22"/>
  <c r="A62" i="22"/>
  <c r="C61" i="22"/>
  <c r="B61" i="22"/>
  <c r="A61" i="22"/>
  <c r="C60" i="22"/>
  <c r="B60" i="22"/>
  <c r="A60" i="22"/>
  <c r="C59" i="22"/>
  <c r="B59" i="22"/>
  <c r="A59" i="22"/>
  <c r="C58" i="22"/>
  <c r="B58" i="22"/>
  <c r="A58" i="22"/>
  <c r="C57" i="22"/>
  <c r="B57" i="22"/>
  <c r="A57" i="22"/>
  <c r="C56" i="22"/>
  <c r="B56" i="22"/>
  <c r="A56" i="22"/>
  <c r="C55" i="22"/>
  <c r="B55" i="22"/>
  <c r="A55" i="22"/>
  <c r="C54" i="22"/>
  <c r="B54" i="22"/>
  <c r="A54" i="22"/>
  <c r="C53" i="22"/>
  <c r="B53" i="22"/>
  <c r="A53" i="22"/>
  <c r="C52" i="22"/>
  <c r="B52" i="22"/>
  <c r="A52" i="22"/>
  <c r="C51" i="22"/>
  <c r="B51" i="22"/>
  <c r="A51" i="22"/>
  <c r="C50" i="22"/>
  <c r="B50" i="22"/>
  <c r="A50" i="22"/>
  <c r="C49" i="22"/>
  <c r="B49" i="22"/>
  <c r="A49" i="22"/>
  <c r="C48" i="22"/>
  <c r="B48" i="22"/>
  <c r="A48" i="22"/>
  <c r="C47" i="22"/>
  <c r="B47" i="22"/>
  <c r="A47" i="22"/>
  <c r="C46" i="22"/>
  <c r="B46" i="22"/>
  <c r="A46" i="22"/>
  <c r="C45" i="22"/>
  <c r="B45" i="22"/>
  <c r="A45" i="22"/>
  <c r="C44" i="22"/>
  <c r="B44" i="22"/>
  <c r="A44" i="22"/>
  <c r="C43" i="22"/>
  <c r="B43" i="22"/>
  <c r="A43" i="22"/>
  <c r="C42" i="22"/>
  <c r="B42" i="22"/>
  <c r="A42" i="22"/>
  <c r="C41" i="22"/>
  <c r="B41" i="22"/>
  <c r="A41" i="22"/>
  <c r="C40" i="22"/>
  <c r="B40" i="22"/>
  <c r="A40" i="22"/>
  <c r="C39" i="22"/>
  <c r="B39" i="22"/>
  <c r="A39" i="22"/>
  <c r="C38" i="22"/>
  <c r="B38" i="22"/>
  <c r="A38" i="22"/>
  <c r="C37" i="22"/>
  <c r="B37" i="22"/>
  <c r="A37" i="22"/>
  <c r="C36" i="22"/>
  <c r="B36" i="22"/>
  <c r="A36" i="22"/>
  <c r="C35" i="22"/>
  <c r="B35" i="22"/>
  <c r="A35" i="22"/>
  <c r="C34" i="22"/>
  <c r="B34" i="22"/>
  <c r="A34" i="22"/>
  <c r="C33" i="22"/>
  <c r="B33" i="22"/>
  <c r="A33" i="22"/>
  <c r="C32" i="22"/>
  <c r="B32" i="22"/>
  <c r="A32" i="22"/>
  <c r="C31" i="22"/>
  <c r="B31" i="22"/>
  <c r="A31" i="22"/>
  <c r="C30" i="22"/>
  <c r="B30" i="22"/>
  <c r="A30" i="22"/>
  <c r="C29" i="22"/>
  <c r="B29" i="22"/>
  <c r="A29" i="22"/>
  <c r="C28" i="22"/>
  <c r="B28" i="22"/>
  <c r="A28" i="22"/>
  <c r="C27" i="22"/>
  <c r="B27" i="22"/>
  <c r="A27" i="22"/>
  <c r="C26" i="22"/>
  <c r="B26" i="22"/>
  <c r="A26" i="22"/>
  <c r="C25" i="22"/>
  <c r="B25" i="22"/>
  <c r="A25" i="22"/>
  <c r="C24" i="22"/>
  <c r="B24" i="22"/>
  <c r="A24" i="22"/>
  <c r="C23" i="22"/>
  <c r="B23" i="22"/>
  <c r="A23" i="22"/>
  <c r="C22" i="22"/>
  <c r="B22" i="22"/>
  <c r="A22" i="22"/>
  <c r="C21" i="22"/>
  <c r="B21" i="22"/>
  <c r="A21" i="22"/>
  <c r="C20" i="22"/>
  <c r="B20" i="22"/>
  <c r="A20" i="22"/>
  <c r="C19" i="22"/>
  <c r="B19" i="22"/>
  <c r="A19" i="22"/>
  <c r="C18" i="22"/>
  <c r="B18" i="22"/>
  <c r="A18" i="22"/>
  <c r="C17" i="22"/>
  <c r="B17" i="22"/>
  <c r="A17" i="22"/>
  <c r="C16" i="22"/>
  <c r="B16" i="22"/>
  <c r="A16" i="22"/>
  <c r="C15" i="22"/>
  <c r="B15" i="22"/>
  <c r="A15" i="22"/>
  <c r="C14" i="22"/>
  <c r="B14" i="22"/>
  <c r="A14" i="22"/>
  <c r="C13" i="22"/>
  <c r="B13" i="22"/>
  <c r="A13" i="22"/>
  <c r="C12" i="22"/>
  <c r="B12" i="22"/>
  <c r="A12" i="22"/>
  <c r="C11" i="22"/>
  <c r="B11" i="22"/>
  <c r="A11" i="22"/>
  <c r="C10" i="22"/>
  <c r="B10" i="22"/>
  <c r="A10" i="22"/>
  <c r="C9" i="22"/>
  <c r="B9" i="22"/>
  <c r="A9" i="22"/>
  <c r="C8" i="22"/>
  <c r="B8" i="22"/>
  <c r="A8" i="22"/>
  <c r="C7" i="22"/>
  <c r="B7" i="22"/>
  <c r="A7" i="22"/>
  <c r="C6" i="22"/>
  <c r="B6" i="22"/>
  <c r="A6" i="22"/>
  <c r="C5" i="22"/>
  <c r="B5" i="22"/>
  <c r="A5" i="22"/>
  <c r="C4" i="22"/>
  <c r="B4" i="22"/>
  <c r="A4" i="22"/>
  <c r="C3" i="22"/>
  <c r="B3" i="22"/>
  <c r="A3" i="22"/>
  <c r="C103" i="21"/>
  <c r="B103" i="21"/>
  <c r="A103" i="21"/>
  <c r="C102" i="21"/>
  <c r="B102" i="21"/>
  <c r="A102" i="21"/>
  <c r="C101" i="21"/>
  <c r="B101" i="21"/>
  <c r="A101" i="21"/>
  <c r="C100" i="21"/>
  <c r="B100" i="21"/>
  <c r="A100" i="21"/>
  <c r="C99" i="21"/>
  <c r="B99" i="21"/>
  <c r="A99" i="21"/>
  <c r="C98" i="21"/>
  <c r="B98" i="21"/>
  <c r="A98" i="21"/>
  <c r="C97" i="21"/>
  <c r="B97" i="21"/>
  <c r="A97" i="21"/>
  <c r="C96" i="21"/>
  <c r="B96" i="21"/>
  <c r="A96" i="21"/>
  <c r="C95" i="21"/>
  <c r="B95" i="21"/>
  <c r="A95" i="21"/>
  <c r="C94" i="21"/>
  <c r="B94" i="21"/>
  <c r="A94" i="21"/>
  <c r="C93" i="21"/>
  <c r="B93" i="21"/>
  <c r="A93" i="21"/>
  <c r="C92" i="21"/>
  <c r="B92" i="21"/>
  <c r="A92" i="21"/>
  <c r="C91" i="21"/>
  <c r="B91" i="21"/>
  <c r="A91" i="21"/>
  <c r="C90" i="21"/>
  <c r="B90" i="21"/>
  <c r="A90" i="21"/>
  <c r="C89" i="21"/>
  <c r="B89" i="21"/>
  <c r="A89" i="21"/>
  <c r="C88" i="21"/>
  <c r="B88" i="21"/>
  <c r="A88" i="21"/>
  <c r="C87" i="21"/>
  <c r="B87" i="21"/>
  <c r="A87" i="21"/>
  <c r="C86" i="21"/>
  <c r="B86" i="21"/>
  <c r="A86" i="21"/>
  <c r="C85" i="21"/>
  <c r="B85" i="21"/>
  <c r="A85" i="21"/>
  <c r="C84" i="21"/>
  <c r="B84" i="21"/>
  <c r="A84" i="21"/>
  <c r="C83" i="21"/>
  <c r="B83" i="21"/>
  <c r="A83" i="21"/>
  <c r="C82" i="21"/>
  <c r="B82" i="21"/>
  <c r="A82" i="21"/>
  <c r="C81" i="21"/>
  <c r="B81" i="21"/>
  <c r="A81" i="21"/>
  <c r="C80" i="21"/>
  <c r="B80" i="21"/>
  <c r="A80" i="21"/>
  <c r="C79" i="21"/>
  <c r="B79" i="21"/>
  <c r="A79" i="21"/>
  <c r="C78" i="21"/>
  <c r="B78" i="21"/>
  <c r="A78" i="21"/>
  <c r="C77" i="21"/>
  <c r="B77" i="21"/>
  <c r="A77" i="21"/>
  <c r="C76" i="21"/>
  <c r="B76" i="21"/>
  <c r="A76" i="21"/>
  <c r="C75" i="21"/>
  <c r="B75" i="21"/>
  <c r="A75" i="21"/>
  <c r="C74" i="21"/>
  <c r="B74" i="21"/>
  <c r="A74" i="21"/>
  <c r="C73" i="21"/>
  <c r="B73" i="21"/>
  <c r="A73" i="21"/>
  <c r="C72" i="21"/>
  <c r="B72" i="21"/>
  <c r="A72" i="21"/>
  <c r="C71" i="21"/>
  <c r="B71" i="21"/>
  <c r="A71" i="21"/>
  <c r="C70" i="21"/>
  <c r="B70" i="21"/>
  <c r="A70" i="21"/>
  <c r="C69" i="21"/>
  <c r="B69" i="21"/>
  <c r="A69" i="21"/>
  <c r="C68" i="21"/>
  <c r="B68" i="21"/>
  <c r="A68" i="21"/>
  <c r="C67" i="21"/>
  <c r="B67" i="21"/>
  <c r="A67" i="21"/>
  <c r="C66" i="21"/>
  <c r="B66" i="21"/>
  <c r="A66" i="21"/>
  <c r="C65" i="21"/>
  <c r="B65" i="21"/>
  <c r="A65" i="21"/>
  <c r="C64" i="21"/>
  <c r="B64" i="21"/>
  <c r="A64" i="21"/>
  <c r="C63" i="21"/>
  <c r="B63" i="21"/>
  <c r="A63" i="21"/>
  <c r="C62" i="21"/>
  <c r="B62" i="21"/>
  <c r="A62" i="21"/>
  <c r="C61" i="21"/>
  <c r="B61" i="21"/>
  <c r="A61" i="21"/>
  <c r="C60" i="21"/>
  <c r="B60" i="21"/>
  <c r="A60" i="21"/>
  <c r="C59" i="21"/>
  <c r="B59" i="21"/>
  <c r="A59" i="21"/>
  <c r="C58" i="21"/>
  <c r="B58" i="21"/>
  <c r="A58" i="21"/>
  <c r="C57" i="21"/>
  <c r="B57" i="21"/>
  <c r="A57" i="21"/>
  <c r="C56" i="21"/>
  <c r="B56" i="21"/>
  <c r="A56" i="21"/>
  <c r="C55" i="21"/>
  <c r="B55" i="21"/>
  <c r="A55" i="21"/>
  <c r="C54" i="21"/>
  <c r="B54" i="21"/>
  <c r="A54" i="21"/>
  <c r="C53" i="21"/>
  <c r="B53" i="21"/>
  <c r="A53" i="21"/>
  <c r="C52" i="21"/>
  <c r="B52" i="21"/>
  <c r="A52" i="21"/>
  <c r="C51" i="21"/>
  <c r="B51" i="21"/>
  <c r="A51" i="21"/>
  <c r="C50" i="21"/>
  <c r="B50" i="21"/>
  <c r="A50" i="21"/>
  <c r="C49" i="21"/>
  <c r="B49" i="21"/>
  <c r="A49" i="21"/>
  <c r="C48" i="21"/>
  <c r="B48" i="21"/>
  <c r="A48" i="21"/>
  <c r="C47" i="21"/>
  <c r="B47" i="21"/>
  <c r="A47" i="21"/>
  <c r="C46" i="21"/>
  <c r="B46" i="21"/>
  <c r="A46" i="21"/>
  <c r="C45" i="21"/>
  <c r="B45" i="21"/>
  <c r="A45" i="21"/>
  <c r="C44" i="21"/>
  <c r="B44" i="21"/>
  <c r="A44" i="21"/>
  <c r="C43" i="21"/>
  <c r="B43" i="21"/>
  <c r="A43" i="21"/>
  <c r="C42" i="21"/>
  <c r="B42" i="21"/>
  <c r="A42" i="21"/>
  <c r="C41" i="21"/>
  <c r="B41" i="21"/>
  <c r="A41" i="21"/>
  <c r="C40" i="21"/>
  <c r="B40" i="21"/>
  <c r="A40" i="21"/>
  <c r="C39" i="21"/>
  <c r="B39" i="21"/>
  <c r="A39" i="21"/>
  <c r="C38" i="21"/>
  <c r="B38" i="21"/>
  <c r="A38" i="21"/>
  <c r="C37" i="21"/>
  <c r="B37" i="21"/>
  <c r="A37" i="21"/>
  <c r="C36" i="21"/>
  <c r="B36" i="21"/>
  <c r="A36" i="21"/>
  <c r="C35" i="21"/>
  <c r="B35" i="21"/>
  <c r="A35" i="21"/>
  <c r="C34" i="21"/>
  <c r="B34" i="21"/>
  <c r="A34" i="21"/>
  <c r="C33" i="21"/>
  <c r="B33" i="21"/>
  <c r="A33" i="21"/>
  <c r="C32" i="21"/>
  <c r="B32" i="21"/>
  <c r="A32" i="21"/>
  <c r="C31" i="21"/>
  <c r="B31" i="21"/>
  <c r="A31" i="21"/>
  <c r="C30" i="21"/>
  <c r="B30" i="21"/>
  <c r="A30" i="21"/>
  <c r="C29" i="21"/>
  <c r="B29" i="21"/>
  <c r="A29" i="21"/>
  <c r="C28" i="21"/>
  <c r="B28" i="21"/>
  <c r="A28" i="21"/>
  <c r="C27" i="21"/>
  <c r="B27" i="21"/>
  <c r="A27" i="21"/>
  <c r="C26" i="21"/>
  <c r="B26" i="21"/>
  <c r="A26" i="21"/>
  <c r="C25" i="21"/>
  <c r="B25" i="21"/>
  <c r="A25" i="21"/>
  <c r="C24" i="21"/>
  <c r="B24" i="21"/>
  <c r="A24" i="21"/>
  <c r="C23" i="21"/>
  <c r="B23" i="21"/>
  <c r="A23" i="21"/>
  <c r="C22" i="21"/>
  <c r="B22" i="21"/>
  <c r="A22" i="21"/>
  <c r="C21" i="21"/>
  <c r="B21" i="21"/>
  <c r="A21" i="21"/>
  <c r="C20" i="21"/>
  <c r="B20" i="21"/>
  <c r="A20" i="21"/>
  <c r="C19" i="21"/>
  <c r="B19" i="21"/>
  <c r="A19" i="21"/>
  <c r="C18" i="21"/>
  <c r="B18" i="21"/>
  <c r="A18" i="21"/>
  <c r="C17" i="21"/>
  <c r="B17" i="21"/>
  <c r="A17" i="21"/>
  <c r="C16" i="21"/>
  <c r="B16" i="21"/>
  <c r="A16" i="21"/>
  <c r="C15" i="21"/>
  <c r="B15" i="21"/>
  <c r="A15" i="21"/>
  <c r="C14" i="21"/>
  <c r="B14" i="21"/>
  <c r="A14" i="21"/>
  <c r="C13" i="21"/>
  <c r="B13" i="21"/>
  <c r="A13" i="21"/>
  <c r="C12" i="21"/>
  <c r="B12" i="21"/>
  <c r="A12" i="21"/>
  <c r="C11" i="21"/>
  <c r="B11" i="21"/>
  <c r="A11" i="21"/>
  <c r="C10" i="21"/>
  <c r="B10" i="21"/>
  <c r="A10" i="21"/>
  <c r="C9" i="21"/>
  <c r="B9" i="21"/>
  <c r="A9" i="21"/>
  <c r="C8" i="21"/>
  <c r="B8" i="21"/>
  <c r="A8" i="21"/>
  <c r="C7" i="21"/>
  <c r="B7" i="21"/>
  <c r="A7" i="21"/>
  <c r="C6" i="21"/>
  <c r="B6" i="21"/>
  <c r="A6" i="21"/>
  <c r="C5" i="21"/>
  <c r="B5" i="21"/>
  <c r="A5" i="21"/>
  <c r="C4" i="21"/>
  <c r="B4" i="21"/>
  <c r="A4" i="21"/>
  <c r="C3" i="21"/>
  <c r="B3" i="21"/>
  <c r="A3" i="21"/>
  <c r="P75" i="13"/>
  <c r="T75" i="13" s="1"/>
  <c r="N75" i="13"/>
  <c r="G75" i="13"/>
  <c r="P74" i="13"/>
  <c r="T74" i="13" s="1"/>
  <c r="N74" i="13"/>
  <c r="G74" i="13"/>
  <c r="P73" i="13"/>
  <c r="T73" i="13" s="1"/>
  <c r="N73" i="13"/>
  <c r="G73" i="13"/>
  <c r="P71" i="13"/>
  <c r="T71" i="13" s="1"/>
  <c r="N71" i="13"/>
  <c r="G71" i="13"/>
  <c r="P70" i="13"/>
  <c r="T70" i="13" s="1"/>
  <c r="N70" i="13"/>
  <c r="G70" i="13"/>
  <c r="P69" i="13"/>
  <c r="T69" i="13" s="1"/>
  <c r="N69" i="13"/>
  <c r="G69" i="13"/>
  <c r="P68" i="13"/>
  <c r="T68" i="13" s="1"/>
  <c r="N68" i="13"/>
  <c r="P65" i="13"/>
  <c r="T65" i="13" s="1"/>
  <c r="N65" i="13"/>
  <c r="G65" i="13"/>
  <c r="P60" i="13"/>
  <c r="T60" i="13" s="1"/>
  <c r="N60" i="13"/>
  <c r="G60" i="13"/>
  <c r="P6" i="13"/>
  <c r="N6" i="13"/>
  <c r="G6" i="13"/>
  <c r="W11" i="14"/>
  <c r="W102" i="14" s="1"/>
  <c r="P74" i="14"/>
  <c r="T74" i="14" s="1"/>
  <c r="P73" i="14"/>
  <c r="T73" i="14" s="1"/>
  <c r="P72" i="14"/>
  <c r="T72" i="14" s="1"/>
  <c r="P70" i="14"/>
  <c r="T70" i="14" s="1"/>
  <c r="P69" i="14"/>
  <c r="T69" i="14" s="1"/>
  <c r="P68" i="14"/>
  <c r="T68" i="14" s="1"/>
  <c r="P67" i="14"/>
  <c r="T67" i="14" s="1"/>
  <c r="P64" i="14"/>
  <c r="T64" i="14" s="1"/>
  <c r="P59" i="14"/>
  <c r="T59" i="14" s="1"/>
  <c r="P6" i="14"/>
  <c r="P11" i="14"/>
  <c r="T11" i="14" s="1"/>
  <c r="G74" i="14"/>
  <c r="G73" i="14"/>
  <c r="G72" i="14"/>
  <c r="G70" i="14"/>
  <c r="G69" i="14"/>
  <c r="G67" i="14"/>
  <c r="G64" i="14"/>
  <c r="G59" i="14"/>
  <c r="G6" i="14"/>
  <c r="N74" i="14"/>
  <c r="N73" i="14"/>
  <c r="N72" i="14"/>
  <c r="N70" i="14"/>
  <c r="N69" i="14"/>
  <c r="N68" i="14"/>
  <c r="N67" i="14"/>
  <c r="N64" i="14"/>
  <c r="N59" i="14"/>
  <c r="N6" i="14"/>
  <c r="N102" i="14" s="1"/>
  <c r="D11" i="14"/>
  <c r="C101" i="14"/>
  <c r="B101" i="14"/>
  <c r="A101" i="14"/>
  <c r="C100" i="14"/>
  <c r="B100" i="14"/>
  <c r="A100" i="14"/>
  <c r="C99" i="14"/>
  <c r="B99" i="14"/>
  <c r="A99" i="14"/>
  <c r="C98" i="14"/>
  <c r="B98" i="14"/>
  <c r="A98" i="14"/>
  <c r="C97" i="14"/>
  <c r="B97" i="14"/>
  <c r="A97" i="14"/>
  <c r="C96" i="14"/>
  <c r="B96" i="14"/>
  <c r="A96" i="14"/>
  <c r="C95" i="14"/>
  <c r="B95" i="14"/>
  <c r="A95" i="14"/>
  <c r="C94" i="14"/>
  <c r="B94" i="14"/>
  <c r="A94" i="14"/>
  <c r="C93" i="14"/>
  <c r="B93" i="14"/>
  <c r="A93" i="14"/>
  <c r="C92" i="14"/>
  <c r="B92" i="14"/>
  <c r="A92" i="14"/>
  <c r="C91" i="14"/>
  <c r="B91" i="14"/>
  <c r="A91" i="14"/>
  <c r="C90" i="14"/>
  <c r="B90" i="14"/>
  <c r="A90" i="14"/>
  <c r="C89" i="14"/>
  <c r="B89" i="14"/>
  <c r="A89" i="14"/>
  <c r="C88" i="14"/>
  <c r="B88" i="14"/>
  <c r="A88" i="14"/>
  <c r="C87" i="14"/>
  <c r="B87" i="14"/>
  <c r="A87" i="14"/>
  <c r="C86" i="14"/>
  <c r="B86" i="14"/>
  <c r="A86" i="14"/>
  <c r="C85" i="14"/>
  <c r="B85" i="14"/>
  <c r="A85" i="14"/>
  <c r="C84" i="14"/>
  <c r="B84" i="14"/>
  <c r="A84" i="14"/>
  <c r="C83" i="14"/>
  <c r="B83" i="14"/>
  <c r="A83" i="14"/>
  <c r="C82" i="14"/>
  <c r="B82" i="14"/>
  <c r="A82" i="14"/>
  <c r="C81" i="14"/>
  <c r="B81" i="14"/>
  <c r="A81" i="14"/>
  <c r="C80" i="14"/>
  <c r="B80" i="14"/>
  <c r="A80" i="14"/>
  <c r="C79" i="14"/>
  <c r="B79" i="14"/>
  <c r="A79" i="14"/>
  <c r="C78" i="14"/>
  <c r="B78" i="14"/>
  <c r="A78" i="14"/>
  <c r="C77" i="14"/>
  <c r="B77" i="14"/>
  <c r="A77" i="14"/>
  <c r="C76" i="14"/>
  <c r="B76" i="14"/>
  <c r="A76" i="14"/>
  <c r="C75" i="14"/>
  <c r="B75" i="14"/>
  <c r="A75" i="14"/>
  <c r="C74" i="14"/>
  <c r="B74" i="14"/>
  <c r="A74" i="14"/>
  <c r="C73" i="14"/>
  <c r="B73" i="14"/>
  <c r="A73" i="14"/>
  <c r="C72" i="14"/>
  <c r="B72" i="14"/>
  <c r="A72" i="14"/>
  <c r="C71" i="14"/>
  <c r="B71" i="14"/>
  <c r="A71" i="14"/>
  <c r="C70" i="14"/>
  <c r="B70" i="14"/>
  <c r="A70" i="14"/>
  <c r="C69" i="14"/>
  <c r="B69" i="14"/>
  <c r="A69" i="14"/>
  <c r="C68" i="14"/>
  <c r="B68" i="14"/>
  <c r="A68" i="14"/>
  <c r="C67" i="14"/>
  <c r="B67" i="14"/>
  <c r="A67" i="14"/>
  <c r="C66" i="14"/>
  <c r="B66" i="14"/>
  <c r="A66" i="14"/>
  <c r="C65" i="14"/>
  <c r="B65" i="14"/>
  <c r="A65" i="14"/>
  <c r="C64" i="14"/>
  <c r="B64" i="14"/>
  <c r="A64" i="14"/>
  <c r="C63" i="14"/>
  <c r="B63" i="14"/>
  <c r="A63" i="14"/>
  <c r="C62" i="14"/>
  <c r="B62" i="14"/>
  <c r="A62" i="14"/>
  <c r="C61" i="14"/>
  <c r="B61" i="14"/>
  <c r="A61" i="14"/>
  <c r="C60" i="14"/>
  <c r="B60" i="14"/>
  <c r="A60" i="14"/>
  <c r="C59" i="14"/>
  <c r="B59" i="14"/>
  <c r="A59" i="14"/>
  <c r="C58" i="14"/>
  <c r="B58" i="14"/>
  <c r="A58" i="14"/>
  <c r="C57" i="14"/>
  <c r="B57" i="14"/>
  <c r="A57" i="14"/>
  <c r="C56" i="14"/>
  <c r="B56" i="14"/>
  <c r="A56" i="14"/>
  <c r="C55" i="14"/>
  <c r="B55" i="14"/>
  <c r="A55" i="14"/>
  <c r="C54" i="14"/>
  <c r="B54" i="14"/>
  <c r="A54" i="14"/>
  <c r="C53" i="14"/>
  <c r="B53" i="14"/>
  <c r="A53" i="14"/>
  <c r="C52" i="14"/>
  <c r="B52" i="14"/>
  <c r="A52" i="14"/>
  <c r="C51" i="14"/>
  <c r="B51" i="14"/>
  <c r="A51" i="14"/>
  <c r="C50" i="14"/>
  <c r="B50" i="14"/>
  <c r="A50" i="14"/>
  <c r="C49" i="14"/>
  <c r="B49" i="14"/>
  <c r="A49" i="14"/>
  <c r="C48" i="14"/>
  <c r="B48" i="14"/>
  <c r="A48" i="14"/>
  <c r="C47" i="14"/>
  <c r="B47" i="14"/>
  <c r="A47" i="14"/>
  <c r="C46" i="14"/>
  <c r="B46" i="14"/>
  <c r="A46" i="14"/>
  <c r="C45" i="14"/>
  <c r="B45" i="14"/>
  <c r="A45" i="14"/>
  <c r="C44" i="14"/>
  <c r="B44" i="14"/>
  <c r="A44" i="14"/>
  <c r="C43" i="14"/>
  <c r="B43" i="14"/>
  <c r="A43" i="14"/>
  <c r="C42" i="14"/>
  <c r="B42" i="14"/>
  <c r="A42" i="14"/>
  <c r="C41" i="14"/>
  <c r="B41" i="14"/>
  <c r="A41" i="14"/>
  <c r="C40" i="14"/>
  <c r="B40" i="14"/>
  <c r="A40" i="14"/>
  <c r="C39" i="14"/>
  <c r="B39" i="14"/>
  <c r="A39" i="14"/>
  <c r="C38" i="14"/>
  <c r="B38" i="14"/>
  <c r="A38" i="14"/>
  <c r="C37" i="14"/>
  <c r="B37" i="14"/>
  <c r="A37" i="14"/>
  <c r="C36" i="14"/>
  <c r="B36" i="14"/>
  <c r="A36" i="14"/>
  <c r="C35" i="14"/>
  <c r="B35" i="14"/>
  <c r="A35" i="14"/>
  <c r="C34" i="14"/>
  <c r="B34" i="14"/>
  <c r="A34" i="14"/>
  <c r="C33" i="14"/>
  <c r="B33" i="14"/>
  <c r="A33" i="14"/>
  <c r="C32" i="14"/>
  <c r="B32" i="14"/>
  <c r="A32" i="14"/>
  <c r="C31" i="14"/>
  <c r="B31" i="14"/>
  <c r="A31" i="14"/>
  <c r="C30" i="14"/>
  <c r="B30" i="14"/>
  <c r="A30" i="14"/>
  <c r="C29" i="14"/>
  <c r="B29" i="14"/>
  <c r="A29" i="14"/>
  <c r="C28" i="14"/>
  <c r="B28" i="14"/>
  <c r="A28" i="14"/>
  <c r="C27" i="14"/>
  <c r="B27" i="14"/>
  <c r="A27" i="14"/>
  <c r="C26" i="14"/>
  <c r="B26" i="14"/>
  <c r="A26" i="14"/>
  <c r="C25" i="14"/>
  <c r="B25" i="14"/>
  <c r="A25" i="14"/>
  <c r="C24" i="14"/>
  <c r="B24" i="14"/>
  <c r="A24" i="14"/>
  <c r="C23" i="14"/>
  <c r="B23" i="14"/>
  <c r="A23" i="14"/>
  <c r="C22" i="14"/>
  <c r="B22" i="14"/>
  <c r="A22" i="14"/>
  <c r="C21" i="14"/>
  <c r="B21" i="14"/>
  <c r="A21" i="14"/>
  <c r="C20" i="14"/>
  <c r="B20" i="14"/>
  <c r="A20" i="14"/>
  <c r="C19" i="14"/>
  <c r="B19" i="14"/>
  <c r="A19" i="14"/>
  <c r="C18" i="14"/>
  <c r="B18" i="14"/>
  <c r="A18" i="14"/>
  <c r="C17" i="14"/>
  <c r="B17" i="14"/>
  <c r="A17" i="14"/>
  <c r="C16" i="14"/>
  <c r="B16" i="14"/>
  <c r="A16" i="14"/>
  <c r="C15" i="14"/>
  <c r="B15" i="14"/>
  <c r="A15" i="14"/>
  <c r="C14" i="14"/>
  <c r="B14" i="14"/>
  <c r="A14" i="14"/>
  <c r="C13" i="14"/>
  <c r="B13" i="14"/>
  <c r="A13" i="14"/>
  <c r="C12" i="14"/>
  <c r="B12" i="14"/>
  <c r="A12" i="14"/>
  <c r="C11" i="14"/>
  <c r="B11" i="14"/>
  <c r="A11" i="14"/>
  <c r="C10" i="14"/>
  <c r="B10" i="14"/>
  <c r="A10" i="14"/>
  <c r="C9" i="14"/>
  <c r="B9" i="14"/>
  <c r="A9" i="14"/>
  <c r="C8" i="14"/>
  <c r="B8" i="14"/>
  <c r="A8" i="14"/>
  <c r="C7" i="14"/>
  <c r="B7" i="14"/>
  <c r="A7" i="14"/>
  <c r="C6" i="14"/>
  <c r="B6" i="14"/>
  <c r="A6" i="14"/>
  <c r="C5" i="14"/>
  <c r="B5" i="14"/>
  <c r="A5" i="14"/>
  <c r="C4" i="14"/>
  <c r="B4" i="14"/>
  <c r="A4" i="14"/>
  <c r="C104" i="13"/>
  <c r="B104" i="13"/>
  <c r="A104" i="13"/>
  <c r="C103" i="13"/>
  <c r="B103" i="13"/>
  <c r="A103" i="13"/>
  <c r="C102" i="13"/>
  <c r="B102" i="13"/>
  <c r="A102" i="13"/>
  <c r="C101" i="13"/>
  <c r="B101" i="13"/>
  <c r="A101" i="13"/>
  <c r="C100" i="13"/>
  <c r="B100" i="13"/>
  <c r="A100" i="13"/>
  <c r="C99" i="13"/>
  <c r="B99" i="13"/>
  <c r="A99" i="13"/>
  <c r="C98" i="13"/>
  <c r="B98" i="13"/>
  <c r="A98" i="13"/>
  <c r="C97" i="13"/>
  <c r="B97" i="13"/>
  <c r="A97" i="13"/>
  <c r="C96" i="13"/>
  <c r="B96" i="13"/>
  <c r="A96" i="13"/>
  <c r="C95" i="13"/>
  <c r="B95" i="13"/>
  <c r="A95" i="13"/>
  <c r="C94" i="13"/>
  <c r="B94" i="13"/>
  <c r="A94" i="13"/>
  <c r="C93" i="13"/>
  <c r="B93" i="13"/>
  <c r="A93" i="13"/>
  <c r="C92" i="13"/>
  <c r="B92" i="13"/>
  <c r="A92" i="13"/>
  <c r="C91" i="13"/>
  <c r="B91" i="13"/>
  <c r="A91" i="13"/>
  <c r="C90" i="13"/>
  <c r="B90" i="13"/>
  <c r="A90" i="13"/>
  <c r="C89" i="13"/>
  <c r="B89" i="13"/>
  <c r="A89" i="13"/>
  <c r="C88" i="13"/>
  <c r="B88" i="13"/>
  <c r="A88" i="13"/>
  <c r="C87" i="13"/>
  <c r="B87" i="13"/>
  <c r="A87" i="13"/>
  <c r="C86" i="13"/>
  <c r="B86" i="13"/>
  <c r="A86" i="13"/>
  <c r="C85" i="13"/>
  <c r="B85" i="13"/>
  <c r="A85" i="13"/>
  <c r="C84" i="13"/>
  <c r="B84" i="13"/>
  <c r="A84" i="13"/>
  <c r="C83" i="13"/>
  <c r="B83" i="13"/>
  <c r="A83" i="13"/>
  <c r="C82" i="13"/>
  <c r="B82" i="13"/>
  <c r="A82" i="13"/>
  <c r="C81" i="13"/>
  <c r="B81" i="13"/>
  <c r="A81" i="13"/>
  <c r="C80" i="13"/>
  <c r="B80" i="13"/>
  <c r="A80" i="13"/>
  <c r="C79" i="13"/>
  <c r="B79" i="13"/>
  <c r="A79" i="13"/>
  <c r="C78" i="13"/>
  <c r="B78" i="13"/>
  <c r="A78" i="13"/>
  <c r="C77" i="13"/>
  <c r="B77" i="13"/>
  <c r="A77" i="13"/>
  <c r="C76" i="13"/>
  <c r="B76" i="13"/>
  <c r="A76" i="13"/>
  <c r="C75" i="13"/>
  <c r="B75" i="13"/>
  <c r="A75" i="13"/>
  <c r="C74" i="13"/>
  <c r="B74" i="13"/>
  <c r="A74" i="13"/>
  <c r="C73" i="13"/>
  <c r="B73" i="13"/>
  <c r="A73" i="13"/>
  <c r="C72" i="13"/>
  <c r="B72" i="13"/>
  <c r="A72" i="13"/>
  <c r="C71" i="13"/>
  <c r="B71" i="13"/>
  <c r="A71" i="13"/>
  <c r="C70" i="13"/>
  <c r="B70" i="13"/>
  <c r="A70" i="13"/>
  <c r="C69" i="13"/>
  <c r="B69" i="13"/>
  <c r="A69" i="13"/>
  <c r="C68" i="13"/>
  <c r="B68" i="13"/>
  <c r="A68" i="13"/>
  <c r="C67" i="13"/>
  <c r="B67" i="13"/>
  <c r="A67" i="13"/>
  <c r="C66" i="13"/>
  <c r="B66" i="13"/>
  <c r="A66" i="13"/>
  <c r="C65" i="13"/>
  <c r="B65" i="13"/>
  <c r="A65" i="13"/>
  <c r="C64" i="13"/>
  <c r="B64" i="13"/>
  <c r="A64" i="13"/>
  <c r="C63" i="13"/>
  <c r="B63" i="13"/>
  <c r="A63" i="13"/>
  <c r="C62" i="13"/>
  <c r="B62" i="13"/>
  <c r="A62" i="13"/>
  <c r="C61" i="13"/>
  <c r="B61" i="13"/>
  <c r="A61" i="13"/>
  <c r="C60" i="13"/>
  <c r="B60" i="13"/>
  <c r="A60" i="13"/>
  <c r="C59" i="13"/>
  <c r="B59" i="13"/>
  <c r="A59" i="13"/>
  <c r="C58" i="13"/>
  <c r="B58" i="13"/>
  <c r="A58" i="13"/>
  <c r="C57" i="13"/>
  <c r="B57" i="13"/>
  <c r="A57" i="13"/>
  <c r="C56" i="13"/>
  <c r="B56" i="13"/>
  <c r="A56" i="13"/>
  <c r="C55" i="13"/>
  <c r="B55" i="13"/>
  <c r="A55" i="13"/>
  <c r="C54" i="13"/>
  <c r="B54" i="13"/>
  <c r="A54" i="13"/>
  <c r="C53" i="13"/>
  <c r="B53" i="13"/>
  <c r="A53" i="13"/>
  <c r="C52" i="13"/>
  <c r="B52" i="13"/>
  <c r="A52" i="13"/>
  <c r="C51" i="13"/>
  <c r="B51" i="13"/>
  <c r="A51" i="13"/>
  <c r="C50" i="13"/>
  <c r="B50" i="13"/>
  <c r="A50" i="13"/>
  <c r="C49" i="13"/>
  <c r="B49" i="13"/>
  <c r="A49" i="13"/>
  <c r="C48" i="13"/>
  <c r="B48" i="13"/>
  <c r="A48" i="13"/>
  <c r="C47" i="13"/>
  <c r="B47" i="13"/>
  <c r="A47" i="13"/>
  <c r="C46" i="13"/>
  <c r="B46" i="13"/>
  <c r="A46" i="13"/>
  <c r="C45" i="13"/>
  <c r="B45" i="13"/>
  <c r="A45" i="13"/>
  <c r="C44" i="13"/>
  <c r="B44" i="13"/>
  <c r="A44" i="13"/>
  <c r="C43" i="13"/>
  <c r="B43" i="13"/>
  <c r="A43" i="13"/>
  <c r="C42" i="13"/>
  <c r="B42" i="13"/>
  <c r="A42" i="13"/>
  <c r="C41" i="13"/>
  <c r="B41" i="13"/>
  <c r="A41" i="13"/>
  <c r="C40" i="13"/>
  <c r="B40" i="13"/>
  <c r="A40" i="13"/>
  <c r="C39" i="13"/>
  <c r="B39" i="13"/>
  <c r="A39" i="13"/>
  <c r="C38" i="13"/>
  <c r="B38" i="13"/>
  <c r="A38" i="13"/>
  <c r="C37" i="13"/>
  <c r="B37" i="13"/>
  <c r="A37" i="13"/>
  <c r="C36" i="13"/>
  <c r="B36" i="13"/>
  <c r="A36" i="13"/>
  <c r="C35" i="13"/>
  <c r="B35" i="13"/>
  <c r="A35" i="13"/>
  <c r="C34" i="13"/>
  <c r="B34" i="13"/>
  <c r="A34" i="13"/>
  <c r="C33" i="13"/>
  <c r="B33" i="13"/>
  <c r="A33" i="13"/>
  <c r="C32" i="13"/>
  <c r="B32" i="13"/>
  <c r="A32" i="13"/>
  <c r="C31" i="13"/>
  <c r="B31" i="13"/>
  <c r="A31" i="13"/>
  <c r="C30" i="13"/>
  <c r="B30" i="13"/>
  <c r="A30" i="13"/>
  <c r="C29" i="13"/>
  <c r="B29" i="13"/>
  <c r="A29" i="13"/>
  <c r="C28" i="13"/>
  <c r="B28" i="13"/>
  <c r="A28" i="13"/>
  <c r="C27" i="13"/>
  <c r="B27" i="13"/>
  <c r="A27" i="13"/>
  <c r="C26" i="13"/>
  <c r="B26" i="13"/>
  <c r="A26" i="13"/>
  <c r="C25" i="13"/>
  <c r="B25" i="13"/>
  <c r="A25" i="13"/>
  <c r="C24" i="13"/>
  <c r="B24" i="13"/>
  <c r="A24" i="13"/>
  <c r="C23" i="13"/>
  <c r="B23" i="13"/>
  <c r="A23" i="13"/>
  <c r="C22" i="13"/>
  <c r="B22" i="13"/>
  <c r="A22" i="13"/>
  <c r="C21" i="13"/>
  <c r="B21" i="13"/>
  <c r="A21" i="13"/>
  <c r="C20" i="13"/>
  <c r="B20" i="13"/>
  <c r="A20" i="13"/>
  <c r="C19" i="13"/>
  <c r="B19" i="13"/>
  <c r="A19" i="13"/>
  <c r="C18" i="13"/>
  <c r="B18" i="13"/>
  <c r="A18" i="13"/>
  <c r="C17" i="13"/>
  <c r="B17" i="13"/>
  <c r="A17" i="13"/>
  <c r="C16" i="13"/>
  <c r="B16" i="13"/>
  <c r="A16" i="13"/>
  <c r="C15" i="13"/>
  <c r="B15" i="13"/>
  <c r="A15" i="13"/>
  <c r="C14" i="13"/>
  <c r="B14" i="13"/>
  <c r="A14" i="13"/>
  <c r="C13" i="13"/>
  <c r="B13" i="13"/>
  <c r="A13" i="13"/>
  <c r="C12" i="13"/>
  <c r="B12" i="13"/>
  <c r="A12" i="13"/>
  <c r="C11" i="13"/>
  <c r="B11" i="13"/>
  <c r="A11" i="13"/>
  <c r="C10" i="13"/>
  <c r="B10" i="13"/>
  <c r="A10" i="13"/>
  <c r="C9" i="13"/>
  <c r="B9" i="13"/>
  <c r="A9" i="13"/>
  <c r="C8" i="13"/>
  <c r="B8" i="13"/>
  <c r="A8" i="13"/>
  <c r="C7" i="13"/>
  <c r="B7" i="13"/>
  <c r="A7" i="13"/>
  <c r="C6" i="13"/>
  <c r="B6" i="13"/>
  <c r="A6" i="13"/>
  <c r="C5" i="13"/>
  <c r="B5" i="13"/>
  <c r="A5" i="13"/>
  <c r="C4" i="13"/>
  <c r="B4" i="13"/>
  <c r="A4" i="13"/>
  <c r="U6" i="11"/>
  <c r="U105" i="11" s="1"/>
  <c r="O6" i="11"/>
  <c r="O105" i="11" s="1"/>
  <c r="I6" i="11"/>
  <c r="I105" i="11" s="1"/>
  <c r="O11" i="12"/>
  <c r="L11" i="12"/>
  <c r="L102" i="12" s="1"/>
  <c r="U74" i="12"/>
  <c r="U73" i="12"/>
  <c r="U72" i="12"/>
  <c r="U70" i="12"/>
  <c r="U69" i="12"/>
  <c r="U68" i="12"/>
  <c r="U67" i="12"/>
  <c r="U64" i="12"/>
  <c r="U59" i="12"/>
  <c r="U11" i="12"/>
  <c r="U6" i="12"/>
  <c r="U102" i="12" s="1"/>
  <c r="O74" i="12"/>
  <c r="O73" i="12"/>
  <c r="O72" i="12"/>
  <c r="O70" i="12"/>
  <c r="O69" i="12"/>
  <c r="O68" i="12"/>
  <c r="O67" i="12"/>
  <c r="O64" i="12"/>
  <c r="O59" i="12"/>
  <c r="O6" i="12"/>
  <c r="I74" i="12"/>
  <c r="I73" i="12"/>
  <c r="I72" i="12"/>
  <c r="I70" i="12"/>
  <c r="I69" i="12"/>
  <c r="I68" i="12"/>
  <c r="I67" i="12"/>
  <c r="I64" i="12"/>
  <c r="I59" i="12"/>
  <c r="I11" i="12"/>
  <c r="I102" i="12" s="1"/>
  <c r="E11" i="12"/>
  <c r="E102" i="12" s="1"/>
  <c r="H101" i="22" l="1"/>
  <c r="H104" i="21"/>
  <c r="T6" i="14"/>
  <c r="T102" i="14" s="1"/>
  <c r="P102" i="14"/>
  <c r="G11" i="14"/>
  <c r="G102" i="14" s="1"/>
  <c r="D102" i="14"/>
  <c r="L103" i="16"/>
  <c r="G105" i="13"/>
  <c r="N105" i="13"/>
  <c r="T6" i="13"/>
  <c r="T105" i="13" s="1"/>
  <c r="P105" i="13"/>
  <c r="L106" i="15"/>
  <c r="O102" i="12"/>
  <c r="C104" i="11"/>
  <c r="B104" i="11"/>
  <c r="A104" i="11"/>
  <c r="C103" i="11"/>
  <c r="B103" i="11"/>
  <c r="A103" i="11"/>
  <c r="C102" i="11"/>
  <c r="B102" i="11"/>
  <c r="A102" i="11"/>
  <c r="C101" i="11"/>
  <c r="B101" i="11"/>
  <c r="A101" i="11"/>
  <c r="C100" i="11"/>
  <c r="B100" i="11"/>
  <c r="A100" i="11"/>
  <c r="C99" i="11"/>
  <c r="B99" i="11"/>
  <c r="A99" i="11"/>
  <c r="C98" i="11"/>
  <c r="B98" i="11"/>
  <c r="A98" i="11"/>
  <c r="C97" i="11"/>
  <c r="B97" i="11"/>
  <c r="A97" i="11"/>
  <c r="C96" i="11"/>
  <c r="B96" i="11"/>
  <c r="A96" i="11"/>
  <c r="C95" i="11"/>
  <c r="B95" i="11"/>
  <c r="A95" i="11"/>
  <c r="C94" i="11"/>
  <c r="B94" i="11"/>
  <c r="A94" i="11"/>
  <c r="C93" i="11"/>
  <c r="B93" i="11"/>
  <c r="A93" i="11"/>
  <c r="C92" i="11"/>
  <c r="B92" i="11"/>
  <c r="A92" i="11"/>
  <c r="C91" i="11"/>
  <c r="B91" i="11"/>
  <c r="A91" i="11"/>
  <c r="C90" i="11"/>
  <c r="B90" i="11"/>
  <c r="A90" i="11"/>
  <c r="C89" i="11"/>
  <c r="B89" i="11"/>
  <c r="A89" i="11"/>
  <c r="C88" i="11"/>
  <c r="B88" i="11"/>
  <c r="A88" i="11"/>
  <c r="C87" i="11"/>
  <c r="B87" i="11"/>
  <c r="A87" i="11"/>
  <c r="C86" i="11"/>
  <c r="B86" i="11"/>
  <c r="A86" i="11"/>
  <c r="C85" i="11"/>
  <c r="B85" i="11"/>
  <c r="A85" i="11"/>
  <c r="C84" i="11"/>
  <c r="B84" i="11"/>
  <c r="A84" i="11"/>
  <c r="C83" i="11"/>
  <c r="B83" i="11"/>
  <c r="A83" i="11"/>
  <c r="C82" i="11"/>
  <c r="B82" i="11"/>
  <c r="A82" i="11"/>
  <c r="C81" i="11"/>
  <c r="B81" i="11"/>
  <c r="A81" i="11"/>
  <c r="C80" i="11"/>
  <c r="B80" i="11"/>
  <c r="A80" i="11"/>
  <c r="C79" i="11"/>
  <c r="B79" i="11"/>
  <c r="A79" i="11"/>
  <c r="C78" i="11"/>
  <c r="B78" i="11"/>
  <c r="A78" i="11"/>
  <c r="C77" i="11"/>
  <c r="B77" i="11"/>
  <c r="A77" i="11"/>
  <c r="C76" i="11"/>
  <c r="B76" i="11"/>
  <c r="A76" i="11"/>
  <c r="C75" i="11"/>
  <c r="B75" i="11"/>
  <c r="A75" i="11"/>
  <c r="C74" i="11"/>
  <c r="B74" i="11"/>
  <c r="A74" i="11"/>
  <c r="C73" i="11"/>
  <c r="B73" i="11"/>
  <c r="A73" i="11"/>
  <c r="C72" i="11"/>
  <c r="B72" i="11"/>
  <c r="A72" i="11"/>
  <c r="C71" i="11"/>
  <c r="B71" i="11"/>
  <c r="A71" i="11"/>
  <c r="C70" i="11"/>
  <c r="B70" i="11"/>
  <c r="A70" i="11"/>
  <c r="C69" i="11"/>
  <c r="B69" i="11"/>
  <c r="A69" i="11"/>
  <c r="C68" i="11"/>
  <c r="B68" i="11"/>
  <c r="A68" i="11"/>
  <c r="C67" i="11"/>
  <c r="B67" i="11"/>
  <c r="A67" i="11"/>
  <c r="C66" i="11"/>
  <c r="B66" i="11"/>
  <c r="A66" i="11"/>
  <c r="C65" i="11"/>
  <c r="B65" i="11"/>
  <c r="A65" i="11"/>
  <c r="C64" i="11"/>
  <c r="B64" i="11"/>
  <c r="A64" i="11"/>
  <c r="C63" i="11"/>
  <c r="B63" i="11"/>
  <c r="A63" i="11"/>
  <c r="C62" i="11"/>
  <c r="B62" i="11"/>
  <c r="A62" i="11"/>
  <c r="C61" i="11"/>
  <c r="B61" i="11"/>
  <c r="A61" i="11"/>
  <c r="C60" i="11"/>
  <c r="B60" i="11"/>
  <c r="A60" i="11"/>
  <c r="C59" i="11"/>
  <c r="B59" i="11"/>
  <c r="A59" i="11"/>
  <c r="C58" i="11"/>
  <c r="B58" i="11"/>
  <c r="A58" i="11"/>
  <c r="C57" i="11"/>
  <c r="B57" i="11"/>
  <c r="A57" i="11"/>
  <c r="C56" i="11"/>
  <c r="B56" i="11"/>
  <c r="A56" i="11"/>
  <c r="C55" i="11"/>
  <c r="B55" i="11"/>
  <c r="A55" i="11"/>
  <c r="C54" i="11"/>
  <c r="B54" i="11"/>
  <c r="A54" i="11"/>
  <c r="C53" i="11"/>
  <c r="B53" i="11"/>
  <c r="A53" i="11"/>
  <c r="C52" i="11"/>
  <c r="B52" i="11"/>
  <c r="A52" i="11"/>
  <c r="C51" i="11"/>
  <c r="B51" i="11"/>
  <c r="A51" i="11"/>
  <c r="C50" i="11"/>
  <c r="B50" i="11"/>
  <c r="A50" i="11"/>
  <c r="C49" i="11"/>
  <c r="B49" i="11"/>
  <c r="A49" i="11"/>
  <c r="C48" i="11"/>
  <c r="B48" i="11"/>
  <c r="A48" i="11"/>
  <c r="C47" i="11"/>
  <c r="B47" i="11"/>
  <c r="A47" i="11"/>
  <c r="C46" i="11"/>
  <c r="B46" i="11"/>
  <c r="A46" i="11"/>
  <c r="C45" i="11"/>
  <c r="B45" i="11"/>
  <c r="A45" i="11"/>
  <c r="C44" i="11"/>
  <c r="B44" i="11"/>
  <c r="A44" i="11"/>
  <c r="C43" i="11"/>
  <c r="B43" i="11"/>
  <c r="A43" i="11"/>
  <c r="C42" i="11"/>
  <c r="B42" i="11"/>
  <c r="A42" i="11"/>
  <c r="C41" i="11"/>
  <c r="B41" i="11"/>
  <c r="A41" i="11"/>
  <c r="C40" i="11"/>
  <c r="B40" i="11"/>
  <c r="A40" i="11"/>
  <c r="C39" i="11"/>
  <c r="B39" i="11"/>
  <c r="A39" i="11"/>
  <c r="C38" i="11"/>
  <c r="B38" i="11"/>
  <c r="A38" i="11"/>
  <c r="C37" i="11"/>
  <c r="B37" i="11"/>
  <c r="A37" i="11"/>
  <c r="C36" i="11"/>
  <c r="B36" i="11"/>
  <c r="A36" i="11"/>
  <c r="C35" i="11"/>
  <c r="B35" i="11"/>
  <c r="A35" i="11"/>
  <c r="C34" i="11"/>
  <c r="B34" i="11"/>
  <c r="A34" i="11"/>
  <c r="C33" i="11"/>
  <c r="B33" i="11"/>
  <c r="A33" i="11"/>
  <c r="C32" i="11"/>
  <c r="B32" i="11"/>
  <c r="A32" i="11"/>
  <c r="C31" i="11"/>
  <c r="B31" i="11"/>
  <c r="A31" i="11"/>
  <c r="C30" i="11"/>
  <c r="B30" i="11"/>
  <c r="A30" i="11"/>
  <c r="C29" i="11"/>
  <c r="B29" i="11"/>
  <c r="A29" i="11"/>
  <c r="C28" i="11"/>
  <c r="B28" i="11"/>
  <c r="A28" i="11"/>
  <c r="C27" i="11"/>
  <c r="B27" i="11"/>
  <c r="A27" i="11"/>
  <c r="C26" i="11"/>
  <c r="B26" i="11"/>
  <c r="A26" i="11"/>
  <c r="C25" i="11"/>
  <c r="B25" i="11"/>
  <c r="A25" i="11"/>
  <c r="C24" i="11"/>
  <c r="B24" i="11"/>
  <c r="A24" i="11"/>
  <c r="C23" i="11"/>
  <c r="B23" i="11"/>
  <c r="A23" i="11"/>
  <c r="C22" i="11"/>
  <c r="B22" i="11"/>
  <c r="A22" i="11"/>
  <c r="C21" i="11"/>
  <c r="B21" i="11"/>
  <c r="A21" i="11"/>
  <c r="C20" i="11"/>
  <c r="B20" i="11"/>
  <c r="A20" i="11"/>
  <c r="C19" i="11"/>
  <c r="B19" i="11"/>
  <c r="A19" i="11"/>
  <c r="C18" i="11"/>
  <c r="B18" i="11"/>
  <c r="A18" i="11"/>
  <c r="C17" i="11"/>
  <c r="B17" i="11"/>
  <c r="A17" i="11"/>
  <c r="C16" i="11"/>
  <c r="B16" i="11"/>
  <c r="A16" i="11"/>
  <c r="C15" i="11"/>
  <c r="B15" i="11"/>
  <c r="A15" i="11"/>
  <c r="C14" i="11"/>
  <c r="B14" i="11"/>
  <c r="A14" i="11"/>
  <c r="C13" i="11"/>
  <c r="B13" i="11"/>
  <c r="A13" i="11"/>
  <c r="C12" i="11"/>
  <c r="B12" i="11"/>
  <c r="A12" i="11"/>
  <c r="C11" i="11"/>
  <c r="B11" i="11"/>
  <c r="A11" i="11"/>
  <c r="C10" i="11"/>
  <c r="B10" i="11"/>
  <c r="A10" i="11"/>
  <c r="C9" i="11"/>
  <c r="B9" i="11"/>
  <c r="A9" i="11"/>
  <c r="C8" i="11"/>
  <c r="B8" i="11"/>
  <c r="A8" i="11"/>
  <c r="C7" i="11"/>
  <c r="B7" i="11"/>
  <c r="A7" i="11"/>
  <c r="C6" i="11"/>
  <c r="B6" i="11"/>
  <c r="A6" i="11"/>
  <c r="C5" i="11"/>
  <c r="B5" i="11"/>
  <c r="A5" i="11"/>
  <c r="C4" i="11"/>
  <c r="B4" i="11"/>
  <c r="A4" i="11"/>
  <c r="C101" i="12"/>
  <c r="B101" i="12"/>
  <c r="A101" i="12"/>
  <c r="C100" i="12"/>
  <c r="B100" i="12"/>
  <c r="A100" i="12"/>
  <c r="C99" i="12"/>
  <c r="B99" i="12"/>
  <c r="A99" i="12"/>
  <c r="C98" i="12"/>
  <c r="B98" i="12"/>
  <c r="A98" i="12"/>
  <c r="C97" i="12"/>
  <c r="B97" i="12"/>
  <c r="A97" i="12"/>
  <c r="C96" i="12"/>
  <c r="B96" i="12"/>
  <c r="A96" i="12"/>
  <c r="C95" i="12"/>
  <c r="B95" i="12"/>
  <c r="A95" i="12"/>
  <c r="C94" i="12"/>
  <c r="B94" i="12"/>
  <c r="A94" i="12"/>
  <c r="C93" i="12"/>
  <c r="B93" i="12"/>
  <c r="A93" i="12"/>
  <c r="C92" i="12"/>
  <c r="B92" i="12"/>
  <c r="A92" i="12"/>
  <c r="C91" i="12"/>
  <c r="B91" i="12"/>
  <c r="A91" i="12"/>
  <c r="C90" i="12"/>
  <c r="B90" i="12"/>
  <c r="A90" i="12"/>
  <c r="C89" i="12"/>
  <c r="B89" i="12"/>
  <c r="A89" i="12"/>
  <c r="C88" i="12"/>
  <c r="B88" i="12"/>
  <c r="A88" i="12"/>
  <c r="C87" i="12"/>
  <c r="B87" i="12"/>
  <c r="A87" i="12"/>
  <c r="C86" i="12"/>
  <c r="B86" i="12"/>
  <c r="A86" i="12"/>
  <c r="C85" i="12"/>
  <c r="B85" i="12"/>
  <c r="A85" i="12"/>
  <c r="C84" i="12"/>
  <c r="B84" i="12"/>
  <c r="A84" i="12"/>
  <c r="C83" i="12"/>
  <c r="B83" i="12"/>
  <c r="A83" i="12"/>
  <c r="C82" i="12"/>
  <c r="B82" i="12"/>
  <c r="A82" i="12"/>
  <c r="C81" i="12"/>
  <c r="B81" i="12"/>
  <c r="A81" i="12"/>
  <c r="C80" i="12"/>
  <c r="B80" i="12"/>
  <c r="A80" i="12"/>
  <c r="C79" i="12"/>
  <c r="B79" i="12"/>
  <c r="A79" i="12"/>
  <c r="C78" i="12"/>
  <c r="B78" i="12"/>
  <c r="A78" i="12"/>
  <c r="C77" i="12"/>
  <c r="B77" i="12"/>
  <c r="A77" i="12"/>
  <c r="C76" i="12"/>
  <c r="B76" i="12"/>
  <c r="A76" i="12"/>
  <c r="C75" i="12"/>
  <c r="B75" i="12"/>
  <c r="A75" i="12"/>
  <c r="C74" i="12"/>
  <c r="B74" i="12"/>
  <c r="A74" i="12"/>
  <c r="C73" i="12"/>
  <c r="B73" i="12"/>
  <c r="A73" i="12"/>
  <c r="C72" i="12"/>
  <c r="B72" i="12"/>
  <c r="A72" i="12"/>
  <c r="C71" i="12"/>
  <c r="B71" i="12"/>
  <c r="A71" i="12"/>
  <c r="C70" i="12"/>
  <c r="B70" i="12"/>
  <c r="A70" i="12"/>
  <c r="C69" i="12"/>
  <c r="B69" i="12"/>
  <c r="A69" i="12"/>
  <c r="C68" i="12"/>
  <c r="B68" i="12"/>
  <c r="A68" i="12"/>
  <c r="C67" i="12"/>
  <c r="B67" i="12"/>
  <c r="A67" i="12"/>
  <c r="C66" i="12"/>
  <c r="B66" i="12"/>
  <c r="A66" i="12"/>
  <c r="C65" i="12"/>
  <c r="B65" i="12"/>
  <c r="A65" i="12"/>
  <c r="C64" i="12"/>
  <c r="B64" i="12"/>
  <c r="A64" i="12"/>
  <c r="C63" i="12"/>
  <c r="B63" i="12"/>
  <c r="A63" i="12"/>
  <c r="C62" i="12"/>
  <c r="B62" i="12"/>
  <c r="A62" i="12"/>
  <c r="C61" i="12"/>
  <c r="B61" i="12"/>
  <c r="A61" i="12"/>
  <c r="C60" i="12"/>
  <c r="B60" i="12"/>
  <c r="A60" i="12"/>
  <c r="C59" i="12"/>
  <c r="B59" i="12"/>
  <c r="A59" i="12"/>
  <c r="C58" i="12"/>
  <c r="B58" i="12"/>
  <c r="A58" i="12"/>
  <c r="C57" i="12"/>
  <c r="B57" i="12"/>
  <c r="A57" i="12"/>
  <c r="C56" i="12"/>
  <c r="B56" i="12"/>
  <c r="A56" i="12"/>
  <c r="C55" i="12"/>
  <c r="B55" i="12"/>
  <c r="A55" i="12"/>
  <c r="C54" i="12"/>
  <c r="B54" i="12"/>
  <c r="A54" i="12"/>
  <c r="C53" i="12"/>
  <c r="B53" i="12"/>
  <c r="A53" i="12"/>
  <c r="C52" i="12"/>
  <c r="B52" i="12"/>
  <c r="A52" i="12"/>
  <c r="C51" i="12"/>
  <c r="B51" i="12"/>
  <c r="A51" i="12"/>
  <c r="C50" i="12"/>
  <c r="B50" i="12"/>
  <c r="A50" i="12"/>
  <c r="C49" i="12"/>
  <c r="B49" i="12"/>
  <c r="A49" i="12"/>
  <c r="C48" i="12"/>
  <c r="B48" i="12"/>
  <c r="A48" i="12"/>
  <c r="C47" i="12"/>
  <c r="B47" i="12"/>
  <c r="A47" i="12"/>
  <c r="C46" i="12"/>
  <c r="B46" i="12"/>
  <c r="A46" i="12"/>
  <c r="C45" i="12"/>
  <c r="B45" i="12"/>
  <c r="A45" i="12"/>
  <c r="C44" i="12"/>
  <c r="B44" i="12"/>
  <c r="A44" i="12"/>
  <c r="C43" i="12"/>
  <c r="B43" i="12"/>
  <c r="A43" i="12"/>
  <c r="C42" i="12"/>
  <c r="B42" i="12"/>
  <c r="A42" i="12"/>
  <c r="C41" i="12"/>
  <c r="B41" i="12"/>
  <c r="A41" i="12"/>
  <c r="C40" i="12"/>
  <c r="B40" i="12"/>
  <c r="A40" i="12"/>
  <c r="C39" i="12"/>
  <c r="B39" i="12"/>
  <c r="A39" i="12"/>
  <c r="C38" i="12"/>
  <c r="B38" i="12"/>
  <c r="A38" i="12"/>
  <c r="C37" i="12"/>
  <c r="B37" i="12"/>
  <c r="A37" i="12"/>
  <c r="C36" i="12"/>
  <c r="B36" i="12"/>
  <c r="A36" i="12"/>
  <c r="C35" i="12"/>
  <c r="B35" i="12"/>
  <c r="A35" i="12"/>
  <c r="C34" i="12"/>
  <c r="B34" i="12"/>
  <c r="A34" i="12"/>
  <c r="C33" i="12"/>
  <c r="B33" i="12"/>
  <c r="A33" i="12"/>
  <c r="C32" i="12"/>
  <c r="B32" i="12"/>
  <c r="A32" i="12"/>
  <c r="C31" i="12"/>
  <c r="B31" i="12"/>
  <c r="A31" i="12"/>
  <c r="C30" i="12"/>
  <c r="B30" i="12"/>
  <c r="A30" i="12"/>
  <c r="C29" i="12"/>
  <c r="B29" i="12"/>
  <c r="A29" i="12"/>
  <c r="C28" i="12"/>
  <c r="B28" i="12"/>
  <c r="A28" i="12"/>
  <c r="C27" i="12"/>
  <c r="B27" i="12"/>
  <c r="A27" i="12"/>
  <c r="C26" i="12"/>
  <c r="B26" i="12"/>
  <c r="A26" i="12"/>
  <c r="C25" i="12"/>
  <c r="B25" i="12"/>
  <c r="A25" i="12"/>
  <c r="C24" i="12"/>
  <c r="B24" i="12"/>
  <c r="A24" i="12"/>
  <c r="C23" i="12"/>
  <c r="B23" i="12"/>
  <c r="A23" i="12"/>
  <c r="C22" i="12"/>
  <c r="B22" i="12"/>
  <c r="A22" i="12"/>
  <c r="C21" i="12"/>
  <c r="B21" i="12"/>
  <c r="A21" i="12"/>
  <c r="C20" i="12"/>
  <c r="B20" i="12"/>
  <c r="A20" i="12"/>
  <c r="C19" i="12"/>
  <c r="B19" i="12"/>
  <c r="A19" i="12"/>
  <c r="C18" i="12"/>
  <c r="B18" i="12"/>
  <c r="A18" i="12"/>
  <c r="C17" i="12"/>
  <c r="B17" i="12"/>
  <c r="A17" i="12"/>
  <c r="C16" i="12"/>
  <c r="B16" i="12"/>
  <c r="A16" i="12"/>
  <c r="C15" i="12"/>
  <c r="B15" i="12"/>
  <c r="A15" i="12"/>
  <c r="C14" i="12"/>
  <c r="B14" i="12"/>
  <c r="A14" i="12"/>
  <c r="C13" i="12"/>
  <c r="B13" i="12"/>
  <c r="A13" i="12"/>
  <c r="C12" i="12"/>
  <c r="B12" i="12"/>
  <c r="A12" i="12"/>
  <c r="C11" i="12"/>
  <c r="B11" i="12"/>
  <c r="A11" i="12"/>
  <c r="C10" i="12"/>
  <c r="B10" i="12"/>
  <c r="A10" i="12"/>
  <c r="C9" i="12"/>
  <c r="B9" i="12"/>
  <c r="A9" i="12"/>
  <c r="C8" i="12"/>
  <c r="B8" i="12"/>
  <c r="A8" i="12"/>
  <c r="C7" i="12"/>
  <c r="B7" i="12"/>
  <c r="A7" i="12"/>
  <c r="C6" i="12"/>
  <c r="B6" i="12"/>
  <c r="A6" i="12"/>
  <c r="C5" i="12"/>
  <c r="B5" i="12"/>
  <c r="A5" i="12"/>
  <c r="C4" i="12"/>
  <c r="B4" i="12"/>
  <c r="A4" i="12"/>
  <c r="H66" i="2"/>
  <c r="H58" i="2"/>
  <c r="H11" i="2"/>
  <c r="H100" i="2"/>
  <c r="H68" i="2"/>
  <c r="H69" i="2"/>
  <c r="H67" i="2"/>
  <c r="H71" i="2"/>
  <c r="H63" i="2"/>
  <c r="H6" i="2"/>
  <c r="H101" i="2" s="1"/>
  <c r="H72" i="2"/>
  <c r="H73" i="2"/>
  <c r="K3" i="19"/>
  <c r="K104" i="19" s="1"/>
</calcChain>
</file>

<file path=xl/sharedStrings.xml><?xml version="1.0" encoding="utf-8"?>
<sst xmlns="http://schemas.openxmlformats.org/spreadsheetml/2006/main" count="3529" uniqueCount="672">
  <si>
    <t>府省名</t>
    <rPh sb="0" eb="2">
      <t>フショウ</t>
    </rPh>
    <rPh sb="2" eb="3">
      <t>ナ</t>
    </rPh>
    <phoneticPr fontId="1"/>
  </si>
  <si>
    <t>法人名</t>
    <rPh sb="0" eb="2">
      <t>ホウジン</t>
    </rPh>
    <rPh sb="2" eb="3">
      <t>ナ</t>
    </rPh>
    <phoneticPr fontId="1"/>
  </si>
  <si>
    <t>予算額の内訳</t>
    <rPh sb="0" eb="3">
      <t>ヨサンガク</t>
    </rPh>
    <rPh sb="4" eb="6">
      <t>ウチワケ</t>
    </rPh>
    <phoneticPr fontId="1"/>
  </si>
  <si>
    <t>運営費交付金</t>
    <rPh sb="0" eb="3">
      <t>ウンエイヒ</t>
    </rPh>
    <rPh sb="3" eb="6">
      <t>コウフキン</t>
    </rPh>
    <phoneticPr fontId="1"/>
  </si>
  <si>
    <t>施設整備費</t>
    <rPh sb="0" eb="2">
      <t>シセツ</t>
    </rPh>
    <rPh sb="2" eb="5">
      <t>セイビヒ</t>
    </rPh>
    <phoneticPr fontId="1"/>
  </si>
  <si>
    <t>受託収入</t>
    <rPh sb="0" eb="2">
      <t>ジュタク</t>
    </rPh>
    <rPh sb="2" eb="4">
      <t>シュウニュウ</t>
    </rPh>
    <phoneticPr fontId="1"/>
  </si>
  <si>
    <t>その他</t>
    <rPh sb="2" eb="3">
      <t>タ</t>
    </rPh>
    <phoneticPr fontId="1"/>
  </si>
  <si>
    <t>前年度繰越金</t>
    <rPh sb="0" eb="3">
      <t>ゼンネンド</t>
    </rPh>
    <rPh sb="3" eb="5">
      <t>クリコシ</t>
    </rPh>
    <rPh sb="5" eb="6">
      <t>キン</t>
    </rPh>
    <phoneticPr fontId="1"/>
  </si>
  <si>
    <t>積立金取崩額</t>
    <rPh sb="0" eb="2">
      <t>ツミタテ</t>
    </rPh>
    <rPh sb="2" eb="3">
      <t>キン</t>
    </rPh>
    <rPh sb="3" eb="5">
      <t>トリクズシ</t>
    </rPh>
    <rPh sb="5" eb="6">
      <t>ガク</t>
    </rPh>
    <phoneticPr fontId="1"/>
  </si>
  <si>
    <t>計</t>
    <rPh sb="0" eb="1">
      <t>ケイ</t>
    </rPh>
    <phoneticPr fontId="1"/>
  </si>
  <si>
    <t>業務経費</t>
    <rPh sb="0" eb="2">
      <t>ギョウム</t>
    </rPh>
    <rPh sb="2" eb="4">
      <t>ケイヒ</t>
    </rPh>
    <phoneticPr fontId="1"/>
  </si>
  <si>
    <t>受託経費</t>
    <rPh sb="0" eb="2">
      <t>ジュタク</t>
    </rPh>
    <rPh sb="2" eb="4">
      <t>ケイヒ</t>
    </rPh>
    <phoneticPr fontId="1"/>
  </si>
  <si>
    <t>一般管理費</t>
    <rPh sb="0" eb="2">
      <t>イッパン</t>
    </rPh>
    <rPh sb="2" eb="5">
      <t>カンリヒ</t>
    </rPh>
    <phoneticPr fontId="1"/>
  </si>
  <si>
    <t>翌年度繰越金</t>
    <rPh sb="0" eb="3">
      <t>ヨクネンド</t>
    </rPh>
    <rPh sb="3" eb="5">
      <t>クリコシ</t>
    </rPh>
    <rPh sb="5" eb="6">
      <t>キン</t>
    </rPh>
    <phoneticPr fontId="1"/>
  </si>
  <si>
    <t>運営費交付金の収益化基準</t>
    <rPh sb="0" eb="3">
      <t>ウンエイヒ</t>
    </rPh>
    <rPh sb="3" eb="6">
      <t>コウフキン</t>
    </rPh>
    <rPh sb="7" eb="10">
      <t>シュウエキカ</t>
    </rPh>
    <rPh sb="10" eb="12">
      <t>キジュン</t>
    </rPh>
    <phoneticPr fontId="1"/>
  </si>
  <si>
    <t>法定勘定区分の状況</t>
    <rPh sb="0" eb="2">
      <t>ホウテイ</t>
    </rPh>
    <rPh sb="2" eb="4">
      <t>カンジョウ</t>
    </rPh>
    <rPh sb="4" eb="6">
      <t>クブン</t>
    </rPh>
    <rPh sb="7" eb="9">
      <t>ジョウキョウ</t>
    </rPh>
    <phoneticPr fontId="1"/>
  </si>
  <si>
    <t>区分数</t>
    <rPh sb="0" eb="2">
      <t>クブン</t>
    </rPh>
    <rPh sb="2" eb="3">
      <t>スウ</t>
    </rPh>
    <phoneticPr fontId="1"/>
  </si>
  <si>
    <t>内容</t>
    <rPh sb="0" eb="2">
      <t>ナイヨウ</t>
    </rPh>
    <phoneticPr fontId="1"/>
  </si>
  <si>
    <t>セグメント区分の状況</t>
    <rPh sb="5" eb="7">
      <t>クブン</t>
    </rPh>
    <rPh sb="8" eb="10">
      <t>ジョウキョウ</t>
    </rPh>
    <phoneticPr fontId="1"/>
  </si>
  <si>
    <t>資産</t>
    <rPh sb="0" eb="2">
      <t>シサン</t>
    </rPh>
    <phoneticPr fontId="1"/>
  </si>
  <si>
    <t>有形固定資産</t>
    <rPh sb="0" eb="2">
      <t>ユウケイ</t>
    </rPh>
    <rPh sb="2" eb="4">
      <t>コテイ</t>
    </rPh>
    <rPh sb="4" eb="6">
      <t>シサン</t>
    </rPh>
    <phoneticPr fontId="1"/>
  </si>
  <si>
    <t>現金及び預金</t>
    <rPh sb="0" eb="2">
      <t>ゲンキン</t>
    </rPh>
    <rPh sb="2" eb="3">
      <t>オヨ</t>
    </rPh>
    <rPh sb="4" eb="6">
      <t>ヨキン</t>
    </rPh>
    <phoneticPr fontId="1"/>
  </si>
  <si>
    <t>貸付金</t>
    <rPh sb="0" eb="2">
      <t>カシツケ</t>
    </rPh>
    <rPh sb="2" eb="3">
      <t>キン</t>
    </rPh>
    <phoneticPr fontId="1"/>
  </si>
  <si>
    <t>負債</t>
    <rPh sb="0" eb="2">
      <t>フサイ</t>
    </rPh>
    <phoneticPr fontId="1"/>
  </si>
  <si>
    <t>運営費交付金債務</t>
    <rPh sb="0" eb="3">
      <t>ウンエイヒ</t>
    </rPh>
    <rPh sb="3" eb="6">
      <t>コウフキン</t>
    </rPh>
    <rPh sb="6" eb="8">
      <t>サイム</t>
    </rPh>
    <phoneticPr fontId="1"/>
  </si>
  <si>
    <t>引当金・準備金</t>
    <rPh sb="0" eb="2">
      <t>ヒキアテ</t>
    </rPh>
    <rPh sb="2" eb="3">
      <t>キン</t>
    </rPh>
    <rPh sb="4" eb="7">
      <t>ジュンビキン</t>
    </rPh>
    <phoneticPr fontId="1"/>
  </si>
  <si>
    <t>純資産</t>
    <rPh sb="0" eb="3">
      <t>ジュンシサン</t>
    </rPh>
    <phoneticPr fontId="1"/>
  </si>
  <si>
    <t>政府出資金</t>
    <rPh sb="0" eb="2">
      <t>セイフ</t>
    </rPh>
    <rPh sb="2" eb="5">
      <t>シュッシキン</t>
    </rPh>
    <phoneticPr fontId="1"/>
  </si>
  <si>
    <t>その他出資金</t>
    <rPh sb="2" eb="3">
      <t>タ</t>
    </rPh>
    <rPh sb="3" eb="6">
      <t>シュッシキン</t>
    </rPh>
    <phoneticPr fontId="1"/>
  </si>
  <si>
    <t>資本剰余金</t>
    <rPh sb="0" eb="2">
      <t>シホン</t>
    </rPh>
    <rPh sb="2" eb="5">
      <t>ジョウヨキン</t>
    </rPh>
    <phoneticPr fontId="1"/>
  </si>
  <si>
    <t>目的積立金</t>
    <rPh sb="0" eb="2">
      <t>モクテキ</t>
    </rPh>
    <rPh sb="2" eb="4">
      <t>ツミタテ</t>
    </rPh>
    <rPh sb="4" eb="5">
      <t>キン</t>
    </rPh>
    <phoneticPr fontId="1"/>
  </si>
  <si>
    <t>その他資産</t>
    <rPh sb="2" eb="3">
      <t>タ</t>
    </rPh>
    <rPh sb="3" eb="5">
      <t>シサン</t>
    </rPh>
    <phoneticPr fontId="1"/>
  </si>
  <si>
    <t>その他負債</t>
    <rPh sb="2" eb="3">
      <t>タ</t>
    </rPh>
    <rPh sb="3" eb="5">
      <t>フサイ</t>
    </rPh>
    <phoneticPr fontId="1"/>
  </si>
  <si>
    <t>経常費用</t>
    <rPh sb="0" eb="2">
      <t>ケイジョウ</t>
    </rPh>
    <rPh sb="2" eb="4">
      <t>ヒヨウ</t>
    </rPh>
    <phoneticPr fontId="1"/>
  </si>
  <si>
    <t>業務費</t>
    <rPh sb="0" eb="2">
      <t>ギョウム</t>
    </rPh>
    <rPh sb="2" eb="3">
      <t>ヒ</t>
    </rPh>
    <phoneticPr fontId="1"/>
  </si>
  <si>
    <t>経常収益</t>
    <rPh sb="0" eb="2">
      <t>ケイジョウ</t>
    </rPh>
    <rPh sb="2" eb="4">
      <t>シュウエキ</t>
    </rPh>
    <phoneticPr fontId="1"/>
  </si>
  <si>
    <t>運営費交付金収益</t>
    <rPh sb="0" eb="3">
      <t>ウンエイヒ</t>
    </rPh>
    <rPh sb="3" eb="6">
      <t>コウフキン</t>
    </rPh>
    <rPh sb="6" eb="8">
      <t>シュウエキ</t>
    </rPh>
    <phoneticPr fontId="1"/>
  </si>
  <si>
    <t>財務収益</t>
    <rPh sb="0" eb="2">
      <t>ザイム</t>
    </rPh>
    <rPh sb="2" eb="4">
      <t>シュウエキ</t>
    </rPh>
    <phoneticPr fontId="1"/>
  </si>
  <si>
    <t>臨時損失</t>
    <rPh sb="0" eb="2">
      <t>リンジ</t>
    </rPh>
    <rPh sb="2" eb="4">
      <t>ソンシツ</t>
    </rPh>
    <phoneticPr fontId="1"/>
  </si>
  <si>
    <t>臨時利益</t>
    <rPh sb="0" eb="2">
      <t>リンジ</t>
    </rPh>
    <rPh sb="2" eb="4">
      <t>リエキ</t>
    </rPh>
    <phoneticPr fontId="1"/>
  </si>
  <si>
    <t>法人税等</t>
    <rPh sb="0" eb="2">
      <t>ホウジン</t>
    </rPh>
    <rPh sb="2" eb="3">
      <t>ゼイ</t>
    </rPh>
    <rPh sb="3" eb="4">
      <t>トウ</t>
    </rPh>
    <phoneticPr fontId="1"/>
  </si>
  <si>
    <t>積立金</t>
    <rPh sb="0" eb="2">
      <t>ツミタテ</t>
    </rPh>
    <rPh sb="2" eb="3">
      <t>キン</t>
    </rPh>
    <phoneticPr fontId="1"/>
  </si>
  <si>
    <t>当期未処分利益
（当期未処理損失）</t>
    <rPh sb="0" eb="2">
      <t>トウキ</t>
    </rPh>
    <rPh sb="2" eb="5">
      <t>ミショブン</t>
    </rPh>
    <rPh sb="5" eb="7">
      <t>リエキ</t>
    </rPh>
    <rPh sb="9" eb="11">
      <t>トウキ</t>
    </rPh>
    <rPh sb="11" eb="14">
      <t>ミショリ</t>
    </rPh>
    <rPh sb="14" eb="16">
      <t>ソンシツ</t>
    </rPh>
    <phoneticPr fontId="1"/>
  </si>
  <si>
    <t>①</t>
    <phoneticPr fontId="1"/>
  </si>
  <si>
    <t>②</t>
    <phoneticPr fontId="1"/>
  </si>
  <si>
    <t>③</t>
    <phoneticPr fontId="1"/>
  </si>
  <si>
    <t>目的積立金の内容</t>
    <rPh sb="0" eb="2">
      <t>モクテキ</t>
    </rPh>
    <rPh sb="2" eb="4">
      <t>ツミタテ</t>
    </rPh>
    <rPh sb="4" eb="5">
      <t>キン</t>
    </rPh>
    <rPh sb="6" eb="8">
      <t>ナイヨウ</t>
    </rPh>
    <phoneticPr fontId="1"/>
  </si>
  <si>
    <t>国庫納付額</t>
    <rPh sb="0" eb="2">
      <t>コッコ</t>
    </rPh>
    <rPh sb="2" eb="4">
      <t>ノウフ</t>
    </rPh>
    <rPh sb="4" eb="5">
      <t>ガク</t>
    </rPh>
    <phoneticPr fontId="1"/>
  </si>
  <si>
    <t>内訳</t>
    <rPh sb="0" eb="2">
      <t>ウチワケ</t>
    </rPh>
    <phoneticPr fontId="1"/>
  </si>
  <si>
    <t>中期目標期間終了に伴う積立金の納付</t>
    <rPh sb="0" eb="2">
      <t>チュウキ</t>
    </rPh>
    <rPh sb="2" eb="4">
      <t>モクヒョウ</t>
    </rPh>
    <rPh sb="4" eb="6">
      <t>キカン</t>
    </rPh>
    <rPh sb="6" eb="8">
      <t>シュウリョウ</t>
    </rPh>
    <rPh sb="9" eb="10">
      <t>トモナ</t>
    </rPh>
    <rPh sb="11" eb="13">
      <t>ツミタテ</t>
    </rPh>
    <rPh sb="13" eb="14">
      <t>キン</t>
    </rPh>
    <rPh sb="15" eb="17">
      <t>ノウフ</t>
    </rPh>
    <phoneticPr fontId="1"/>
  </si>
  <si>
    <t>業務費用</t>
    <rPh sb="0" eb="2">
      <t>ギョウム</t>
    </rPh>
    <rPh sb="2" eb="4">
      <t>ヒヨウ</t>
    </rPh>
    <phoneticPr fontId="1"/>
  </si>
  <si>
    <t>損益外減価償却相当額</t>
    <rPh sb="0" eb="2">
      <t>ソンエキ</t>
    </rPh>
    <rPh sb="2" eb="3">
      <t>ガイ</t>
    </rPh>
    <rPh sb="3" eb="5">
      <t>ゲンカ</t>
    </rPh>
    <rPh sb="5" eb="7">
      <t>ショウキャク</t>
    </rPh>
    <rPh sb="7" eb="9">
      <t>ソウトウ</t>
    </rPh>
    <rPh sb="9" eb="10">
      <t>ガク</t>
    </rPh>
    <phoneticPr fontId="1"/>
  </si>
  <si>
    <t>損益外減損損失相当額</t>
    <rPh sb="0" eb="2">
      <t>ソンエキ</t>
    </rPh>
    <rPh sb="2" eb="3">
      <t>ガイ</t>
    </rPh>
    <rPh sb="3" eb="5">
      <t>ゲンソン</t>
    </rPh>
    <rPh sb="5" eb="7">
      <t>ソンシツ</t>
    </rPh>
    <rPh sb="7" eb="9">
      <t>ソウトウ</t>
    </rPh>
    <rPh sb="9" eb="10">
      <t>ガク</t>
    </rPh>
    <phoneticPr fontId="1"/>
  </si>
  <si>
    <t>損益外利息費用相当額</t>
    <rPh sb="0" eb="2">
      <t>ソンエキ</t>
    </rPh>
    <rPh sb="2" eb="3">
      <t>ガイ</t>
    </rPh>
    <rPh sb="3" eb="5">
      <t>リソク</t>
    </rPh>
    <rPh sb="5" eb="7">
      <t>ヒヨウ</t>
    </rPh>
    <rPh sb="7" eb="9">
      <t>ソウトウ</t>
    </rPh>
    <rPh sb="9" eb="10">
      <t>ガク</t>
    </rPh>
    <phoneticPr fontId="1"/>
  </si>
  <si>
    <t>損益外除売却差額相当額</t>
    <rPh sb="0" eb="2">
      <t>ソンエキ</t>
    </rPh>
    <rPh sb="2" eb="3">
      <t>ガイ</t>
    </rPh>
    <rPh sb="3" eb="4">
      <t>ジョ</t>
    </rPh>
    <rPh sb="4" eb="6">
      <t>バイキャク</t>
    </rPh>
    <rPh sb="6" eb="8">
      <t>サガク</t>
    </rPh>
    <rPh sb="8" eb="10">
      <t>ソウトウ</t>
    </rPh>
    <rPh sb="10" eb="11">
      <t>ガク</t>
    </rPh>
    <phoneticPr fontId="1"/>
  </si>
  <si>
    <t>引当外賞与見積額</t>
    <rPh sb="0" eb="2">
      <t>ヒキアテ</t>
    </rPh>
    <rPh sb="2" eb="3">
      <t>ガイ</t>
    </rPh>
    <rPh sb="3" eb="5">
      <t>ショウヨ</t>
    </rPh>
    <rPh sb="5" eb="7">
      <t>ミツモリ</t>
    </rPh>
    <rPh sb="7" eb="8">
      <t>ガク</t>
    </rPh>
    <phoneticPr fontId="1"/>
  </si>
  <si>
    <t>引当外退職給付増加見積額</t>
    <rPh sb="0" eb="2">
      <t>ヒキアテ</t>
    </rPh>
    <rPh sb="2" eb="3">
      <t>ガイ</t>
    </rPh>
    <rPh sb="3" eb="5">
      <t>タイショク</t>
    </rPh>
    <rPh sb="5" eb="7">
      <t>キュウフ</t>
    </rPh>
    <rPh sb="7" eb="9">
      <t>ゾウカ</t>
    </rPh>
    <rPh sb="9" eb="11">
      <t>ミツモ</t>
    </rPh>
    <rPh sb="11" eb="12">
      <t>ガク</t>
    </rPh>
    <phoneticPr fontId="1"/>
  </si>
  <si>
    <t>機会費用</t>
    <rPh sb="0" eb="2">
      <t>キカイ</t>
    </rPh>
    <rPh sb="2" eb="4">
      <t>ヒヨウ</t>
    </rPh>
    <phoneticPr fontId="1"/>
  </si>
  <si>
    <t>（控除）
法人税及び国庫納付額</t>
    <rPh sb="1" eb="3">
      <t>コウジョ</t>
    </rPh>
    <rPh sb="5" eb="8">
      <t>ホウジンゼイ</t>
    </rPh>
    <rPh sb="8" eb="9">
      <t>オヨ</t>
    </rPh>
    <rPh sb="10" eb="12">
      <t>コッコ</t>
    </rPh>
    <rPh sb="12" eb="14">
      <t>ノウフ</t>
    </rPh>
    <rPh sb="14" eb="15">
      <t>ガク</t>
    </rPh>
    <phoneticPr fontId="1"/>
  </si>
  <si>
    <t>計
（行政サービス実施コスト）</t>
    <rPh sb="0" eb="1">
      <t>ケイ</t>
    </rPh>
    <rPh sb="3" eb="5">
      <t>ギョウセイ</t>
    </rPh>
    <rPh sb="9" eb="11">
      <t>ジッシ</t>
    </rPh>
    <phoneticPr fontId="1"/>
  </si>
  <si>
    <t>業務活動によるキャッシュ・フロー</t>
    <rPh sb="0" eb="2">
      <t>ギョウム</t>
    </rPh>
    <rPh sb="2" eb="4">
      <t>カツドウ</t>
    </rPh>
    <phoneticPr fontId="1"/>
  </si>
  <si>
    <t>投資活動によるキャッシュ・フロー</t>
    <rPh sb="0" eb="2">
      <t>トウシ</t>
    </rPh>
    <rPh sb="2" eb="4">
      <t>カツドウ</t>
    </rPh>
    <phoneticPr fontId="1"/>
  </si>
  <si>
    <t>財務活動によるキャッシュ・フロー</t>
    <rPh sb="0" eb="2">
      <t>ザイム</t>
    </rPh>
    <rPh sb="2" eb="4">
      <t>カツドウ</t>
    </rPh>
    <phoneticPr fontId="1"/>
  </si>
  <si>
    <t>資金に係る換算差額</t>
    <rPh sb="0" eb="2">
      <t>シキン</t>
    </rPh>
    <rPh sb="3" eb="4">
      <t>カカ</t>
    </rPh>
    <rPh sb="5" eb="7">
      <t>カンザン</t>
    </rPh>
    <rPh sb="7" eb="9">
      <t>サガク</t>
    </rPh>
    <phoneticPr fontId="1"/>
  </si>
  <si>
    <t>資金増加額（又は減少額）</t>
    <rPh sb="0" eb="2">
      <t>シキン</t>
    </rPh>
    <rPh sb="2" eb="4">
      <t>ゾウカ</t>
    </rPh>
    <rPh sb="4" eb="5">
      <t>ガク</t>
    </rPh>
    <rPh sb="6" eb="7">
      <t>マタ</t>
    </rPh>
    <rPh sb="8" eb="10">
      <t>ゲンショウ</t>
    </rPh>
    <rPh sb="10" eb="11">
      <t>ガク</t>
    </rPh>
    <phoneticPr fontId="1"/>
  </si>
  <si>
    <t>資金期首残高</t>
    <rPh sb="0" eb="2">
      <t>シキン</t>
    </rPh>
    <rPh sb="2" eb="4">
      <t>キシュ</t>
    </rPh>
    <rPh sb="4" eb="6">
      <t>ザンダカ</t>
    </rPh>
    <phoneticPr fontId="1"/>
  </si>
  <si>
    <t>資金期末残高</t>
    <rPh sb="0" eb="2">
      <t>シキン</t>
    </rPh>
    <rPh sb="2" eb="4">
      <t>キマツ</t>
    </rPh>
    <rPh sb="4" eb="6">
      <t>ザンダカ</t>
    </rPh>
    <phoneticPr fontId="1"/>
  </si>
  <si>
    <t>業務達成基準</t>
    <rPh sb="0" eb="2">
      <t>ギョウム</t>
    </rPh>
    <rPh sb="2" eb="4">
      <t>タッセイ</t>
    </rPh>
    <rPh sb="4" eb="6">
      <t>キジュン</t>
    </rPh>
    <phoneticPr fontId="1"/>
  </si>
  <si>
    <t>期間進行基準</t>
    <rPh sb="0" eb="2">
      <t>キカン</t>
    </rPh>
    <rPh sb="2" eb="4">
      <t>シンコウ</t>
    </rPh>
    <rPh sb="4" eb="6">
      <t>キジュン</t>
    </rPh>
    <phoneticPr fontId="1"/>
  </si>
  <si>
    <t>費用進行基準</t>
    <rPh sb="0" eb="2">
      <t>ヒヨウ</t>
    </rPh>
    <rPh sb="2" eb="4">
      <t>シンコウ</t>
    </rPh>
    <rPh sb="4" eb="6">
      <t>キジュン</t>
    </rPh>
    <phoneticPr fontId="1"/>
  </si>
  <si>
    <t>通則法第46条の２の規定に基づく不要財産に係る国庫納付</t>
    <rPh sb="0" eb="2">
      <t>ツウソク</t>
    </rPh>
    <rPh sb="2" eb="3">
      <t>ホウ</t>
    </rPh>
    <rPh sb="3" eb="4">
      <t>ダイ</t>
    </rPh>
    <rPh sb="6" eb="7">
      <t>ジョウ</t>
    </rPh>
    <rPh sb="10" eb="12">
      <t>キテイ</t>
    </rPh>
    <rPh sb="13" eb="14">
      <t>モト</t>
    </rPh>
    <rPh sb="16" eb="18">
      <t>フヨウ</t>
    </rPh>
    <rPh sb="18" eb="20">
      <t>ザイサン</t>
    </rPh>
    <rPh sb="21" eb="22">
      <t>カカ</t>
    </rPh>
    <rPh sb="23" eb="25">
      <t>コッコ</t>
    </rPh>
    <rPh sb="25" eb="27">
      <t>ノウフ</t>
    </rPh>
    <phoneticPr fontId="1"/>
  </si>
  <si>
    <t>前中期目標期間
繰越積立金</t>
    <rPh sb="0" eb="1">
      <t>ゼン</t>
    </rPh>
    <rPh sb="1" eb="3">
      <t>チュウキ</t>
    </rPh>
    <rPh sb="3" eb="5">
      <t>モクヒョウ</t>
    </rPh>
    <rPh sb="5" eb="7">
      <t>キカン</t>
    </rPh>
    <rPh sb="8" eb="10">
      <t>クリコ</t>
    </rPh>
    <rPh sb="10" eb="12">
      <t>ツミタテ</t>
    </rPh>
    <rPh sb="12" eb="13">
      <t>キン</t>
    </rPh>
    <phoneticPr fontId="1"/>
  </si>
  <si>
    <t>利益剰余金の残高</t>
    <rPh sb="0" eb="2">
      <t>リエキ</t>
    </rPh>
    <rPh sb="2" eb="5">
      <t>ジョウヨキン</t>
    </rPh>
    <rPh sb="6" eb="8">
      <t>ザンダカ</t>
    </rPh>
    <phoneticPr fontId="1"/>
  </si>
  <si>
    <t>④</t>
    <phoneticPr fontId="1"/>
  </si>
  <si>
    <t>⑤</t>
    <phoneticPr fontId="1"/>
  </si>
  <si>
    <t>⑥=（左記合計）</t>
    <rPh sb="3" eb="5">
      <t>サキ</t>
    </rPh>
    <rPh sb="5" eb="7">
      <t>ゴウケイ</t>
    </rPh>
    <phoneticPr fontId="1"/>
  </si>
  <si>
    <t>利益剰余金
（繰越欠損金）</t>
    <rPh sb="0" eb="2">
      <t>リエキ</t>
    </rPh>
    <rPh sb="2" eb="5">
      <t>ジョウヨキン</t>
    </rPh>
    <rPh sb="7" eb="9">
      <t>クリコシ</t>
    </rPh>
    <rPh sb="9" eb="12">
      <t>ケッソンキン</t>
    </rPh>
    <phoneticPr fontId="1"/>
  </si>
  <si>
    <t>利益処分・損失処理の状況</t>
    <rPh sb="0" eb="2">
      <t>リエキ</t>
    </rPh>
    <rPh sb="2" eb="4">
      <t>ショブン</t>
    </rPh>
    <rPh sb="5" eb="7">
      <t>ソンシツ</t>
    </rPh>
    <rPh sb="7" eb="9">
      <t>ショリ</t>
    </rPh>
    <rPh sb="10" eb="12">
      <t>ジョウキョウ</t>
    </rPh>
    <phoneticPr fontId="1"/>
  </si>
  <si>
    <t>当期総利益
（△総損失）</t>
    <rPh sb="0" eb="2">
      <t>トウキ</t>
    </rPh>
    <rPh sb="2" eb="5">
      <t>ソウリエキ</t>
    </rPh>
    <rPh sb="8" eb="9">
      <t>ソウ</t>
    </rPh>
    <rPh sb="9" eb="11">
      <t>ソンシツ</t>
    </rPh>
    <phoneticPr fontId="1"/>
  </si>
  <si>
    <t>利益処分（損失処理）額</t>
    <rPh sb="0" eb="2">
      <t>リエキ</t>
    </rPh>
    <rPh sb="2" eb="4">
      <t>ショブン</t>
    </rPh>
    <rPh sb="5" eb="7">
      <t>ソンシツ</t>
    </rPh>
    <rPh sb="7" eb="9">
      <t>ショリ</t>
    </rPh>
    <rPh sb="10" eb="11">
      <t>ガク</t>
    </rPh>
    <phoneticPr fontId="1"/>
  </si>
  <si>
    <t>積立金
（△取崩額）</t>
    <rPh sb="0" eb="2">
      <t>ツミタテ</t>
    </rPh>
    <rPh sb="2" eb="3">
      <t>キン</t>
    </rPh>
    <rPh sb="6" eb="8">
      <t>トリクズシ</t>
    </rPh>
    <rPh sb="8" eb="9">
      <t>ガク</t>
    </rPh>
    <phoneticPr fontId="1"/>
  </si>
  <si>
    <t>目的積立金
（△取崩額）</t>
    <rPh sb="0" eb="2">
      <t>モクテキ</t>
    </rPh>
    <rPh sb="2" eb="4">
      <t>ツミタテ</t>
    </rPh>
    <rPh sb="4" eb="5">
      <t>キン</t>
    </rPh>
    <rPh sb="8" eb="10">
      <t>トリクズシ</t>
    </rPh>
    <rPh sb="10" eb="11">
      <t>ガク</t>
    </rPh>
    <phoneticPr fontId="1"/>
  </si>
  <si>
    <t>特許権等</t>
    <rPh sb="0" eb="3">
      <t>トッキョケン</t>
    </rPh>
    <rPh sb="3" eb="4">
      <t>トウ</t>
    </rPh>
    <phoneticPr fontId="1"/>
  </si>
  <si>
    <t>関連公益法人等</t>
    <rPh sb="0" eb="2">
      <t>カンレン</t>
    </rPh>
    <rPh sb="2" eb="4">
      <t>コウエキ</t>
    </rPh>
    <rPh sb="4" eb="6">
      <t>ホウジン</t>
    </rPh>
    <rPh sb="6" eb="7">
      <t>トウ</t>
    </rPh>
    <phoneticPr fontId="1"/>
  </si>
  <si>
    <t>出資金</t>
    <rPh sb="0" eb="3">
      <t>シュッシキン</t>
    </rPh>
    <phoneticPr fontId="1"/>
  </si>
  <si>
    <t>内閣府</t>
    <rPh sb="0" eb="3">
      <t>ナイカクフ</t>
    </rPh>
    <phoneticPr fontId="8"/>
  </si>
  <si>
    <t>国立公文書館</t>
  </si>
  <si>
    <t>北方領土問題対策協会</t>
    <rPh sb="0" eb="2">
      <t>ホッポウ</t>
    </rPh>
    <rPh sb="2" eb="4">
      <t>リョウド</t>
    </rPh>
    <rPh sb="4" eb="6">
      <t>モンダイ</t>
    </rPh>
    <rPh sb="6" eb="8">
      <t>タイサク</t>
    </rPh>
    <rPh sb="8" eb="10">
      <t>キョウカイ</t>
    </rPh>
    <phoneticPr fontId="20"/>
  </si>
  <si>
    <t>消費者庁</t>
    <rPh sb="0" eb="2">
      <t>ショウヒ</t>
    </rPh>
    <rPh sb="3" eb="4">
      <t>チョウ</t>
    </rPh>
    <phoneticPr fontId="10"/>
  </si>
  <si>
    <t>国民生活センター</t>
    <rPh sb="0" eb="2">
      <t>コクミン</t>
    </rPh>
    <rPh sb="2" eb="4">
      <t>セイカツ</t>
    </rPh>
    <phoneticPr fontId="20"/>
  </si>
  <si>
    <t>総務省</t>
  </si>
  <si>
    <t>情報通信研究機構</t>
    <rPh sb="0" eb="4">
      <t>ジョウホウツウシン</t>
    </rPh>
    <rPh sb="4" eb="6">
      <t>ケンキュウ</t>
    </rPh>
    <rPh sb="6" eb="8">
      <t>キコウ</t>
    </rPh>
    <phoneticPr fontId="8"/>
  </si>
  <si>
    <t>統計センター</t>
    <rPh sb="0" eb="2">
      <t>トウケイ</t>
    </rPh>
    <phoneticPr fontId="20"/>
  </si>
  <si>
    <t>郵便貯金・簡易生命保険管理機構</t>
    <rPh sb="0" eb="2">
      <t>ユウビン</t>
    </rPh>
    <rPh sb="2" eb="4">
      <t>チョキン</t>
    </rPh>
    <rPh sb="5" eb="7">
      <t>カンイ</t>
    </rPh>
    <rPh sb="7" eb="9">
      <t>セイメイ</t>
    </rPh>
    <rPh sb="9" eb="11">
      <t>ホケン</t>
    </rPh>
    <rPh sb="11" eb="13">
      <t>カンリ</t>
    </rPh>
    <rPh sb="13" eb="15">
      <t>キコウ</t>
    </rPh>
    <phoneticPr fontId="20"/>
  </si>
  <si>
    <t>外務省</t>
    <rPh sb="0" eb="3">
      <t>ガイムショウ</t>
    </rPh>
    <phoneticPr fontId="8"/>
  </si>
  <si>
    <t>国際協力機構</t>
    <rPh sb="0" eb="2">
      <t>コクサイ</t>
    </rPh>
    <rPh sb="2" eb="4">
      <t>キョウリョク</t>
    </rPh>
    <rPh sb="4" eb="6">
      <t>キコウ</t>
    </rPh>
    <phoneticPr fontId="20"/>
  </si>
  <si>
    <t>国際交流基金</t>
    <rPh sb="0" eb="2">
      <t>コクサイ</t>
    </rPh>
    <rPh sb="2" eb="4">
      <t>コウリュウ</t>
    </rPh>
    <rPh sb="4" eb="6">
      <t>キキン</t>
    </rPh>
    <phoneticPr fontId="20"/>
  </si>
  <si>
    <t>財務省</t>
    <rPh sb="0" eb="3">
      <t>ザイムショウ</t>
    </rPh>
    <phoneticPr fontId="8"/>
  </si>
  <si>
    <t>酒類総合研究所</t>
    <rPh sb="0" eb="2">
      <t>シュルイ</t>
    </rPh>
    <rPh sb="2" eb="4">
      <t>ソウゴウ</t>
    </rPh>
    <rPh sb="4" eb="7">
      <t>ケンキュウジョ</t>
    </rPh>
    <phoneticPr fontId="8"/>
  </si>
  <si>
    <t>造幣局</t>
    <rPh sb="0" eb="3">
      <t>ゾウヘイキョク</t>
    </rPh>
    <phoneticPr fontId="8"/>
  </si>
  <si>
    <t>国立印刷局</t>
    <rPh sb="0" eb="2">
      <t>コクリツ</t>
    </rPh>
    <rPh sb="2" eb="5">
      <t>インサツキョク</t>
    </rPh>
    <phoneticPr fontId="20"/>
  </si>
  <si>
    <t>文部科学省</t>
    <rPh sb="0" eb="2">
      <t>モンブ</t>
    </rPh>
    <rPh sb="2" eb="4">
      <t>カガク</t>
    </rPh>
    <rPh sb="4" eb="5">
      <t>ショウ</t>
    </rPh>
    <phoneticPr fontId="8"/>
  </si>
  <si>
    <t>国立特別支援教育総合研究所</t>
    <rPh sb="2" eb="4">
      <t>トクベツ</t>
    </rPh>
    <rPh sb="4" eb="6">
      <t>シエン</t>
    </rPh>
    <phoneticPr fontId="20"/>
  </si>
  <si>
    <t>大学入試センター</t>
  </si>
  <si>
    <t>国立青少年教育振興機構</t>
    <rPh sb="2" eb="5">
      <t>セイショウネン</t>
    </rPh>
    <rPh sb="5" eb="7">
      <t>キョウイク</t>
    </rPh>
    <rPh sb="7" eb="9">
      <t>シンコウ</t>
    </rPh>
    <rPh sb="9" eb="11">
      <t>キコウ</t>
    </rPh>
    <phoneticPr fontId="20"/>
  </si>
  <si>
    <t>国立女性教育会館</t>
  </si>
  <si>
    <t>国立科学博物館</t>
    <rPh sb="0" eb="2">
      <t>コクリツ</t>
    </rPh>
    <rPh sb="2" eb="4">
      <t>カガク</t>
    </rPh>
    <rPh sb="4" eb="7">
      <t>ハクブツカン</t>
    </rPh>
    <phoneticPr fontId="8"/>
  </si>
  <si>
    <t>物質・材料研究機構</t>
  </si>
  <si>
    <t>防災科学技術研究所</t>
  </si>
  <si>
    <t>放射線医学総合研究所</t>
    <rPh sb="0" eb="3">
      <t>ホウシャセン</t>
    </rPh>
    <rPh sb="3" eb="5">
      <t>イガク</t>
    </rPh>
    <rPh sb="5" eb="7">
      <t>ソウゴウ</t>
    </rPh>
    <rPh sb="7" eb="10">
      <t>ケンキュウショ</t>
    </rPh>
    <phoneticPr fontId="8"/>
  </si>
  <si>
    <t>国立美術館</t>
  </si>
  <si>
    <t>国立文化財機構</t>
    <rPh sb="0" eb="2">
      <t>コクリツ</t>
    </rPh>
    <rPh sb="2" eb="5">
      <t>ブンカザイ</t>
    </rPh>
    <rPh sb="5" eb="7">
      <t>キコウ</t>
    </rPh>
    <phoneticPr fontId="20"/>
  </si>
  <si>
    <t>教員研修センター</t>
  </si>
  <si>
    <t>科学技術振興機構</t>
    <rPh sb="0" eb="2">
      <t>カガク</t>
    </rPh>
    <rPh sb="2" eb="4">
      <t>ギジュツ</t>
    </rPh>
    <rPh sb="4" eb="6">
      <t>シンコウ</t>
    </rPh>
    <rPh sb="6" eb="8">
      <t>キコウ</t>
    </rPh>
    <phoneticPr fontId="8"/>
  </si>
  <si>
    <t>日本学術振興会</t>
    <rPh sb="0" eb="2">
      <t>ニホン</t>
    </rPh>
    <rPh sb="2" eb="4">
      <t>ガクジュツ</t>
    </rPh>
    <rPh sb="4" eb="7">
      <t>シンコウカイ</t>
    </rPh>
    <phoneticPr fontId="20"/>
  </si>
  <si>
    <t>理化学研究所</t>
    <rPh sb="0" eb="3">
      <t>リカガク</t>
    </rPh>
    <rPh sb="3" eb="6">
      <t>ケンキュウショ</t>
    </rPh>
    <phoneticPr fontId="8"/>
  </si>
  <si>
    <t>宇宙航空研究開発機構</t>
    <rPh sb="0" eb="2">
      <t>ウチュウ</t>
    </rPh>
    <rPh sb="2" eb="4">
      <t>コウクウ</t>
    </rPh>
    <rPh sb="4" eb="6">
      <t>ケンキュウ</t>
    </rPh>
    <rPh sb="6" eb="8">
      <t>カイハツ</t>
    </rPh>
    <rPh sb="8" eb="10">
      <t>キコウ</t>
    </rPh>
    <phoneticPr fontId="20"/>
  </si>
  <si>
    <t>日本スポーツ振興センター</t>
    <rPh sb="0" eb="2">
      <t>ニホン</t>
    </rPh>
    <rPh sb="6" eb="8">
      <t>シンコウ</t>
    </rPh>
    <phoneticPr fontId="8"/>
  </si>
  <si>
    <t>日本芸術文化振興会</t>
    <rPh sb="0" eb="2">
      <t>ニホン</t>
    </rPh>
    <rPh sb="2" eb="4">
      <t>ゲイジュツ</t>
    </rPh>
    <rPh sb="4" eb="6">
      <t>ブンカ</t>
    </rPh>
    <rPh sb="6" eb="9">
      <t>シンコウカイ</t>
    </rPh>
    <phoneticPr fontId="8"/>
  </si>
  <si>
    <t>日本学生支援機構</t>
    <rPh sb="0" eb="2">
      <t>ニホン</t>
    </rPh>
    <rPh sb="2" eb="4">
      <t>ガクセイ</t>
    </rPh>
    <rPh sb="4" eb="6">
      <t>シエン</t>
    </rPh>
    <rPh sb="6" eb="8">
      <t>キコウ</t>
    </rPh>
    <phoneticPr fontId="20"/>
  </si>
  <si>
    <t>海洋研究開発機構</t>
    <rPh sb="0" eb="2">
      <t>カイヨウ</t>
    </rPh>
    <rPh sb="2" eb="4">
      <t>ケンキュウ</t>
    </rPh>
    <rPh sb="4" eb="6">
      <t>カイハツ</t>
    </rPh>
    <rPh sb="6" eb="8">
      <t>キコウ</t>
    </rPh>
    <phoneticPr fontId="20"/>
  </si>
  <si>
    <t>国立高等専門学校機構</t>
    <rPh sb="0" eb="2">
      <t>コクリツ</t>
    </rPh>
    <rPh sb="2" eb="4">
      <t>コウトウ</t>
    </rPh>
    <rPh sb="4" eb="6">
      <t>センモン</t>
    </rPh>
    <rPh sb="6" eb="8">
      <t>ガッコウ</t>
    </rPh>
    <rPh sb="8" eb="10">
      <t>キコウ</t>
    </rPh>
    <phoneticPr fontId="8"/>
  </si>
  <si>
    <t>大学評価・学位授与機構</t>
    <rPh sb="0" eb="2">
      <t>ダイガク</t>
    </rPh>
    <rPh sb="2" eb="4">
      <t>ヒョウカ</t>
    </rPh>
    <rPh sb="5" eb="7">
      <t>ガクイ</t>
    </rPh>
    <rPh sb="7" eb="9">
      <t>ジュヨ</t>
    </rPh>
    <rPh sb="9" eb="11">
      <t>キコウ</t>
    </rPh>
    <phoneticPr fontId="20"/>
  </si>
  <si>
    <t>国立大学財務・経営センター</t>
    <rPh sb="0" eb="2">
      <t>コクリツ</t>
    </rPh>
    <rPh sb="2" eb="4">
      <t>ダイガク</t>
    </rPh>
    <rPh sb="4" eb="6">
      <t>ザイム</t>
    </rPh>
    <rPh sb="7" eb="9">
      <t>ケイエイ</t>
    </rPh>
    <phoneticPr fontId="8"/>
  </si>
  <si>
    <t>日本原子力研究開発機構</t>
    <rPh sb="0" eb="2">
      <t>ニホン</t>
    </rPh>
    <rPh sb="2" eb="5">
      <t>ゲンシリョク</t>
    </rPh>
    <rPh sb="5" eb="7">
      <t>ケンキュウ</t>
    </rPh>
    <rPh sb="7" eb="9">
      <t>カイハツ</t>
    </rPh>
    <rPh sb="9" eb="11">
      <t>キコウ</t>
    </rPh>
    <phoneticPr fontId="20"/>
  </si>
  <si>
    <t>厚生労働省</t>
    <rPh sb="0" eb="2">
      <t>コウセイ</t>
    </rPh>
    <rPh sb="2" eb="5">
      <t>ロウドウショウ</t>
    </rPh>
    <phoneticPr fontId="8"/>
  </si>
  <si>
    <t>国立健康・栄養研究所</t>
  </si>
  <si>
    <t>労働安全衛生総合研究所</t>
    <rPh sb="0" eb="2">
      <t>ロウドウ</t>
    </rPh>
    <rPh sb="2" eb="4">
      <t>アンゼン</t>
    </rPh>
    <rPh sb="4" eb="6">
      <t>エイセイ</t>
    </rPh>
    <rPh sb="6" eb="8">
      <t>ソウゴウ</t>
    </rPh>
    <phoneticPr fontId="20"/>
  </si>
  <si>
    <t>勤労者退職金共済機構</t>
    <rPh sb="0" eb="3">
      <t>キンロウシャ</t>
    </rPh>
    <rPh sb="3" eb="5">
      <t>タイショク</t>
    </rPh>
    <rPh sb="5" eb="6">
      <t>キン</t>
    </rPh>
    <rPh sb="6" eb="8">
      <t>キョウサイ</t>
    </rPh>
    <rPh sb="8" eb="10">
      <t>キコウ</t>
    </rPh>
    <phoneticPr fontId="20"/>
  </si>
  <si>
    <t>高齢・障害・求職者雇用支援機構</t>
    <rPh sb="0" eb="2">
      <t>コウレイ</t>
    </rPh>
    <rPh sb="3" eb="5">
      <t>ショウガイ</t>
    </rPh>
    <rPh sb="6" eb="8">
      <t>キュウショク</t>
    </rPh>
    <rPh sb="8" eb="9">
      <t>シャ</t>
    </rPh>
    <rPh sb="9" eb="11">
      <t>コヨウ</t>
    </rPh>
    <rPh sb="11" eb="13">
      <t>シエン</t>
    </rPh>
    <rPh sb="13" eb="15">
      <t>キコウ</t>
    </rPh>
    <phoneticPr fontId="20"/>
  </si>
  <si>
    <t>福祉医療機構</t>
    <rPh sb="0" eb="2">
      <t>フクシ</t>
    </rPh>
    <rPh sb="2" eb="4">
      <t>イリョウ</t>
    </rPh>
    <rPh sb="4" eb="6">
      <t>キコウ</t>
    </rPh>
    <phoneticPr fontId="20"/>
  </si>
  <si>
    <t>国立重度知的障害者総合施設のぞみの園</t>
    <rPh sb="0" eb="2">
      <t>コクリツ</t>
    </rPh>
    <rPh sb="2" eb="4">
      <t>ジュウド</t>
    </rPh>
    <rPh sb="4" eb="6">
      <t>チテキ</t>
    </rPh>
    <rPh sb="6" eb="9">
      <t>ショウガイシャ</t>
    </rPh>
    <rPh sb="9" eb="11">
      <t>ソウゴウ</t>
    </rPh>
    <rPh sb="11" eb="13">
      <t>シセツ</t>
    </rPh>
    <rPh sb="17" eb="18">
      <t>エン</t>
    </rPh>
    <phoneticPr fontId="20"/>
  </si>
  <si>
    <t>労働政策研究・研修機構</t>
    <rPh sb="0" eb="2">
      <t>ロウドウ</t>
    </rPh>
    <rPh sb="2" eb="4">
      <t>セイサク</t>
    </rPh>
    <rPh sb="4" eb="6">
      <t>ケンキュウ</t>
    </rPh>
    <rPh sb="7" eb="9">
      <t>ケンシュウ</t>
    </rPh>
    <rPh sb="9" eb="11">
      <t>キコウ</t>
    </rPh>
    <phoneticPr fontId="20"/>
  </si>
  <si>
    <t>労働者健康福祉機構</t>
    <rPh sb="0" eb="3">
      <t>ロウドウシャ</t>
    </rPh>
    <rPh sb="3" eb="5">
      <t>ケンコウ</t>
    </rPh>
    <rPh sb="5" eb="7">
      <t>フクシ</t>
    </rPh>
    <rPh sb="7" eb="9">
      <t>キコウ</t>
    </rPh>
    <phoneticPr fontId="20"/>
  </si>
  <si>
    <t>国立病院機構</t>
    <rPh sb="0" eb="2">
      <t>コクリツ</t>
    </rPh>
    <rPh sb="2" eb="4">
      <t>ビョウイン</t>
    </rPh>
    <rPh sb="4" eb="5">
      <t>キ</t>
    </rPh>
    <rPh sb="5" eb="6">
      <t>カマエ</t>
    </rPh>
    <phoneticPr fontId="20"/>
  </si>
  <si>
    <t>医薬品医療機器総合機構</t>
    <rPh sb="0" eb="3">
      <t>イヤクヒン</t>
    </rPh>
    <rPh sb="3" eb="5">
      <t>イリョウ</t>
    </rPh>
    <rPh sb="5" eb="7">
      <t>キキ</t>
    </rPh>
    <rPh sb="7" eb="9">
      <t>ソウゴウ</t>
    </rPh>
    <rPh sb="9" eb="11">
      <t>キコウ</t>
    </rPh>
    <phoneticPr fontId="20"/>
  </si>
  <si>
    <t>医薬基盤研究所</t>
    <rPh sb="0" eb="2">
      <t>イヤク</t>
    </rPh>
    <rPh sb="2" eb="4">
      <t>キバン</t>
    </rPh>
    <rPh sb="4" eb="7">
      <t>ケンキュウショ</t>
    </rPh>
    <phoneticPr fontId="20"/>
  </si>
  <si>
    <t>地域医療機能推進機構</t>
    <rPh sb="0" eb="2">
      <t>チイキ</t>
    </rPh>
    <rPh sb="2" eb="4">
      <t>イリョウ</t>
    </rPh>
    <rPh sb="4" eb="6">
      <t>キノウ</t>
    </rPh>
    <rPh sb="6" eb="8">
      <t>スイシン</t>
    </rPh>
    <rPh sb="8" eb="10">
      <t>キコウ</t>
    </rPh>
    <phoneticPr fontId="20"/>
  </si>
  <si>
    <t>年金積立金管理運用</t>
    <rPh sb="0" eb="2">
      <t>ネンキン</t>
    </rPh>
    <rPh sb="2" eb="5">
      <t>ツミタテキン</t>
    </rPh>
    <rPh sb="5" eb="7">
      <t>カンリ</t>
    </rPh>
    <rPh sb="7" eb="9">
      <t>ウンヨウ</t>
    </rPh>
    <phoneticPr fontId="20"/>
  </si>
  <si>
    <t>国立がん研究センター</t>
    <rPh sb="0" eb="2">
      <t>コクリツ</t>
    </rPh>
    <rPh sb="4" eb="6">
      <t>ケンキュウ</t>
    </rPh>
    <phoneticPr fontId="10"/>
  </si>
  <si>
    <t>国立循環器病研究センター</t>
    <rPh sb="0" eb="2">
      <t>コクリツ</t>
    </rPh>
    <rPh sb="2" eb="4">
      <t>ジュンカン</t>
    </rPh>
    <rPh sb="4" eb="5">
      <t>ウツワ</t>
    </rPh>
    <rPh sb="5" eb="6">
      <t>ヤマイ</t>
    </rPh>
    <rPh sb="6" eb="8">
      <t>ケンキュウ</t>
    </rPh>
    <phoneticPr fontId="10"/>
  </si>
  <si>
    <t>国立精神・神経医療研究センター</t>
    <rPh sb="0" eb="2">
      <t>コクリツ</t>
    </rPh>
    <rPh sb="2" eb="4">
      <t>セイシン</t>
    </rPh>
    <rPh sb="5" eb="7">
      <t>シンケイ</t>
    </rPh>
    <rPh sb="7" eb="9">
      <t>イリョウ</t>
    </rPh>
    <rPh sb="9" eb="11">
      <t>ケンキュウ</t>
    </rPh>
    <phoneticPr fontId="10"/>
  </si>
  <si>
    <t>国立国際医療研究センター</t>
    <rPh sb="0" eb="2">
      <t>コクリツ</t>
    </rPh>
    <rPh sb="2" eb="4">
      <t>コクサイ</t>
    </rPh>
    <rPh sb="4" eb="6">
      <t>イリョウ</t>
    </rPh>
    <rPh sb="6" eb="8">
      <t>ケンキュウ</t>
    </rPh>
    <phoneticPr fontId="10"/>
  </si>
  <si>
    <t>国立成育医療研究センター</t>
    <rPh sb="0" eb="2">
      <t>コクリツ</t>
    </rPh>
    <rPh sb="2" eb="4">
      <t>セイイク</t>
    </rPh>
    <rPh sb="4" eb="6">
      <t>イリョウ</t>
    </rPh>
    <rPh sb="6" eb="8">
      <t>ケンキュウ</t>
    </rPh>
    <phoneticPr fontId="10"/>
  </si>
  <si>
    <t>国立長寿医療研究センター</t>
    <rPh sb="0" eb="2">
      <t>コクリツ</t>
    </rPh>
    <rPh sb="2" eb="4">
      <t>チョウジュ</t>
    </rPh>
    <rPh sb="4" eb="6">
      <t>イリョウ</t>
    </rPh>
    <rPh sb="6" eb="8">
      <t>ケンキュウ</t>
    </rPh>
    <phoneticPr fontId="10"/>
  </si>
  <si>
    <t>農林水産省</t>
    <rPh sb="0" eb="2">
      <t>ノウリン</t>
    </rPh>
    <rPh sb="2" eb="5">
      <t>スイサンショウ</t>
    </rPh>
    <phoneticPr fontId="8"/>
  </si>
  <si>
    <t>農林水産消費安全技術センター</t>
    <rPh sb="6" eb="8">
      <t>アンゼン</t>
    </rPh>
    <phoneticPr fontId="20"/>
  </si>
  <si>
    <t>種苗管理センター</t>
  </si>
  <si>
    <t>家畜改良センター</t>
  </si>
  <si>
    <t>水産大学校</t>
  </si>
  <si>
    <t>農業・食品産業技術総合研究機構</t>
    <rPh sb="3" eb="5">
      <t>ショクヒン</t>
    </rPh>
    <rPh sb="5" eb="7">
      <t>サンギョウ</t>
    </rPh>
    <rPh sb="7" eb="9">
      <t>ギジュツ</t>
    </rPh>
    <rPh sb="9" eb="11">
      <t>ソウゴウ</t>
    </rPh>
    <rPh sb="11" eb="13">
      <t>ケンキュウ</t>
    </rPh>
    <rPh sb="13" eb="15">
      <t>キコウ</t>
    </rPh>
    <phoneticPr fontId="20"/>
  </si>
  <si>
    <t>農業生物資源研究所</t>
  </si>
  <si>
    <t>農業環境技術研究所</t>
  </si>
  <si>
    <t>国際農林水産業研究センター</t>
  </si>
  <si>
    <t>森林総合研究所</t>
  </si>
  <si>
    <t>水産総合研究センター</t>
  </si>
  <si>
    <t>農畜産業振興機構</t>
    <rPh sb="0" eb="3">
      <t>ノウチクサン</t>
    </rPh>
    <rPh sb="3" eb="4">
      <t>ギョウ</t>
    </rPh>
    <rPh sb="4" eb="6">
      <t>シンコウ</t>
    </rPh>
    <rPh sb="6" eb="8">
      <t>キコウ</t>
    </rPh>
    <phoneticPr fontId="20"/>
  </si>
  <si>
    <t>農業者年金基金</t>
    <rPh sb="0" eb="3">
      <t>ノウギョウシャ</t>
    </rPh>
    <rPh sb="3" eb="5">
      <t>ネンキン</t>
    </rPh>
    <rPh sb="5" eb="7">
      <t>キキン</t>
    </rPh>
    <phoneticPr fontId="20"/>
  </si>
  <si>
    <t>農林漁業信用基金</t>
    <rPh sb="0" eb="2">
      <t>ノウリン</t>
    </rPh>
    <rPh sb="2" eb="4">
      <t>ギョギョウ</t>
    </rPh>
    <rPh sb="4" eb="6">
      <t>シンヨウ</t>
    </rPh>
    <rPh sb="6" eb="8">
      <t>キキン</t>
    </rPh>
    <phoneticPr fontId="20"/>
  </si>
  <si>
    <t>経済産業省</t>
    <rPh sb="0" eb="2">
      <t>ケイザイ</t>
    </rPh>
    <rPh sb="2" eb="4">
      <t>サンギョウ</t>
    </rPh>
    <rPh sb="4" eb="5">
      <t>ショウ</t>
    </rPh>
    <phoneticPr fontId="8"/>
  </si>
  <si>
    <t>経済産業研究所</t>
  </si>
  <si>
    <t>工業所有権情報・研修館</t>
    <rPh sb="8" eb="10">
      <t>ケンシュウ</t>
    </rPh>
    <phoneticPr fontId="20"/>
  </si>
  <si>
    <t>日本貿易保険</t>
  </si>
  <si>
    <t>産業技術総合研究所</t>
  </si>
  <si>
    <t>製品評価技術基盤機構</t>
  </si>
  <si>
    <t>新エネルギー・産業技術総合開発機構</t>
    <rPh sb="0" eb="1">
      <t>シン</t>
    </rPh>
    <rPh sb="7" eb="9">
      <t>サンギョウ</t>
    </rPh>
    <rPh sb="9" eb="11">
      <t>ギジュツ</t>
    </rPh>
    <rPh sb="11" eb="13">
      <t>ソウゴウ</t>
    </rPh>
    <rPh sb="13" eb="15">
      <t>カイハツ</t>
    </rPh>
    <rPh sb="15" eb="17">
      <t>キコウ</t>
    </rPh>
    <phoneticPr fontId="20"/>
  </si>
  <si>
    <t>日本貿易振興機構</t>
    <rPh sb="0" eb="2">
      <t>ニホン</t>
    </rPh>
    <rPh sb="2" eb="4">
      <t>ボウエキ</t>
    </rPh>
    <rPh sb="4" eb="6">
      <t>シンコウ</t>
    </rPh>
    <rPh sb="6" eb="8">
      <t>キコウ</t>
    </rPh>
    <phoneticPr fontId="20"/>
  </si>
  <si>
    <t>情報処理推進機構</t>
    <rPh sb="0" eb="2">
      <t>ジョウホウ</t>
    </rPh>
    <rPh sb="2" eb="4">
      <t>ショリ</t>
    </rPh>
    <rPh sb="4" eb="6">
      <t>スイシン</t>
    </rPh>
    <rPh sb="6" eb="8">
      <t>キコウ</t>
    </rPh>
    <phoneticPr fontId="20"/>
  </si>
  <si>
    <t>石油天然ガス・金属鉱物資源機構</t>
    <rPh sb="0" eb="2">
      <t>セキユ</t>
    </rPh>
    <rPh sb="2" eb="4">
      <t>テンネン</t>
    </rPh>
    <rPh sb="7" eb="9">
      <t>キンゾク</t>
    </rPh>
    <rPh sb="9" eb="11">
      <t>コウブツ</t>
    </rPh>
    <rPh sb="11" eb="13">
      <t>シゲン</t>
    </rPh>
    <rPh sb="13" eb="15">
      <t>キコウ</t>
    </rPh>
    <phoneticPr fontId="20"/>
  </si>
  <si>
    <t>中小企業基盤整備機構</t>
    <rPh sb="0" eb="2">
      <t>チュウショウ</t>
    </rPh>
    <rPh sb="2" eb="4">
      <t>キギョウ</t>
    </rPh>
    <rPh sb="4" eb="6">
      <t>キバン</t>
    </rPh>
    <rPh sb="6" eb="8">
      <t>セイビ</t>
    </rPh>
    <rPh sb="8" eb="10">
      <t>キコウ</t>
    </rPh>
    <phoneticPr fontId="20"/>
  </si>
  <si>
    <t>国土交通省</t>
  </si>
  <si>
    <t>土木研究所</t>
  </si>
  <si>
    <t>建築研究所</t>
  </si>
  <si>
    <t>交通安全環境研究所</t>
  </si>
  <si>
    <t>海上技術安全研究所</t>
  </si>
  <si>
    <t>港湾空港技術研究所</t>
  </si>
  <si>
    <t>電子航法研究所</t>
  </si>
  <si>
    <t>航海訓練所</t>
    <rPh sb="0" eb="2">
      <t>コウカイ</t>
    </rPh>
    <rPh sb="2" eb="5">
      <t>クンレンショ</t>
    </rPh>
    <phoneticPr fontId="20"/>
  </si>
  <si>
    <t>海技教育機構</t>
    <rPh sb="0" eb="1">
      <t>ウミ</t>
    </rPh>
    <rPh sb="1" eb="2">
      <t>ワザ</t>
    </rPh>
    <rPh sb="2" eb="4">
      <t>キョウイク</t>
    </rPh>
    <rPh sb="4" eb="6">
      <t>キコウ</t>
    </rPh>
    <phoneticPr fontId="20"/>
  </si>
  <si>
    <t>航空大学校</t>
  </si>
  <si>
    <t>自動車検査</t>
  </si>
  <si>
    <t>鉄道建設・運輸施設整備支援機構</t>
    <rPh sb="0" eb="2">
      <t>テツドウ</t>
    </rPh>
    <rPh sb="2" eb="4">
      <t>ケンセツ</t>
    </rPh>
    <rPh sb="5" eb="7">
      <t>ウンユ</t>
    </rPh>
    <rPh sb="7" eb="9">
      <t>シセツ</t>
    </rPh>
    <rPh sb="9" eb="11">
      <t>セイビ</t>
    </rPh>
    <rPh sb="11" eb="13">
      <t>シエン</t>
    </rPh>
    <rPh sb="13" eb="15">
      <t>キコウ</t>
    </rPh>
    <phoneticPr fontId="20"/>
  </si>
  <si>
    <t>国際観光振興機構</t>
    <rPh sb="0" eb="2">
      <t>コクサイ</t>
    </rPh>
    <rPh sb="2" eb="4">
      <t>カンコウ</t>
    </rPh>
    <rPh sb="4" eb="6">
      <t>シンコウ</t>
    </rPh>
    <rPh sb="6" eb="8">
      <t>キコウ</t>
    </rPh>
    <phoneticPr fontId="20"/>
  </si>
  <si>
    <t>水資源機構</t>
    <rPh sb="0" eb="3">
      <t>ミズシゲン</t>
    </rPh>
    <rPh sb="3" eb="5">
      <t>キコウ</t>
    </rPh>
    <phoneticPr fontId="20"/>
  </si>
  <si>
    <t>自動車事故対策機構</t>
    <rPh sb="0" eb="3">
      <t>ジドウシャ</t>
    </rPh>
    <rPh sb="3" eb="5">
      <t>ジコ</t>
    </rPh>
    <rPh sb="5" eb="7">
      <t>タイサク</t>
    </rPh>
    <rPh sb="7" eb="9">
      <t>キコウ</t>
    </rPh>
    <phoneticPr fontId="20"/>
  </si>
  <si>
    <t>空港周辺整備機構</t>
    <rPh sb="0" eb="2">
      <t>クウコウ</t>
    </rPh>
    <rPh sb="2" eb="4">
      <t>シュウヘン</t>
    </rPh>
    <rPh sb="4" eb="6">
      <t>セイビ</t>
    </rPh>
    <rPh sb="6" eb="8">
      <t>キコウ</t>
    </rPh>
    <phoneticPr fontId="20"/>
  </si>
  <si>
    <t>都市再生機構</t>
    <rPh sb="0" eb="2">
      <t>トシ</t>
    </rPh>
    <rPh sb="2" eb="4">
      <t>サイセイ</t>
    </rPh>
    <rPh sb="4" eb="6">
      <t>キコウ</t>
    </rPh>
    <phoneticPr fontId="20"/>
  </si>
  <si>
    <t>奄美群島振興開発基金</t>
    <rPh sb="0" eb="2">
      <t>アマミ</t>
    </rPh>
    <rPh sb="2" eb="4">
      <t>グントウ</t>
    </rPh>
    <rPh sb="4" eb="6">
      <t>シンコウ</t>
    </rPh>
    <rPh sb="6" eb="8">
      <t>カイハツ</t>
    </rPh>
    <rPh sb="8" eb="10">
      <t>キキン</t>
    </rPh>
    <phoneticPr fontId="20"/>
  </si>
  <si>
    <t>日本高速道路保有・債務返済機構</t>
    <rPh sb="0" eb="2">
      <t>ニホン</t>
    </rPh>
    <rPh sb="2" eb="4">
      <t>コウソク</t>
    </rPh>
    <rPh sb="4" eb="6">
      <t>ドウロ</t>
    </rPh>
    <rPh sb="6" eb="8">
      <t>ホユウ</t>
    </rPh>
    <rPh sb="9" eb="11">
      <t>サイム</t>
    </rPh>
    <rPh sb="11" eb="13">
      <t>ヘンサイ</t>
    </rPh>
    <rPh sb="13" eb="15">
      <t>キコウ</t>
    </rPh>
    <phoneticPr fontId="20"/>
  </si>
  <si>
    <t>住宅金融支援機構</t>
    <rPh sb="0" eb="2">
      <t>ジュウタク</t>
    </rPh>
    <rPh sb="2" eb="4">
      <t>キンユウ</t>
    </rPh>
    <rPh sb="4" eb="6">
      <t>シエン</t>
    </rPh>
    <rPh sb="6" eb="8">
      <t>キコウ</t>
    </rPh>
    <phoneticPr fontId="20"/>
  </si>
  <si>
    <t>環境省</t>
    <rPh sb="0" eb="3">
      <t>カンキョウショウ</t>
    </rPh>
    <phoneticPr fontId="8"/>
  </si>
  <si>
    <t>国立環境研究所</t>
  </si>
  <si>
    <t>環境再生保全機構</t>
    <rPh sb="0" eb="2">
      <t>カンキョウ</t>
    </rPh>
    <rPh sb="2" eb="4">
      <t>サイセイ</t>
    </rPh>
    <rPh sb="4" eb="6">
      <t>ホゼン</t>
    </rPh>
    <rPh sb="6" eb="8">
      <t>キコウ</t>
    </rPh>
    <phoneticPr fontId="20"/>
  </si>
  <si>
    <t>防衛省</t>
    <rPh sb="0" eb="3">
      <t>ボウエイショウ</t>
    </rPh>
    <phoneticPr fontId="20"/>
  </si>
  <si>
    <t>駐留軍等労働者労務管理機構</t>
    <rPh sb="0" eb="3">
      <t>チュウリュウグン</t>
    </rPh>
    <rPh sb="3" eb="4">
      <t>トウ</t>
    </rPh>
    <rPh sb="4" eb="7">
      <t>ロウドウシャ</t>
    </rPh>
    <rPh sb="7" eb="9">
      <t>ロウム</t>
    </rPh>
    <rPh sb="9" eb="11">
      <t>カンリ</t>
    </rPh>
    <rPh sb="11" eb="13">
      <t>キコウ</t>
    </rPh>
    <phoneticPr fontId="8"/>
  </si>
  <si>
    <t>＃</t>
    <phoneticPr fontId="1"/>
  </si>
  <si>
    <t>法人一覧</t>
    <rPh sb="0" eb="2">
      <t>ホウジン</t>
    </rPh>
    <rPh sb="2" eb="4">
      <t>イチラン</t>
    </rPh>
    <phoneticPr fontId="1"/>
  </si>
  <si>
    <t>（H26年度）</t>
    <rPh sb="4" eb="6">
      <t>ネンド</t>
    </rPh>
    <phoneticPr fontId="1"/>
  </si>
  <si>
    <t>（H25年度）</t>
    <rPh sb="4" eb="6">
      <t>ネンド</t>
    </rPh>
    <phoneticPr fontId="1"/>
  </si>
  <si>
    <t>日本万国博覧会記念機構</t>
    <phoneticPr fontId="1"/>
  </si>
  <si>
    <t>海上災害防止センター</t>
    <phoneticPr fontId="1"/>
  </si>
  <si>
    <t>原子力安全基盤機構</t>
    <phoneticPr fontId="1"/>
  </si>
  <si>
    <t>原子力規制委員会</t>
    <phoneticPr fontId="1"/>
  </si>
  <si>
    <t>資産　計</t>
    <rPh sb="0" eb="2">
      <t>シサン</t>
    </rPh>
    <rPh sb="3" eb="4">
      <t>ケイ</t>
    </rPh>
    <phoneticPr fontId="1"/>
  </si>
  <si>
    <t>(単位：百万円)</t>
    <rPh sb="1" eb="3">
      <t>タンイ</t>
    </rPh>
    <rPh sb="4" eb="5">
      <t>ヒャク</t>
    </rPh>
    <rPh sb="5" eb="6">
      <t>マン</t>
    </rPh>
    <rPh sb="6" eb="7">
      <t>エン</t>
    </rPh>
    <phoneticPr fontId="1"/>
  </si>
  <si>
    <t>有価証券等</t>
    <rPh sb="0" eb="2">
      <t>ユウカ</t>
    </rPh>
    <rPh sb="2" eb="4">
      <t>ショウケン</t>
    </rPh>
    <rPh sb="4" eb="5">
      <t>ナド</t>
    </rPh>
    <phoneticPr fontId="1"/>
  </si>
  <si>
    <t>借入金・債券</t>
    <rPh sb="0" eb="2">
      <t>カリイレ</t>
    </rPh>
    <rPh sb="2" eb="3">
      <t>キン</t>
    </rPh>
    <rPh sb="4" eb="6">
      <t>サイケン</t>
    </rPh>
    <phoneticPr fontId="1"/>
  </si>
  <si>
    <t>負債　計</t>
    <rPh sb="0" eb="2">
      <t>フサイ</t>
    </rPh>
    <rPh sb="3" eb="4">
      <t>ケイ</t>
    </rPh>
    <phoneticPr fontId="1"/>
  </si>
  <si>
    <t>預り補助金等</t>
    <rPh sb="0" eb="1">
      <t>アズカ</t>
    </rPh>
    <rPh sb="2" eb="5">
      <t>ホジョキン</t>
    </rPh>
    <rPh sb="5" eb="6">
      <t>ナド</t>
    </rPh>
    <phoneticPr fontId="1"/>
  </si>
  <si>
    <t>純資産　計</t>
    <rPh sb="0" eb="3">
      <t>ジュンシサン</t>
    </rPh>
    <rPh sb="4" eb="5">
      <t>ケイ</t>
    </rPh>
    <phoneticPr fontId="1"/>
  </si>
  <si>
    <t>経常費用　計</t>
    <rPh sb="0" eb="2">
      <t>ケイジョウ</t>
    </rPh>
    <rPh sb="2" eb="4">
      <t>ヒヨウ</t>
    </rPh>
    <rPh sb="5" eb="6">
      <t>ケイ</t>
    </rPh>
    <phoneticPr fontId="1"/>
  </si>
  <si>
    <t>補助金等収益</t>
    <rPh sb="0" eb="3">
      <t>ホジョキン</t>
    </rPh>
    <rPh sb="3" eb="4">
      <t>ナド</t>
    </rPh>
    <rPh sb="4" eb="6">
      <t>シュウエキ</t>
    </rPh>
    <phoneticPr fontId="1"/>
  </si>
  <si>
    <t>その他自己収入等</t>
    <rPh sb="2" eb="3">
      <t>タ</t>
    </rPh>
    <rPh sb="3" eb="5">
      <t>ジコ</t>
    </rPh>
    <rPh sb="5" eb="7">
      <t>シュウニュウ</t>
    </rPh>
    <rPh sb="7" eb="8">
      <t>ナド</t>
    </rPh>
    <phoneticPr fontId="1"/>
  </si>
  <si>
    <t>資産見返戻入</t>
    <rPh sb="0" eb="2">
      <t>シサン</t>
    </rPh>
    <rPh sb="2" eb="4">
      <t>ミカエ</t>
    </rPh>
    <rPh sb="4" eb="5">
      <t>モド</t>
    </rPh>
    <rPh sb="5" eb="6">
      <t>イ</t>
    </rPh>
    <phoneticPr fontId="1"/>
  </si>
  <si>
    <t>経常収益　計</t>
    <rPh sb="0" eb="2">
      <t>ケイジョウ</t>
    </rPh>
    <rPh sb="2" eb="4">
      <t>シュウエキ</t>
    </rPh>
    <rPh sb="5" eb="6">
      <t>ケイ</t>
    </rPh>
    <phoneticPr fontId="1"/>
  </si>
  <si>
    <t>財務費用</t>
    <rPh sb="0" eb="2">
      <t>ザイム</t>
    </rPh>
    <rPh sb="2" eb="4">
      <t>ヒヨウ</t>
    </rPh>
    <phoneticPr fontId="1"/>
  </si>
  <si>
    <t>前期
繰越欠損金</t>
    <rPh sb="0" eb="2">
      <t>ゼンキ</t>
    </rPh>
    <rPh sb="3" eb="5">
      <t>クリコシ</t>
    </rPh>
    <rPh sb="5" eb="8">
      <t>ケッソンキン</t>
    </rPh>
    <phoneticPr fontId="1"/>
  </si>
  <si>
    <t>当期未処分利益（△損失）</t>
    <rPh sb="0" eb="2">
      <t>トウキ</t>
    </rPh>
    <rPh sb="2" eb="5">
      <t>ミショブン</t>
    </rPh>
    <rPh sb="5" eb="7">
      <t>リエキ</t>
    </rPh>
    <rPh sb="9" eb="11">
      <t>ソンシツ</t>
    </rPh>
    <phoneticPr fontId="1"/>
  </si>
  <si>
    <t>⑦</t>
    <phoneticPr fontId="1"/>
  </si>
  <si>
    <t>⑧</t>
    <phoneticPr fontId="1"/>
  </si>
  <si>
    <t>⑨=⑦＋⑧</t>
    <phoneticPr fontId="1"/>
  </si>
  <si>
    <t>表２－②　損益計算書の状況（平成26年度）</t>
    <rPh sb="0" eb="1">
      <t>ヒョウ</t>
    </rPh>
    <rPh sb="5" eb="7">
      <t>ソンエキ</t>
    </rPh>
    <rPh sb="7" eb="10">
      <t>ケイサンショ</t>
    </rPh>
    <rPh sb="11" eb="13">
      <t>ジョウキョウ</t>
    </rPh>
    <rPh sb="14" eb="16">
      <t>ヘイセイ</t>
    </rPh>
    <rPh sb="18" eb="20">
      <t>ネンド</t>
    </rPh>
    <phoneticPr fontId="1"/>
  </si>
  <si>
    <t>表２－①　損益計算書の状況（平成25年度）</t>
    <rPh sb="0" eb="1">
      <t>ヒョウ</t>
    </rPh>
    <rPh sb="5" eb="7">
      <t>ソンエキ</t>
    </rPh>
    <rPh sb="7" eb="10">
      <t>ケイサンショ</t>
    </rPh>
    <rPh sb="11" eb="13">
      <t>ジョウキョウ</t>
    </rPh>
    <rPh sb="14" eb="16">
      <t>ヘイセイ</t>
    </rPh>
    <rPh sb="18" eb="20">
      <t>ネンド</t>
    </rPh>
    <phoneticPr fontId="1"/>
  </si>
  <si>
    <t>表１－②　貸借対照表の状況（平成26年度）</t>
    <rPh sb="0" eb="1">
      <t>ヒョウ</t>
    </rPh>
    <rPh sb="5" eb="10">
      <t>タイシャクタイショウヒョウ</t>
    </rPh>
    <rPh sb="11" eb="13">
      <t>ジョウキョウ</t>
    </rPh>
    <rPh sb="14" eb="16">
      <t>ヘイセイ</t>
    </rPh>
    <rPh sb="18" eb="20">
      <t>ネンド</t>
    </rPh>
    <phoneticPr fontId="1"/>
  </si>
  <si>
    <t>表１－①　貸借対照表の状況（平成25年度）</t>
    <rPh sb="0" eb="1">
      <t>ヒョウ</t>
    </rPh>
    <rPh sb="5" eb="10">
      <t>タイシャクタイショウヒョウ</t>
    </rPh>
    <rPh sb="11" eb="13">
      <t>ジョウキョウ</t>
    </rPh>
    <rPh sb="14" eb="16">
      <t>ヘイセイ</t>
    </rPh>
    <rPh sb="18" eb="20">
      <t>ネンド</t>
    </rPh>
    <phoneticPr fontId="1"/>
  </si>
  <si>
    <t>表３－②　キャッシュ・フロー計算書の状況（平成26年度）</t>
    <phoneticPr fontId="1"/>
  </si>
  <si>
    <t>表４－①　利益剰余金と利益処分の状況（平成25年度）</t>
    <rPh sb="0" eb="1">
      <t>ヒョウ</t>
    </rPh>
    <rPh sb="5" eb="7">
      <t>リエキ</t>
    </rPh>
    <rPh sb="7" eb="10">
      <t>ジョウヨキン</t>
    </rPh>
    <rPh sb="11" eb="13">
      <t>リエキ</t>
    </rPh>
    <rPh sb="13" eb="15">
      <t>ショブン</t>
    </rPh>
    <rPh sb="16" eb="18">
      <t>ジョウキョウ</t>
    </rPh>
    <rPh sb="19" eb="21">
      <t>ヘイセイ</t>
    </rPh>
    <rPh sb="23" eb="25">
      <t>ネンド</t>
    </rPh>
    <phoneticPr fontId="1"/>
  </si>
  <si>
    <t>表４－②　利益剰余金と利益処分の状況（平成26年度）</t>
    <rPh sb="0" eb="1">
      <t>ヒョウ</t>
    </rPh>
    <rPh sb="5" eb="7">
      <t>リエキ</t>
    </rPh>
    <rPh sb="7" eb="10">
      <t>ジョウヨキン</t>
    </rPh>
    <rPh sb="11" eb="13">
      <t>リエキ</t>
    </rPh>
    <rPh sb="13" eb="15">
      <t>ショブン</t>
    </rPh>
    <rPh sb="16" eb="18">
      <t>ジョウキョウ</t>
    </rPh>
    <rPh sb="19" eb="21">
      <t>ヘイセイ</t>
    </rPh>
    <rPh sb="23" eb="25">
      <t>ネンド</t>
    </rPh>
    <phoneticPr fontId="1"/>
  </si>
  <si>
    <t>表５－①　行政サービス実施コストの状況（平成25年度）</t>
    <rPh sb="0" eb="1">
      <t>ヒョウ</t>
    </rPh>
    <rPh sb="5" eb="7">
      <t>ギョウセイ</t>
    </rPh>
    <rPh sb="11" eb="13">
      <t>ジッシ</t>
    </rPh>
    <rPh sb="17" eb="19">
      <t>ジョウキョウ</t>
    </rPh>
    <rPh sb="20" eb="22">
      <t>ヘイセイ</t>
    </rPh>
    <rPh sb="24" eb="26">
      <t>ネンド</t>
    </rPh>
    <phoneticPr fontId="1"/>
  </si>
  <si>
    <t>表５－②　行政サービス実施コストの状況（平成26年度）</t>
    <rPh sb="0" eb="1">
      <t>ヒョウ</t>
    </rPh>
    <rPh sb="5" eb="7">
      <t>ギョウセイ</t>
    </rPh>
    <rPh sb="11" eb="13">
      <t>ジッシ</t>
    </rPh>
    <rPh sb="17" eb="19">
      <t>ジョウキョウ</t>
    </rPh>
    <rPh sb="20" eb="22">
      <t>ヘイセイ</t>
    </rPh>
    <rPh sb="24" eb="26">
      <t>ネンド</t>
    </rPh>
    <phoneticPr fontId="1"/>
  </si>
  <si>
    <t>表６－①　国庫納付による支出の状況（平成25年度）</t>
    <rPh sb="0" eb="1">
      <t>ヒョウ</t>
    </rPh>
    <rPh sb="5" eb="7">
      <t>コッコ</t>
    </rPh>
    <rPh sb="7" eb="9">
      <t>ノウフ</t>
    </rPh>
    <rPh sb="12" eb="14">
      <t>シシュツ</t>
    </rPh>
    <rPh sb="15" eb="17">
      <t>ジョウキョウ</t>
    </rPh>
    <rPh sb="18" eb="20">
      <t>ヘイセイ</t>
    </rPh>
    <rPh sb="22" eb="24">
      <t>ネンド</t>
    </rPh>
    <phoneticPr fontId="1"/>
  </si>
  <si>
    <t>表６－②　国庫納付による支出の状況（平成26年度）</t>
    <rPh sb="0" eb="1">
      <t>ヒョウ</t>
    </rPh>
    <rPh sb="5" eb="7">
      <t>コッコ</t>
    </rPh>
    <rPh sb="7" eb="9">
      <t>ノウフ</t>
    </rPh>
    <rPh sb="12" eb="14">
      <t>シシュツ</t>
    </rPh>
    <rPh sb="15" eb="17">
      <t>ジョウキョウ</t>
    </rPh>
    <rPh sb="18" eb="20">
      <t>ヘイセイ</t>
    </rPh>
    <rPh sb="22" eb="24">
      <t>ネンド</t>
    </rPh>
    <phoneticPr fontId="1"/>
  </si>
  <si>
    <t>表７－①　法定勘定区分及びセグメント区分の状況（平成25年度）</t>
    <rPh sb="0" eb="1">
      <t>ヒョウ</t>
    </rPh>
    <rPh sb="5" eb="7">
      <t>ホウテイ</t>
    </rPh>
    <rPh sb="7" eb="9">
      <t>カンジョウ</t>
    </rPh>
    <rPh sb="9" eb="11">
      <t>クブン</t>
    </rPh>
    <rPh sb="11" eb="12">
      <t>オヨ</t>
    </rPh>
    <rPh sb="18" eb="20">
      <t>クブン</t>
    </rPh>
    <rPh sb="21" eb="23">
      <t>ジョウキョウ</t>
    </rPh>
    <rPh sb="24" eb="26">
      <t>ヘイセイ</t>
    </rPh>
    <rPh sb="28" eb="30">
      <t>ネンド</t>
    </rPh>
    <phoneticPr fontId="1"/>
  </si>
  <si>
    <t>－</t>
    <phoneticPr fontId="1"/>
  </si>
  <si>
    <t>文化芸術交流事業、日本語教育事業、日本研究・知的交流事業、調査研究・情報提供等事業、アジア文化交流強化事業、その他事業</t>
    <rPh sb="0" eb="2">
      <t>ブンカ</t>
    </rPh>
    <rPh sb="2" eb="4">
      <t>ゲイジュツ</t>
    </rPh>
    <rPh sb="4" eb="6">
      <t>コウリュウ</t>
    </rPh>
    <rPh sb="6" eb="8">
      <t>ジギョウ</t>
    </rPh>
    <rPh sb="9" eb="12">
      <t>ニホンゴ</t>
    </rPh>
    <rPh sb="12" eb="14">
      <t>キョウイク</t>
    </rPh>
    <rPh sb="14" eb="16">
      <t>ジギョウ</t>
    </rPh>
    <rPh sb="17" eb="19">
      <t>ニホン</t>
    </rPh>
    <rPh sb="19" eb="21">
      <t>ケンキュウ</t>
    </rPh>
    <rPh sb="22" eb="24">
      <t>チテキ</t>
    </rPh>
    <rPh sb="24" eb="28">
      <t>コウリュウジギョウ</t>
    </rPh>
    <rPh sb="29" eb="31">
      <t>チョウサ</t>
    </rPh>
    <rPh sb="31" eb="33">
      <t>ケンキュウ</t>
    </rPh>
    <rPh sb="34" eb="36">
      <t>ジョウホウ</t>
    </rPh>
    <rPh sb="36" eb="39">
      <t>テイキョウナド</t>
    </rPh>
    <rPh sb="39" eb="41">
      <t>ジギョウ</t>
    </rPh>
    <rPh sb="45" eb="47">
      <t>ブンカ</t>
    </rPh>
    <rPh sb="47" eb="49">
      <t>コウリュウ</t>
    </rPh>
    <rPh sb="49" eb="51">
      <t>キョウカ</t>
    </rPh>
    <rPh sb="51" eb="53">
      <t>ジギョウ</t>
    </rPh>
    <rPh sb="56" eb="57">
      <t>タ</t>
    </rPh>
    <rPh sb="57" eb="59">
      <t>ジギョウ</t>
    </rPh>
    <phoneticPr fontId="1"/>
  </si>
  <si>
    <t>表８－①　運営費交付金の収益化基準の採用状況（平成25年度）</t>
    <rPh sb="0" eb="1">
      <t>ヒョウ</t>
    </rPh>
    <rPh sb="5" eb="8">
      <t>ウンエイヒ</t>
    </rPh>
    <rPh sb="8" eb="11">
      <t>コウフキン</t>
    </rPh>
    <rPh sb="12" eb="15">
      <t>シュウエキカ</t>
    </rPh>
    <rPh sb="15" eb="17">
      <t>キジュン</t>
    </rPh>
    <rPh sb="18" eb="20">
      <t>サイヨウ</t>
    </rPh>
    <rPh sb="20" eb="22">
      <t>ジョウキョウ</t>
    </rPh>
    <rPh sb="23" eb="25">
      <t>ヘイセイ</t>
    </rPh>
    <rPh sb="27" eb="29">
      <t>ネンド</t>
    </rPh>
    <phoneticPr fontId="1"/>
  </si>
  <si>
    <t>○</t>
    <phoneticPr fontId="1"/>
  </si>
  <si>
    <t>-</t>
    <phoneticPr fontId="1"/>
  </si>
  <si>
    <t>表８－②　運営費交付金の収益化基準の採用状況（平成26年度）</t>
    <rPh sb="0" eb="1">
      <t>ヒョウ</t>
    </rPh>
    <rPh sb="5" eb="8">
      <t>ウンエイヒ</t>
    </rPh>
    <rPh sb="8" eb="11">
      <t>コウフキン</t>
    </rPh>
    <rPh sb="12" eb="15">
      <t>シュウエキカ</t>
    </rPh>
    <rPh sb="15" eb="17">
      <t>キジュン</t>
    </rPh>
    <rPh sb="18" eb="20">
      <t>サイヨウ</t>
    </rPh>
    <rPh sb="20" eb="22">
      <t>ジョウキョウ</t>
    </rPh>
    <rPh sb="23" eb="25">
      <t>ヘイセイ</t>
    </rPh>
    <rPh sb="27" eb="29">
      <t>ネンド</t>
    </rPh>
    <phoneticPr fontId="1"/>
  </si>
  <si>
    <t>特定関連会社</t>
    <rPh sb="0" eb="2">
      <t>トクテイ</t>
    </rPh>
    <rPh sb="2" eb="4">
      <t>カンレン</t>
    </rPh>
    <rPh sb="4" eb="6">
      <t>カイシャ</t>
    </rPh>
    <phoneticPr fontId="1"/>
  </si>
  <si>
    <t>関連会社</t>
    <rPh sb="0" eb="2">
      <t>カンレン</t>
    </rPh>
    <rPh sb="2" eb="4">
      <t>カイシャ</t>
    </rPh>
    <phoneticPr fontId="1"/>
  </si>
  <si>
    <t>決算額の内訳</t>
    <rPh sb="0" eb="2">
      <t>ケッサン</t>
    </rPh>
    <rPh sb="2" eb="3">
      <t>ガク</t>
    </rPh>
    <rPh sb="4" eb="6">
      <t>ウチワケ</t>
    </rPh>
    <phoneticPr fontId="1"/>
  </si>
  <si>
    <t>（内、人件費）</t>
    <rPh sb="1" eb="2">
      <t>ウチ</t>
    </rPh>
    <rPh sb="3" eb="6">
      <t>ジンケンヒ</t>
    </rPh>
    <phoneticPr fontId="1"/>
  </si>
  <si>
    <t>その他自己収入等</t>
    <rPh sb="2" eb="3">
      <t>タ</t>
    </rPh>
    <rPh sb="3" eb="5">
      <t>ジコ</t>
    </rPh>
    <rPh sb="5" eb="7">
      <t>シュウニュウ</t>
    </rPh>
    <rPh sb="7" eb="8">
      <t>トウ</t>
    </rPh>
    <phoneticPr fontId="1"/>
  </si>
  <si>
    <t>予算額の内訳</t>
    <rPh sb="0" eb="2">
      <t>ヨサン</t>
    </rPh>
    <rPh sb="2" eb="3">
      <t>ガク</t>
    </rPh>
    <rPh sb="4" eb="6">
      <t>ウチワケ</t>
    </rPh>
    <phoneticPr fontId="1"/>
  </si>
  <si>
    <t>施設整備補助金</t>
    <rPh sb="0" eb="2">
      <t>シセツ</t>
    </rPh>
    <rPh sb="2" eb="4">
      <t>セイビ</t>
    </rPh>
    <rPh sb="4" eb="6">
      <t>ホジョ</t>
    </rPh>
    <rPh sb="6" eb="7">
      <t>キン</t>
    </rPh>
    <phoneticPr fontId="1"/>
  </si>
  <si>
    <t>その他補助金等</t>
    <rPh sb="2" eb="3">
      <t>タ</t>
    </rPh>
    <rPh sb="3" eb="6">
      <t>ホジョキン</t>
    </rPh>
    <rPh sb="6" eb="7">
      <t>トウ</t>
    </rPh>
    <phoneticPr fontId="1"/>
  </si>
  <si>
    <t>(参考)
減価償却費</t>
    <rPh sb="1" eb="3">
      <t>サンコウ</t>
    </rPh>
    <rPh sb="5" eb="7">
      <t>ゲンカ</t>
    </rPh>
    <rPh sb="7" eb="9">
      <t>ショウキャク</t>
    </rPh>
    <rPh sb="9" eb="10">
      <t>ヒ</t>
    </rPh>
    <phoneticPr fontId="1"/>
  </si>
  <si>
    <t>経常利益
（△損失）</t>
    <rPh sb="0" eb="2">
      <t>ケイジョウ</t>
    </rPh>
    <rPh sb="2" eb="4">
      <t>リエキ</t>
    </rPh>
    <phoneticPr fontId="1"/>
  </si>
  <si>
    <t>当期純利益
（△損失）</t>
    <rPh sb="0" eb="2">
      <t>トウキ</t>
    </rPh>
    <rPh sb="2" eb="5">
      <t>ジュンリエキ</t>
    </rPh>
    <rPh sb="8" eb="10">
      <t>ソンシツ</t>
    </rPh>
    <phoneticPr fontId="1"/>
  </si>
  <si>
    <t>当期総利益
（△損失）</t>
    <rPh sb="0" eb="2">
      <t>トウキ</t>
    </rPh>
    <rPh sb="2" eb="5">
      <t>ソウリエキ</t>
    </rPh>
    <rPh sb="8" eb="10">
      <t>ソンシツ</t>
    </rPh>
    <phoneticPr fontId="1"/>
  </si>
  <si>
    <t>その他の積立金等</t>
    <rPh sb="2" eb="3">
      <t>タ</t>
    </rPh>
    <rPh sb="4" eb="6">
      <t>ツミタテ</t>
    </rPh>
    <rPh sb="6" eb="7">
      <t>キン</t>
    </rPh>
    <rPh sb="7" eb="8">
      <t>ナド</t>
    </rPh>
    <phoneticPr fontId="1"/>
  </si>
  <si>
    <t>その他の積立金等（△取崩額）</t>
    <rPh sb="2" eb="3">
      <t>タ</t>
    </rPh>
    <rPh sb="4" eb="6">
      <t>ツミタテ</t>
    </rPh>
    <rPh sb="6" eb="7">
      <t>キン</t>
    </rPh>
    <rPh sb="7" eb="8">
      <t>ナド</t>
    </rPh>
    <rPh sb="10" eb="12">
      <t>トリクズシ</t>
    </rPh>
    <rPh sb="12" eb="13">
      <t>ガク</t>
    </rPh>
    <phoneticPr fontId="1"/>
  </si>
  <si>
    <t>○
(人件費のうちの退職金のみ)</t>
    <rPh sb="3" eb="6">
      <t>ジンケンヒ</t>
    </rPh>
    <rPh sb="10" eb="13">
      <t>タイショクキン</t>
    </rPh>
    <phoneticPr fontId="1"/>
  </si>
  <si>
    <t>○
(一般管理費の一部)</t>
    <rPh sb="3" eb="5">
      <t>イッパン</t>
    </rPh>
    <rPh sb="5" eb="8">
      <t>カンリヒ</t>
    </rPh>
    <rPh sb="9" eb="11">
      <t>イチブ</t>
    </rPh>
    <phoneticPr fontId="1"/>
  </si>
  <si>
    <t>○
(左記以外)</t>
    <rPh sb="3" eb="5">
      <t>サキ</t>
    </rPh>
    <rPh sb="5" eb="7">
      <t>イガイ</t>
    </rPh>
    <phoneticPr fontId="1"/>
  </si>
  <si>
    <t>左記以外の現物納付(通則法第46条の２第１項による)</t>
    <rPh sb="0" eb="2">
      <t>サキ</t>
    </rPh>
    <rPh sb="2" eb="4">
      <t>イガイ</t>
    </rPh>
    <rPh sb="5" eb="7">
      <t>ゲンブツ</t>
    </rPh>
    <rPh sb="7" eb="9">
      <t>ノウフ</t>
    </rPh>
    <phoneticPr fontId="1"/>
  </si>
  <si>
    <t>法人数</t>
    <rPh sb="0" eb="2">
      <t>ホウジン</t>
    </rPh>
    <rPh sb="2" eb="3">
      <t>カズ</t>
    </rPh>
    <phoneticPr fontId="1"/>
  </si>
  <si>
    <t>-</t>
    <phoneticPr fontId="1"/>
  </si>
  <si>
    <t>家畜改良事業、飼育作物種苗の生産及び配布事業、技術の開発実用化事業、その他の事業</t>
    <rPh sb="0" eb="2">
      <t>カチク</t>
    </rPh>
    <rPh sb="2" eb="4">
      <t>カイリョウ</t>
    </rPh>
    <rPh sb="4" eb="6">
      <t>ジギョウ</t>
    </rPh>
    <rPh sb="5" eb="6">
      <t>ギョウ</t>
    </rPh>
    <rPh sb="7" eb="9">
      <t>シイク</t>
    </rPh>
    <rPh sb="9" eb="11">
      <t>サクモツ</t>
    </rPh>
    <rPh sb="11" eb="13">
      <t>シュビョウ</t>
    </rPh>
    <rPh sb="14" eb="16">
      <t>セイサン</t>
    </rPh>
    <rPh sb="16" eb="17">
      <t>オヨ</t>
    </rPh>
    <rPh sb="18" eb="20">
      <t>ハイフ</t>
    </rPh>
    <rPh sb="20" eb="22">
      <t>ジギョウ</t>
    </rPh>
    <rPh sb="23" eb="25">
      <t>ギジュツ</t>
    </rPh>
    <rPh sb="26" eb="28">
      <t>カイハツ</t>
    </rPh>
    <rPh sb="28" eb="31">
      <t>ジツヨウカ</t>
    </rPh>
    <rPh sb="31" eb="33">
      <t>ジギョウ</t>
    </rPh>
    <rPh sb="36" eb="37">
      <t>タ</t>
    </rPh>
    <rPh sb="38" eb="40">
      <t>ジギョウ</t>
    </rPh>
    <phoneticPr fontId="1"/>
  </si>
  <si>
    <t>-</t>
    <phoneticPr fontId="1"/>
  </si>
  <si>
    <t>資源環境管理研究事業、食料安定生産研究事業、農村活性化研究事業、情報収集・提供事業</t>
    <phoneticPr fontId="1"/>
  </si>
  <si>
    <t>畜産勘定、野菜勘定、砂糖勘定、でん粉勘定、補助金等勘定、肉用子牛勘定、債務保証勘定</t>
    <rPh sb="2" eb="4">
      <t>カンジョウ</t>
    </rPh>
    <rPh sb="7" eb="9">
      <t>カンジョウ</t>
    </rPh>
    <rPh sb="10" eb="12">
      <t>サトウ</t>
    </rPh>
    <rPh sb="12" eb="14">
      <t>カンジョウ</t>
    </rPh>
    <rPh sb="17" eb="18">
      <t>プン</t>
    </rPh>
    <rPh sb="18" eb="20">
      <t>カンジョウ</t>
    </rPh>
    <rPh sb="21" eb="24">
      <t>ホジョキン</t>
    </rPh>
    <rPh sb="24" eb="25">
      <t>ナド</t>
    </rPh>
    <rPh sb="25" eb="27">
      <t>カンジョウ</t>
    </rPh>
    <rPh sb="28" eb="30">
      <t>ニクヨウ</t>
    </rPh>
    <rPh sb="30" eb="31">
      <t>コ</t>
    </rPh>
    <rPh sb="31" eb="32">
      <t>ウシ</t>
    </rPh>
    <rPh sb="32" eb="34">
      <t>カンジョウ</t>
    </rPh>
    <rPh sb="35" eb="37">
      <t>サイム</t>
    </rPh>
    <rPh sb="37" eb="39">
      <t>ホショウ</t>
    </rPh>
    <rPh sb="39" eb="41">
      <t>カンジョウ</t>
    </rPh>
    <phoneticPr fontId="1"/>
  </si>
  <si>
    <t>新年金事業、旧年金事業、農地売買貸借事業</t>
    <rPh sb="0" eb="1">
      <t>シン</t>
    </rPh>
    <rPh sb="1" eb="3">
      <t>ネンキン</t>
    </rPh>
    <rPh sb="3" eb="5">
      <t>ジギョウ</t>
    </rPh>
    <rPh sb="6" eb="7">
      <t>キュウ</t>
    </rPh>
    <rPh sb="7" eb="9">
      <t>ネンキン</t>
    </rPh>
    <rPh sb="9" eb="11">
      <t>ジギョウ</t>
    </rPh>
    <rPh sb="18" eb="20">
      <t>ジギョウ</t>
    </rPh>
    <phoneticPr fontId="1"/>
  </si>
  <si>
    <t>特例付加年金勘定、農業者老齢年金等勘定、旧年金勘定、農地売買貸借等勘定</t>
    <phoneticPr fontId="1"/>
  </si>
  <si>
    <t>農業信用保険業務、林業信用保証業務、漁業信用保険業務、農業災害補償関係業務、漁業災害補償関係業務</t>
    <rPh sb="0" eb="2">
      <t>ノウギョウ</t>
    </rPh>
    <rPh sb="2" eb="4">
      <t>シンヨウ</t>
    </rPh>
    <rPh sb="4" eb="6">
      <t>ホケン</t>
    </rPh>
    <rPh sb="6" eb="8">
      <t>ギョウム</t>
    </rPh>
    <rPh sb="9" eb="11">
      <t>リンギョウ</t>
    </rPh>
    <rPh sb="11" eb="13">
      <t>シンヨウ</t>
    </rPh>
    <rPh sb="13" eb="15">
      <t>ホショウ</t>
    </rPh>
    <rPh sb="15" eb="17">
      <t>ギョウム</t>
    </rPh>
    <rPh sb="18" eb="20">
      <t>ギョギョウ</t>
    </rPh>
    <rPh sb="20" eb="22">
      <t>シンヨウ</t>
    </rPh>
    <rPh sb="22" eb="24">
      <t>ホケン</t>
    </rPh>
    <rPh sb="24" eb="26">
      <t>ギョウム</t>
    </rPh>
    <rPh sb="27" eb="29">
      <t>ノウギョウ</t>
    </rPh>
    <rPh sb="29" eb="31">
      <t>サイガイ</t>
    </rPh>
    <rPh sb="31" eb="33">
      <t>ホショウ</t>
    </rPh>
    <rPh sb="33" eb="35">
      <t>カンケイ</t>
    </rPh>
    <rPh sb="35" eb="37">
      <t>ギョウム</t>
    </rPh>
    <rPh sb="38" eb="40">
      <t>ギョギョウ</t>
    </rPh>
    <rPh sb="40" eb="42">
      <t>サイガイ</t>
    </rPh>
    <rPh sb="42" eb="44">
      <t>ホショウ</t>
    </rPh>
    <rPh sb="44" eb="46">
      <t>カンケイ</t>
    </rPh>
    <rPh sb="46" eb="48">
      <t>ギョウム</t>
    </rPh>
    <phoneticPr fontId="1"/>
  </si>
  <si>
    <t>農業保険業務、農業融資業務、林業信用保証業務、林業等資金寄託業務、林業等資金貸付業務、漁業保証保険業務、漁業融資保険業務、漁業融資業務、農業災害補償関係業務、漁業災害補償関係業務</t>
    <rPh sb="0" eb="2">
      <t>ノウギョウ</t>
    </rPh>
    <rPh sb="2" eb="4">
      <t>ホケン</t>
    </rPh>
    <rPh sb="4" eb="6">
      <t>ギョウム</t>
    </rPh>
    <rPh sb="7" eb="9">
      <t>ノウギョウ</t>
    </rPh>
    <rPh sb="9" eb="11">
      <t>ユウシ</t>
    </rPh>
    <rPh sb="11" eb="13">
      <t>ギョウム</t>
    </rPh>
    <rPh sb="14" eb="16">
      <t>リンギョウ</t>
    </rPh>
    <rPh sb="16" eb="18">
      <t>シンヨウ</t>
    </rPh>
    <rPh sb="18" eb="20">
      <t>ホショウ</t>
    </rPh>
    <rPh sb="20" eb="22">
      <t>ギョウム</t>
    </rPh>
    <rPh sb="23" eb="26">
      <t>リンギョウナド</t>
    </rPh>
    <rPh sb="26" eb="28">
      <t>シキン</t>
    </rPh>
    <rPh sb="28" eb="30">
      <t>キタク</t>
    </rPh>
    <rPh sb="30" eb="32">
      <t>ギョウム</t>
    </rPh>
    <rPh sb="33" eb="36">
      <t>リンギョウナド</t>
    </rPh>
    <rPh sb="36" eb="38">
      <t>シキン</t>
    </rPh>
    <rPh sb="38" eb="40">
      <t>カシツケ</t>
    </rPh>
    <rPh sb="40" eb="42">
      <t>ギョウム</t>
    </rPh>
    <rPh sb="43" eb="45">
      <t>ギョギョウ</t>
    </rPh>
    <rPh sb="45" eb="47">
      <t>ホショウ</t>
    </rPh>
    <rPh sb="47" eb="49">
      <t>ホケン</t>
    </rPh>
    <rPh sb="49" eb="51">
      <t>ギョウム</t>
    </rPh>
    <rPh sb="52" eb="54">
      <t>ギョギョウ</t>
    </rPh>
    <rPh sb="54" eb="56">
      <t>ユウシ</t>
    </rPh>
    <rPh sb="56" eb="58">
      <t>ホケン</t>
    </rPh>
    <rPh sb="58" eb="60">
      <t>ギョウム</t>
    </rPh>
    <rPh sb="61" eb="63">
      <t>ギョギョウ</t>
    </rPh>
    <rPh sb="63" eb="65">
      <t>ユウシ</t>
    </rPh>
    <rPh sb="65" eb="67">
      <t>ギョウム</t>
    </rPh>
    <phoneticPr fontId="1"/>
  </si>
  <si>
    <t>○
(右記以外)</t>
    <rPh sb="3" eb="5">
      <t>ウキ</t>
    </rPh>
    <rPh sb="5" eb="7">
      <t>イガイ</t>
    </rPh>
    <phoneticPr fontId="1"/>
  </si>
  <si>
    <t>○
(人件費及び一般管理費)</t>
    <rPh sb="3" eb="6">
      <t>ジンケンヒ</t>
    </rPh>
    <rPh sb="6" eb="7">
      <t>オヨ</t>
    </rPh>
    <rPh sb="8" eb="10">
      <t>イッパン</t>
    </rPh>
    <rPh sb="10" eb="13">
      <t>カンリヒ</t>
    </rPh>
    <phoneticPr fontId="1"/>
  </si>
  <si>
    <t>-</t>
    <phoneticPr fontId="1"/>
  </si>
  <si>
    <t>広報事業、情報・分析事業、相談事業、商品テスト事業、研修事業、企画調整事業、ＡＤＲ事業</t>
    <rPh sb="10" eb="12">
      <t>ジギョウ</t>
    </rPh>
    <rPh sb="23" eb="25">
      <t>ジギョウ</t>
    </rPh>
    <phoneticPr fontId="1"/>
  </si>
  <si>
    <t>○</t>
    <phoneticPr fontId="1"/>
  </si>
  <si>
    <t>中部センター瀬戸サイト(土地、建物及び付帯設備)</t>
    <rPh sb="0" eb="2">
      <t>チュウブ</t>
    </rPh>
    <rPh sb="6" eb="8">
      <t>セト</t>
    </rPh>
    <rPh sb="12" eb="14">
      <t>トチ</t>
    </rPh>
    <rPh sb="15" eb="17">
      <t>タテモノ</t>
    </rPh>
    <rPh sb="17" eb="18">
      <t>オヨ</t>
    </rPh>
    <rPh sb="19" eb="21">
      <t>フタイ</t>
    </rPh>
    <rPh sb="21" eb="23">
      <t>セツビ</t>
    </rPh>
    <phoneticPr fontId="1"/>
  </si>
  <si>
    <t>第１号業務、第２号業務、第３号業務、第４号業務</t>
    <rPh sb="3" eb="5">
      <t>ギョウム</t>
    </rPh>
    <rPh sb="9" eb="11">
      <t>ギョウム</t>
    </rPh>
    <phoneticPr fontId="1"/>
  </si>
  <si>
    <t>製品安全分野、化学物質管理分野、バイオテクノロジー分野、適合性認定分野</t>
    <phoneticPr fontId="1"/>
  </si>
  <si>
    <t>肥料及び土壌改良資材関係経費
農薬関係経費
飼料及び飼料添加物関係経費
食品等の調査、分析、情報提供業務関係経費
農林物資の検査、指導業務関係経費
農林物資の調査研究、講習業務関係経費</t>
  </si>
  <si>
    <t>研究・育種勘定
特定地域整備等勘定
水源林勘定</t>
  </si>
  <si>
    <t>研究・育種勘定
・森林、林業、木材産業、材木育種
特定地域整備等勘定
・特定地域整備経理、林道経理
水源林勘定（単一）</t>
    <rPh sb="9" eb="11">
      <t>シンリン</t>
    </rPh>
    <rPh sb="12" eb="14">
      <t>リンギョウ</t>
    </rPh>
    <rPh sb="15" eb="17">
      <t>モクザイ</t>
    </rPh>
    <rPh sb="17" eb="19">
      <t>サンギョウ</t>
    </rPh>
    <rPh sb="20" eb="22">
      <t>ザイモク</t>
    </rPh>
    <rPh sb="22" eb="24">
      <t>イクシュ</t>
    </rPh>
    <rPh sb="36" eb="38">
      <t>トクテイ</t>
    </rPh>
    <rPh sb="38" eb="40">
      <t>チイキ</t>
    </rPh>
    <rPh sb="40" eb="42">
      <t>セイビ</t>
    </rPh>
    <rPh sb="42" eb="44">
      <t>ケイリ</t>
    </rPh>
    <rPh sb="45" eb="47">
      <t>リンドウ</t>
    </rPh>
    <rPh sb="47" eb="49">
      <t>ケイリ</t>
    </rPh>
    <rPh sb="56" eb="58">
      <t>タンイツ</t>
    </rPh>
    <phoneticPr fontId="1"/>
  </si>
  <si>
    <t>一般勘定
電源利用勘定
エネルギー需給勘定
基盤技術研究促進勘定
鉱工業承継勘定</t>
    <phoneticPr fontId="1"/>
  </si>
  <si>
    <t>技術開発マネジメント関連業務
クレジット取得関連業務
債務保証経過業務・貸付経過業務</t>
    <phoneticPr fontId="1"/>
  </si>
  <si>
    <t>貿易･投資振興業務
開発途上国経済研究活動業務</t>
    <rPh sb="7" eb="9">
      <t>ギョウム</t>
    </rPh>
    <rPh sb="10" eb="12">
      <t>カイハツ</t>
    </rPh>
    <rPh sb="12" eb="15">
      <t>トジョウコク</t>
    </rPh>
    <rPh sb="15" eb="17">
      <t>ケイザイ</t>
    </rPh>
    <rPh sb="17" eb="19">
      <t>ケンキュウ</t>
    </rPh>
    <rPh sb="19" eb="21">
      <t>カツドウ</t>
    </rPh>
    <rPh sb="21" eb="23">
      <t>ギョウム</t>
    </rPh>
    <phoneticPr fontId="1"/>
  </si>
  <si>
    <t>事業化勘定
試験勘定
一般勘定
地域事業出資業務勘定</t>
    <rPh sb="0" eb="3">
      <t>ジギョウカ</t>
    </rPh>
    <rPh sb="3" eb="5">
      <t>カンジョウ</t>
    </rPh>
    <rPh sb="6" eb="8">
      <t>シケン</t>
    </rPh>
    <rPh sb="8" eb="10">
      <t>カンジョウ</t>
    </rPh>
    <rPh sb="11" eb="13">
      <t>イッパン</t>
    </rPh>
    <rPh sb="13" eb="15">
      <t>カンジョウ</t>
    </rPh>
    <rPh sb="16" eb="18">
      <t>チイキ</t>
    </rPh>
    <rPh sb="18" eb="20">
      <t>ジギョウ</t>
    </rPh>
    <rPh sb="20" eb="22">
      <t>シュッシ</t>
    </rPh>
    <rPh sb="22" eb="24">
      <t>ギョウム</t>
    </rPh>
    <rPh sb="24" eb="26">
      <t>カンジョウ</t>
    </rPh>
    <phoneticPr fontId="1"/>
  </si>
  <si>
    <t>プログラム開発普及業務
情報技術セキュリティ評価・認証業務
信用保証業務
事業運営業務
情報処理技術者試験業務
戦略的ソフトウェア開発業務
地域事業出資業務</t>
    <rPh sb="5" eb="7">
      <t>カイハツ</t>
    </rPh>
    <rPh sb="7" eb="9">
      <t>フキュウ</t>
    </rPh>
    <rPh sb="9" eb="11">
      <t>ギョウム</t>
    </rPh>
    <rPh sb="12" eb="14">
      <t>ジョウホウ</t>
    </rPh>
    <rPh sb="14" eb="16">
      <t>ギジュツ</t>
    </rPh>
    <rPh sb="22" eb="24">
      <t>ヒョウカ</t>
    </rPh>
    <rPh sb="25" eb="27">
      <t>ニンショウ</t>
    </rPh>
    <rPh sb="27" eb="29">
      <t>ギョウム</t>
    </rPh>
    <rPh sb="30" eb="32">
      <t>シンヨウ</t>
    </rPh>
    <rPh sb="32" eb="34">
      <t>ホショウ</t>
    </rPh>
    <rPh sb="34" eb="36">
      <t>ギョウム</t>
    </rPh>
    <rPh sb="37" eb="39">
      <t>ジギョウ</t>
    </rPh>
    <rPh sb="39" eb="41">
      <t>ウンエイ</t>
    </rPh>
    <rPh sb="41" eb="43">
      <t>ギョウム</t>
    </rPh>
    <rPh sb="44" eb="46">
      <t>ジョウホウ</t>
    </rPh>
    <rPh sb="46" eb="48">
      <t>ショリ</t>
    </rPh>
    <rPh sb="48" eb="51">
      <t>ギジュツシャ</t>
    </rPh>
    <rPh sb="51" eb="53">
      <t>シケン</t>
    </rPh>
    <rPh sb="53" eb="55">
      <t>ギョウム</t>
    </rPh>
    <rPh sb="56" eb="59">
      <t>センリャクテキ</t>
    </rPh>
    <rPh sb="65" eb="67">
      <t>カイハツ</t>
    </rPh>
    <rPh sb="67" eb="69">
      <t>ギョウム</t>
    </rPh>
    <rPh sb="70" eb="72">
      <t>チイキ</t>
    </rPh>
    <rPh sb="72" eb="74">
      <t>ジギョウ</t>
    </rPh>
    <rPh sb="74" eb="76">
      <t>シュッシ</t>
    </rPh>
    <rPh sb="76" eb="78">
      <t>ギョウム</t>
    </rPh>
    <phoneticPr fontId="1"/>
  </si>
  <si>
    <t>-</t>
    <phoneticPr fontId="1"/>
  </si>
  <si>
    <t>○</t>
    <phoneticPr fontId="1"/>
  </si>
  <si>
    <t>○</t>
  </si>
  <si>
    <t>公害健康被害補償予防予防業務勘定、石綿健康被害救済業務勘定、基金勘定、承継勘定</t>
    <rPh sb="0" eb="2">
      <t>コウガイ</t>
    </rPh>
    <rPh sb="2" eb="4">
      <t>ケンコウ</t>
    </rPh>
    <rPh sb="4" eb="6">
      <t>ヒガイ</t>
    </rPh>
    <rPh sb="6" eb="8">
      <t>ホショウ</t>
    </rPh>
    <rPh sb="8" eb="10">
      <t>ヨボウ</t>
    </rPh>
    <rPh sb="10" eb="12">
      <t>ヨボウ</t>
    </rPh>
    <rPh sb="12" eb="14">
      <t>ギョウム</t>
    </rPh>
    <rPh sb="14" eb="16">
      <t>カンジョウ</t>
    </rPh>
    <rPh sb="17" eb="19">
      <t>セキメン</t>
    </rPh>
    <rPh sb="19" eb="21">
      <t>ケンコウ</t>
    </rPh>
    <rPh sb="21" eb="23">
      <t>ヒガイ</t>
    </rPh>
    <rPh sb="23" eb="25">
      <t>キュウサイ</t>
    </rPh>
    <rPh sb="25" eb="27">
      <t>ギョウム</t>
    </rPh>
    <rPh sb="27" eb="29">
      <t>カンジョウ</t>
    </rPh>
    <rPh sb="30" eb="32">
      <t>キキン</t>
    </rPh>
    <rPh sb="32" eb="34">
      <t>カンジョウ</t>
    </rPh>
    <rPh sb="35" eb="37">
      <t>ショウケイ</t>
    </rPh>
    <rPh sb="37" eb="39">
      <t>カンジョウ</t>
    </rPh>
    <phoneticPr fontId="1"/>
  </si>
  <si>
    <t>公害予防勘定（公害健康被害補償、公害健康被害予防）、基金勘定(地球環境基金、PCB廃棄物処理基金、維持管理積立金）</t>
    <rPh sb="0" eb="2">
      <t>コウガイ</t>
    </rPh>
    <rPh sb="2" eb="4">
      <t>ヨボウ</t>
    </rPh>
    <rPh sb="4" eb="6">
      <t>カンジョウ</t>
    </rPh>
    <rPh sb="7" eb="9">
      <t>コウガイ</t>
    </rPh>
    <rPh sb="9" eb="11">
      <t>ケンコウ</t>
    </rPh>
    <rPh sb="11" eb="13">
      <t>ヒガイ</t>
    </rPh>
    <rPh sb="13" eb="15">
      <t>ホショウ</t>
    </rPh>
    <rPh sb="16" eb="18">
      <t>コウガイ</t>
    </rPh>
    <rPh sb="18" eb="20">
      <t>ケンコウ</t>
    </rPh>
    <rPh sb="20" eb="22">
      <t>ヒガイ</t>
    </rPh>
    <rPh sb="22" eb="24">
      <t>ヨボウ</t>
    </rPh>
    <rPh sb="26" eb="28">
      <t>キキン</t>
    </rPh>
    <rPh sb="28" eb="30">
      <t>カンジョウ</t>
    </rPh>
    <rPh sb="31" eb="33">
      <t>チキュウ</t>
    </rPh>
    <rPh sb="33" eb="35">
      <t>カンキョウ</t>
    </rPh>
    <rPh sb="35" eb="37">
      <t>キキン</t>
    </rPh>
    <rPh sb="41" eb="44">
      <t>ハイキブツ</t>
    </rPh>
    <rPh sb="44" eb="46">
      <t>ショリ</t>
    </rPh>
    <rPh sb="46" eb="48">
      <t>キキン</t>
    </rPh>
    <rPh sb="49" eb="51">
      <t>イジ</t>
    </rPh>
    <rPh sb="51" eb="53">
      <t>カンリ</t>
    </rPh>
    <rPh sb="53" eb="56">
      <t>ツミタテキン</t>
    </rPh>
    <phoneticPr fontId="1"/>
  </si>
  <si>
    <t>－</t>
    <phoneticPr fontId="1"/>
  </si>
  <si>
    <t>○</t>
    <phoneticPr fontId="1"/>
  </si>
  <si>
    <t>一般勘定・有償資金協力勘定</t>
    <rPh sb="0" eb="2">
      <t>イッパン</t>
    </rPh>
    <rPh sb="2" eb="4">
      <t>カンジョウ</t>
    </rPh>
    <rPh sb="5" eb="7">
      <t>ユウショウ</t>
    </rPh>
    <rPh sb="7" eb="9">
      <t>シキン</t>
    </rPh>
    <rPh sb="9" eb="11">
      <t>キョウリョク</t>
    </rPh>
    <rPh sb="11" eb="13">
      <t>カンジョウ</t>
    </rPh>
    <phoneticPr fontId="1"/>
  </si>
  <si>
    <t>技術協力、無償資金協力、国民等の協力活動、海外移住、災害援助等協力、人材要請確保、調査及び研究、受託業務、その他</t>
    <rPh sb="0" eb="2">
      <t>ギジュツ</t>
    </rPh>
    <rPh sb="2" eb="4">
      <t>キョウリョク</t>
    </rPh>
    <rPh sb="5" eb="6">
      <t>ナシ</t>
    </rPh>
    <rPh sb="6" eb="7">
      <t>ショウ</t>
    </rPh>
    <rPh sb="7" eb="9">
      <t>シキン</t>
    </rPh>
    <rPh sb="9" eb="11">
      <t>キョウリョク</t>
    </rPh>
    <rPh sb="12" eb="14">
      <t>コクミン</t>
    </rPh>
    <rPh sb="14" eb="15">
      <t>トウ</t>
    </rPh>
    <rPh sb="16" eb="18">
      <t>キョウリョク</t>
    </rPh>
    <rPh sb="18" eb="20">
      <t>カツドウ</t>
    </rPh>
    <rPh sb="21" eb="23">
      <t>カイガイ</t>
    </rPh>
    <rPh sb="23" eb="25">
      <t>イジュウ</t>
    </rPh>
    <rPh sb="26" eb="28">
      <t>サイガイ</t>
    </rPh>
    <rPh sb="28" eb="30">
      <t>エンジョ</t>
    </rPh>
    <rPh sb="30" eb="31">
      <t>トウ</t>
    </rPh>
    <rPh sb="31" eb="33">
      <t>キョウリョク</t>
    </rPh>
    <rPh sb="34" eb="36">
      <t>ジンザイ</t>
    </rPh>
    <rPh sb="36" eb="38">
      <t>ヨウセイ</t>
    </rPh>
    <rPh sb="38" eb="40">
      <t>カクホ</t>
    </rPh>
    <rPh sb="41" eb="43">
      <t>チョウサ</t>
    </rPh>
    <rPh sb="43" eb="44">
      <t>オヨ</t>
    </rPh>
    <rPh sb="45" eb="47">
      <t>ケンキュウ</t>
    </rPh>
    <rPh sb="48" eb="50">
      <t>ジュタク</t>
    </rPh>
    <rPh sb="50" eb="52">
      <t>ギョウム</t>
    </rPh>
    <rPh sb="55" eb="56">
      <t>タ</t>
    </rPh>
    <phoneticPr fontId="1"/>
  </si>
  <si>
    <t>-</t>
    <phoneticPr fontId="1"/>
  </si>
  <si>
    <t>○</t>
    <phoneticPr fontId="1"/>
  </si>
  <si>
    <t>原子力安全規制、その他</t>
    <rPh sb="0" eb="3">
      <t>ゲンシリョク</t>
    </rPh>
    <rPh sb="3" eb="5">
      <t>アンゼン</t>
    </rPh>
    <rPh sb="5" eb="7">
      <t>キセイ</t>
    </rPh>
    <rPh sb="10" eb="11">
      <t>タ</t>
    </rPh>
    <phoneticPr fontId="1"/>
  </si>
  <si>
    <t>検査等、解析及び評価、原子力災害の予防等、調査・試験等、情報の収集・整理等、その他原子力の安全の確保</t>
    <rPh sb="0" eb="2">
      <t>ケンサ</t>
    </rPh>
    <rPh sb="2" eb="3">
      <t>トウ</t>
    </rPh>
    <rPh sb="4" eb="6">
      <t>カイセキ</t>
    </rPh>
    <rPh sb="6" eb="7">
      <t>オヨ</t>
    </rPh>
    <rPh sb="8" eb="10">
      <t>ヒョウカ</t>
    </rPh>
    <rPh sb="11" eb="14">
      <t>ゲンシリョク</t>
    </rPh>
    <rPh sb="14" eb="16">
      <t>サイガイ</t>
    </rPh>
    <rPh sb="17" eb="19">
      <t>ヨボウ</t>
    </rPh>
    <rPh sb="19" eb="20">
      <t>トウ</t>
    </rPh>
    <rPh sb="21" eb="23">
      <t>チョウサ</t>
    </rPh>
    <rPh sb="24" eb="26">
      <t>シケン</t>
    </rPh>
    <rPh sb="26" eb="27">
      <t>トウ</t>
    </rPh>
    <rPh sb="28" eb="30">
      <t>ジョウホウ</t>
    </rPh>
    <rPh sb="31" eb="33">
      <t>シュウシュウ</t>
    </rPh>
    <rPh sb="34" eb="36">
      <t>セイリ</t>
    </rPh>
    <rPh sb="36" eb="37">
      <t>トウ</t>
    </rPh>
    <rPh sb="40" eb="41">
      <t>タ</t>
    </rPh>
    <rPh sb="41" eb="44">
      <t>ゲンシリョク</t>
    </rPh>
    <rPh sb="45" eb="47">
      <t>アンゼン</t>
    </rPh>
    <rPh sb="48" eb="50">
      <t>カクホ</t>
    </rPh>
    <phoneticPr fontId="1"/>
  </si>
  <si>
    <t>-</t>
    <phoneticPr fontId="1"/>
  </si>
  <si>
    <t>○</t>
    <phoneticPr fontId="1"/>
  </si>
  <si>
    <t>－</t>
    <phoneticPr fontId="1"/>
  </si>
  <si>
    <t>文化芸術交流事業、日本語教育事業、日本研究・知的交流事業、調査研究・情報提供等事業、東日本大震災復旧・復興文化交流事業、アジア文化交流強化事業、その他事業</t>
    <rPh sb="0" eb="2">
      <t>ブンカ</t>
    </rPh>
    <rPh sb="2" eb="4">
      <t>ゲイジュツ</t>
    </rPh>
    <rPh sb="4" eb="6">
      <t>コウリュウ</t>
    </rPh>
    <rPh sb="6" eb="8">
      <t>ジギョウ</t>
    </rPh>
    <rPh sb="9" eb="12">
      <t>ニホンゴ</t>
    </rPh>
    <rPh sb="12" eb="14">
      <t>キョウイク</t>
    </rPh>
    <rPh sb="14" eb="16">
      <t>ジギョウ</t>
    </rPh>
    <rPh sb="17" eb="19">
      <t>ニホン</t>
    </rPh>
    <rPh sb="19" eb="21">
      <t>ケンキュウ</t>
    </rPh>
    <rPh sb="22" eb="24">
      <t>チテキ</t>
    </rPh>
    <rPh sb="24" eb="28">
      <t>コウリュウジギョウ</t>
    </rPh>
    <rPh sb="29" eb="31">
      <t>チョウサ</t>
    </rPh>
    <rPh sb="31" eb="33">
      <t>ケンキュウ</t>
    </rPh>
    <rPh sb="34" eb="36">
      <t>ジョウホウ</t>
    </rPh>
    <rPh sb="36" eb="39">
      <t>テイキョウナド</t>
    </rPh>
    <rPh sb="39" eb="41">
      <t>ジギョウ</t>
    </rPh>
    <rPh sb="42" eb="45">
      <t>ヒガシニホン</t>
    </rPh>
    <rPh sb="45" eb="48">
      <t>ダイシンサイ</t>
    </rPh>
    <rPh sb="48" eb="50">
      <t>フッキュウ</t>
    </rPh>
    <rPh sb="51" eb="53">
      <t>フッコウ</t>
    </rPh>
    <rPh sb="53" eb="55">
      <t>ブンカ</t>
    </rPh>
    <rPh sb="55" eb="57">
      <t>コウリュウ</t>
    </rPh>
    <rPh sb="57" eb="59">
      <t>ジギョウ</t>
    </rPh>
    <rPh sb="63" eb="65">
      <t>ブンカ</t>
    </rPh>
    <rPh sb="65" eb="67">
      <t>コウリュウ</t>
    </rPh>
    <rPh sb="67" eb="69">
      <t>キョウカ</t>
    </rPh>
    <rPh sb="69" eb="71">
      <t>ジギョウ</t>
    </rPh>
    <rPh sb="74" eb="75">
      <t>タ</t>
    </rPh>
    <rPh sb="75" eb="77">
      <t>ジギョウ</t>
    </rPh>
    <phoneticPr fontId="1"/>
  </si>
  <si>
    <t>労務管理の実施、給与の支給、福利厚生</t>
    <rPh sb="0" eb="2">
      <t>ロウム</t>
    </rPh>
    <rPh sb="2" eb="4">
      <t>カンリ</t>
    </rPh>
    <rPh sb="5" eb="7">
      <t>ジッシ</t>
    </rPh>
    <rPh sb="8" eb="10">
      <t>キュウヨ</t>
    </rPh>
    <rPh sb="11" eb="13">
      <t>シキュウ</t>
    </rPh>
    <rPh sb="14" eb="16">
      <t>フクリ</t>
    </rPh>
    <rPh sb="16" eb="18">
      <t>コウセイ</t>
    </rPh>
    <phoneticPr fontId="1"/>
  </si>
  <si>
    <t>○
(退職手当、各所修繕、基地従業員関係費の一部)</t>
    <rPh sb="3" eb="5">
      <t>タイショク</t>
    </rPh>
    <rPh sb="5" eb="7">
      <t>テアテ</t>
    </rPh>
    <rPh sb="8" eb="10">
      <t>カクショ</t>
    </rPh>
    <rPh sb="10" eb="12">
      <t>シュウゼン</t>
    </rPh>
    <rPh sb="13" eb="15">
      <t>キチ</t>
    </rPh>
    <rPh sb="15" eb="18">
      <t>ジュウギョウイン</t>
    </rPh>
    <rPh sb="18" eb="21">
      <t>カンケイヒ</t>
    </rPh>
    <rPh sb="22" eb="24">
      <t>イチブ</t>
    </rPh>
    <phoneticPr fontId="1"/>
  </si>
  <si>
    <t>○
(左記を除く
全経費)</t>
    <rPh sb="3" eb="5">
      <t>サキ</t>
    </rPh>
    <rPh sb="6" eb="7">
      <t>ノゾ</t>
    </rPh>
    <rPh sb="9" eb="12">
      <t>ゼンケイヒ</t>
    </rPh>
    <phoneticPr fontId="1"/>
  </si>
  <si>
    <t>中央水産研究所高知庁舎(土地、建物、構築物、機械及び装置）</t>
    <rPh sb="12" eb="14">
      <t>トチ</t>
    </rPh>
    <rPh sb="15" eb="17">
      <t>タテモノ</t>
    </rPh>
    <rPh sb="18" eb="21">
      <t>コウチクブツ</t>
    </rPh>
    <rPh sb="22" eb="24">
      <t>キカイ</t>
    </rPh>
    <rPh sb="24" eb="25">
      <t>オヨ</t>
    </rPh>
    <rPh sb="26" eb="28">
      <t>ソウチ</t>
    </rPh>
    <phoneticPr fontId="1"/>
  </si>
  <si>
    <t>農業技術研究業務勘定、基礎的研究業務勘定、民間研究促進業務勘定、農業機械化促進業務勘定、特例業務勘定</t>
    <rPh sb="0" eb="2">
      <t>ノウギョウ</t>
    </rPh>
    <rPh sb="2" eb="4">
      <t>ギジュツ</t>
    </rPh>
    <rPh sb="4" eb="6">
      <t>ケンキュウ</t>
    </rPh>
    <rPh sb="6" eb="8">
      <t>ギョウム</t>
    </rPh>
    <rPh sb="8" eb="10">
      <t>カンジョウ</t>
    </rPh>
    <rPh sb="11" eb="14">
      <t>キソテキ</t>
    </rPh>
    <rPh sb="14" eb="16">
      <t>ケンキュウ</t>
    </rPh>
    <rPh sb="16" eb="18">
      <t>ギョウム</t>
    </rPh>
    <rPh sb="18" eb="20">
      <t>カンジョウ</t>
    </rPh>
    <rPh sb="21" eb="23">
      <t>ミンカン</t>
    </rPh>
    <rPh sb="23" eb="25">
      <t>ケンキュウ</t>
    </rPh>
    <rPh sb="25" eb="27">
      <t>ソクシン</t>
    </rPh>
    <rPh sb="27" eb="29">
      <t>ギョウム</t>
    </rPh>
    <rPh sb="29" eb="31">
      <t>カンジョウ</t>
    </rPh>
    <rPh sb="32" eb="34">
      <t>ノウギョウ</t>
    </rPh>
    <rPh sb="34" eb="37">
      <t>キカイカ</t>
    </rPh>
    <rPh sb="37" eb="39">
      <t>ソクシン</t>
    </rPh>
    <rPh sb="39" eb="41">
      <t>ギョウム</t>
    </rPh>
    <rPh sb="41" eb="43">
      <t>カンジョウ</t>
    </rPh>
    <rPh sb="44" eb="46">
      <t>トクレイ</t>
    </rPh>
    <rPh sb="46" eb="48">
      <t>ギョウム</t>
    </rPh>
    <rPh sb="48" eb="50">
      <t>カンジョウ</t>
    </rPh>
    <phoneticPr fontId="1"/>
  </si>
  <si>
    <t>研究基盤整備、生命現象解明、新生物産業創出</t>
    <rPh sb="0" eb="2">
      <t>ケンキュウ</t>
    </rPh>
    <rPh sb="2" eb="4">
      <t>キバン</t>
    </rPh>
    <rPh sb="4" eb="6">
      <t>セイビ</t>
    </rPh>
    <rPh sb="7" eb="9">
      <t>セイメイ</t>
    </rPh>
    <rPh sb="9" eb="11">
      <t>ゲンショウ</t>
    </rPh>
    <rPh sb="11" eb="13">
      <t>カイメイ</t>
    </rPh>
    <rPh sb="14" eb="17">
      <t>シンセイブツ</t>
    </rPh>
    <rPh sb="17" eb="19">
      <t>サンギョウ</t>
    </rPh>
    <rPh sb="19" eb="21">
      <t>ソウシュツ</t>
    </rPh>
    <phoneticPr fontId="1"/>
  </si>
  <si>
    <t>試験研究・技術開発勘定、海洋水産資源開発勘定</t>
    <rPh sb="0" eb="2">
      <t>シケン</t>
    </rPh>
    <rPh sb="2" eb="4">
      <t>ケンキュウ</t>
    </rPh>
    <rPh sb="5" eb="7">
      <t>ギジュツ</t>
    </rPh>
    <rPh sb="7" eb="9">
      <t>カイハツ</t>
    </rPh>
    <rPh sb="9" eb="11">
      <t>カンジョウ</t>
    </rPh>
    <rPh sb="12" eb="14">
      <t>カイヨウ</t>
    </rPh>
    <rPh sb="14" eb="16">
      <t>スイサン</t>
    </rPh>
    <rPh sb="16" eb="18">
      <t>シゲン</t>
    </rPh>
    <rPh sb="18" eb="20">
      <t>カイハツ</t>
    </rPh>
    <rPh sb="20" eb="22">
      <t>カンジョウ</t>
    </rPh>
    <phoneticPr fontId="1"/>
  </si>
  <si>
    <t>石油天然ガス等勘定、投融資等・金属鉱産物備蓄勘定、金属鉱業一般勘定、金属鉱業鉱害防止積立金勘定、金属鉱業鉱害防止事業基金勘定、石炭経過勘定</t>
    <rPh sb="0" eb="2">
      <t>セキユ</t>
    </rPh>
    <rPh sb="2" eb="4">
      <t>テンネン</t>
    </rPh>
    <rPh sb="6" eb="7">
      <t>トウ</t>
    </rPh>
    <rPh sb="7" eb="9">
      <t>カンジョウ</t>
    </rPh>
    <rPh sb="10" eb="13">
      <t>トウユウシ</t>
    </rPh>
    <rPh sb="13" eb="14">
      <t>トウ</t>
    </rPh>
    <rPh sb="15" eb="17">
      <t>キンゾク</t>
    </rPh>
    <rPh sb="17" eb="20">
      <t>コウサンブツ</t>
    </rPh>
    <rPh sb="20" eb="22">
      <t>ビチク</t>
    </rPh>
    <rPh sb="22" eb="24">
      <t>カンジョウ</t>
    </rPh>
    <rPh sb="25" eb="27">
      <t>キンゾク</t>
    </rPh>
    <rPh sb="27" eb="29">
      <t>コウギョウ</t>
    </rPh>
    <rPh sb="29" eb="31">
      <t>イッパン</t>
    </rPh>
    <rPh sb="31" eb="33">
      <t>カンジョウ</t>
    </rPh>
    <rPh sb="34" eb="36">
      <t>キンゾク</t>
    </rPh>
    <rPh sb="36" eb="38">
      <t>コウギョウ</t>
    </rPh>
    <rPh sb="38" eb="40">
      <t>コウガイ</t>
    </rPh>
    <rPh sb="40" eb="42">
      <t>ボウシ</t>
    </rPh>
    <rPh sb="42" eb="44">
      <t>ツミタテ</t>
    </rPh>
    <rPh sb="44" eb="45">
      <t>キン</t>
    </rPh>
    <rPh sb="45" eb="47">
      <t>カンジョウ</t>
    </rPh>
    <rPh sb="48" eb="50">
      <t>キンゾク</t>
    </rPh>
    <rPh sb="50" eb="52">
      <t>コウギョウ</t>
    </rPh>
    <rPh sb="52" eb="54">
      <t>コウガイ</t>
    </rPh>
    <rPh sb="54" eb="56">
      <t>ボウシ</t>
    </rPh>
    <rPh sb="56" eb="58">
      <t>ジギョウ</t>
    </rPh>
    <rPh sb="58" eb="60">
      <t>キキン</t>
    </rPh>
    <rPh sb="60" eb="62">
      <t>カンジョウ</t>
    </rPh>
    <rPh sb="63" eb="65">
      <t>セキタン</t>
    </rPh>
    <rPh sb="65" eb="67">
      <t>ケイカ</t>
    </rPh>
    <rPh sb="67" eb="69">
      <t>カンジョウ</t>
    </rPh>
    <phoneticPr fontId="1"/>
  </si>
  <si>
    <t>石油開発、金属開発、資源備蓄、鉱害防止、資産買収、石炭開発、地熱開発、石炭経過</t>
    <rPh sb="0" eb="2">
      <t>セキユ</t>
    </rPh>
    <rPh sb="2" eb="4">
      <t>カイハツ</t>
    </rPh>
    <rPh sb="5" eb="7">
      <t>キンゾク</t>
    </rPh>
    <rPh sb="7" eb="9">
      <t>カイハツ</t>
    </rPh>
    <rPh sb="10" eb="12">
      <t>シゲン</t>
    </rPh>
    <rPh sb="12" eb="14">
      <t>ビチク</t>
    </rPh>
    <rPh sb="15" eb="17">
      <t>コウガイ</t>
    </rPh>
    <rPh sb="17" eb="19">
      <t>ボウシ</t>
    </rPh>
    <rPh sb="20" eb="22">
      <t>シサン</t>
    </rPh>
    <rPh sb="22" eb="24">
      <t>バイシュウ</t>
    </rPh>
    <rPh sb="25" eb="27">
      <t>セキタン</t>
    </rPh>
    <rPh sb="27" eb="29">
      <t>カイハツ</t>
    </rPh>
    <rPh sb="30" eb="32">
      <t>チネツ</t>
    </rPh>
    <rPh sb="32" eb="34">
      <t>カイハツ</t>
    </rPh>
    <rPh sb="35" eb="37">
      <t>セキタン</t>
    </rPh>
    <rPh sb="37" eb="39">
      <t>ケイカ</t>
    </rPh>
    <phoneticPr fontId="1"/>
  </si>
  <si>
    <t>一般勘定、産業基盤整備勘定、施設整備等勘定、小規模企業共済勘定、中小企業倒産防止共済勘定、工業再配置等業務特別勘定、産炭地域経過業務特別勘定、出資承継勘定</t>
    <rPh sb="0" eb="2">
      <t>イッパン</t>
    </rPh>
    <rPh sb="2" eb="4">
      <t>カンジョウ</t>
    </rPh>
    <rPh sb="5" eb="7">
      <t>サンギョウ</t>
    </rPh>
    <rPh sb="7" eb="9">
      <t>キバン</t>
    </rPh>
    <rPh sb="9" eb="11">
      <t>セイビ</t>
    </rPh>
    <rPh sb="11" eb="13">
      <t>カンジョウ</t>
    </rPh>
    <rPh sb="14" eb="16">
      <t>シセツ</t>
    </rPh>
    <rPh sb="16" eb="19">
      <t>セイビトウ</t>
    </rPh>
    <rPh sb="19" eb="21">
      <t>カンジョウ</t>
    </rPh>
    <rPh sb="22" eb="25">
      <t>ショウキボ</t>
    </rPh>
    <rPh sb="25" eb="27">
      <t>キギョウ</t>
    </rPh>
    <rPh sb="27" eb="29">
      <t>キョウサイ</t>
    </rPh>
    <rPh sb="29" eb="31">
      <t>カンジョウ</t>
    </rPh>
    <rPh sb="32" eb="34">
      <t>チュウショウ</t>
    </rPh>
    <rPh sb="34" eb="36">
      <t>キギョウ</t>
    </rPh>
    <rPh sb="36" eb="38">
      <t>トウサン</t>
    </rPh>
    <rPh sb="38" eb="40">
      <t>ボウシ</t>
    </rPh>
    <rPh sb="40" eb="42">
      <t>キョウサイ</t>
    </rPh>
    <rPh sb="42" eb="44">
      <t>カンジョウ</t>
    </rPh>
    <rPh sb="45" eb="47">
      <t>コウギョウ</t>
    </rPh>
    <rPh sb="47" eb="50">
      <t>サイハイチ</t>
    </rPh>
    <rPh sb="50" eb="51">
      <t>トウ</t>
    </rPh>
    <rPh sb="51" eb="53">
      <t>ギョウム</t>
    </rPh>
    <rPh sb="53" eb="55">
      <t>トクベツ</t>
    </rPh>
    <rPh sb="55" eb="57">
      <t>カンジョウ</t>
    </rPh>
    <rPh sb="58" eb="61">
      <t>サンタンチ</t>
    </rPh>
    <rPh sb="61" eb="62">
      <t>イキ</t>
    </rPh>
    <rPh sb="62" eb="64">
      <t>ケイカ</t>
    </rPh>
    <rPh sb="64" eb="66">
      <t>ギョウム</t>
    </rPh>
    <rPh sb="66" eb="68">
      <t>トクベツ</t>
    </rPh>
    <rPh sb="68" eb="70">
      <t>カンジョウ</t>
    </rPh>
    <rPh sb="71" eb="73">
      <t>シュッシ</t>
    </rPh>
    <rPh sb="73" eb="75">
      <t>ショウケイ</t>
    </rPh>
    <rPh sb="75" eb="77">
      <t>カンジョウ</t>
    </rPh>
    <phoneticPr fontId="1"/>
  </si>
  <si>
    <t>一般勘定、産業基盤整備勘定、施設整備等勘定、小規模企業共済勘定、中小企業倒産防止共済勘定、出資承継勘定</t>
    <rPh sb="0" eb="2">
      <t>イッパン</t>
    </rPh>
    <rPh sb="2" eb="4">
      <t>カンジョウ</t>
    </rPh>
    <rPh sb="5" eb="7">
      <t>サンギョウ</t>
    </rPh>
    <rPh sb="7" eb="9">
      <t>キバン</t>
    </rPh>
    <rPh sb="9" eb="11">
      <t>セイビ</t>
    </rPh>
    <rPh sb="11" eb="13">
      <t>カンジョウ</t>
    </rPh>
    <rPh sb="14" eb="16">
      <t>シセツ</t>
    </rPh>
    <rPh sb="16" eb="19">
      <t>セイビトウ</t>
    </rPh>
    <rPh sb="19" eb="21">
      <t>カンジョウ</t>
    </rPh>
    <rPh sb="22" eb="25">
      <t>ショウキボ</t>
    </rPh>
    <rPh sb="25" eb="27">
      <t>キギョウ</t>
    </rPh>
    <rPh sb="27" eb="29">
      <t>キョウサイ</t>
    </rPh>
    <rPh sb="29" eb="31">
      <t>カンジョウ</t>
    </rPh>
    <rPh sb="32" eb="34">
      <t>チュウショウ</t>
    </rPh>
    <rPh sb="34" eb="36">
      <t>キギョウ</t>
    </rPh>
    <rPh sb="36" eb="38">
      <t>トウサン</t>
    </rPh>
    <rPh sb="38" eb="40">
      <t>ボウシ</t>
    </rPh>
    <rPh sb="40" eb="42">
      <t>キョウサイ</t>
    </rPh>
    <rPh sb="42" eb="44">
      <t>カンジョウ</t>
    </rPh>
    <rPh sb="45" eb="47">
      <t>シュッシ</t>
    </rPh>
    <rPh sb="47" eb="49">
      <t>ショウケイ</t>
    </rPh>
    <rPh sb="49" eb="51">
      <t>カンジョウ</t>
    </rPh>
    <phoneticPr fontId="1"/>
  </si>
  <si>
    <t>-</t>
    <phoneticPr fontId="1"/>
  </si>
  <si>
    <t>その他（左記以外の個別法等に基づく納付、出資の返還）</t>
    <rPh sb="2" eb="3">
      <t>タ</t>
    </rPh>
    <rPh sb="4" eb="6">
      <t>サキ</t>
    </rPh>
    <rPh sb="6" eb="8">
      <t>イガイ</t>
    </rPh>
    <rPh sb="9" eb="11">
      <t>コベツ</t>
    </rPh>
    <rPh sb="11" eb="12">
      <t>ホウ</t>
    </rPh>
    <rPh sb="12" eb="13">
      <t>トウ</t>
    </rPh>
    <rPh sb="14" eb="15">
      <t>モト</t>
    </rPh>
    <rPh sb="17" eb="19">
      <t>ノウフ</t>
    </rPh>
    <rPh sb="20" eb="22">
      <t>シュッシ</t>
    </rPh>
    <rPh sb="23" eb="25">
      <t>ヘンカン</t>
    </rPh>
    <phoneticPr fontId="1"/>
  </si>
  <si>
    <t>－</t>
    <phoneticPr fontId="1"/>
  </si>
  <si>
    <t>国立公文書館、アジア歴史資料センター</t>
    <rPh sb="0" eb="2">
      <t>コクリツ</t>
    </rPh>
    <rPh sb="2" eb="6">
      <t>コウブンショカン</t>
    </rPh>
    <rPh sb="10" eb="12">
      <t>レキシ</t>
    </rPh>
    <rPh sb="12" eb="14">
      <t>シリョウ</t>
    </rPh>
    <phoneticPr fontId="1"/>
  </si>
  <si>
    <t>一般業務勘定、貸付業務勘定</t>
    <rPh sb="0" eb="2">
      <t>イッパン</t>
    </rPh>
    <rPh sb="2" eb="4">
      <t>ギョウム</t>
    </rPh>
    <rPh sb="4" eb="6">
      <t>カンジョウ</t>
    </rPh>
    <rPh sb="7" eb="9">
      <t>カシツ</t>
    </rPh>
    <rPh sb="9" eb="11">
      <t>ギョウム</t>
    </rPh>
    <rPh sb="11" eb="13">
      <t>カンジョウ</t>
    </rPh>
    <phoneticPr fontId="1"/>
  </si>
  <si>
    <t>一般勘定、基盤技術研究促進勘定、債務保証勘定、出資勘定</t>
    <rPh sb="23" eb="25">
      <t>シュッシ</t>
    </rPh>
    <rPh sb="25" eb="27">
      <t>カンジョウ</t>
    </rPh>
    <phoneticPr fontId="1"/>
  </si>
  <si>
    <t>郵便貯金勘定、簡易生命保険勘定</t>
    <rPh sb="13" eb="15">
      <t>カンジョウ</t>
    </rPh>
    <phoneticPr fontId="1"/>
  </si>
  <si>
    <t>一般勘定（ネットワーク基盤技術に関する研究開発、ユニバーサルコミュニケーション基盤技術に関する研究開発、未来ＩＣＴ基盤技術に関する研究開発、電磁波センシング基盤技術に関する研究開発、テストベッド研究開発の推進及び統合データシステムに関する研究開発等、研究開発成果の社会還元に関する業務等）、基盤技術研究促進勘定、債務保証勘定、出資勘定</t>
    <rPh sb="0" eb="2">
      <t>イッパン</t>
    </rPh>
    <rPh sb="2" eb="4">
      <t>カンジョウ</t>
    </rPh>
    <rPh sb="11" eb="13">
      <t>キバン</t>
    </rPh>
    <rPh sb="13" eb="15">
      <t>ギジュツ</t>
    </rPh>
    <rPh sb="16" eb="17">
      <t>カン</t>
    </rPh>
    <rPh sb="19" eb="21">
      <t>ケンキュウ</t>
    </rPh>
    <rPh sb="21" eb="23">
      <t>カイハツ</t>
    </rPh>
    <rPh sb="39" eb="41">
      <t>キバン</t>
    </rPh>
    <rPh sb="41" eb="43">
      <t>ギジュツ</t>
    </rPh>
    <rPh sb="44" eb="45">
      <t>カン</t>
    </rPh>
    <rPh sb="47" eb="49">
      <t>ケンキュウ</t>
    </rPh>
    <rPh sb="49" eb="51">
      <t>カイハツ</t>
    </rPh>
    <rPh sb="52" eb="54">
      <t>ミライ</t>
    </rPh>
    <rPh sb="57" eb="59">
      <t>キバン</t>
    </rPh>
    <rPh sb="59" eb="61">
      <t>ギジュツ</t>
    </rPh>
    <rPh sb="62" eb="63">
      <t>カン</t>
    </rPh>
    <rPh sb="65" eb="67">
      <t>ケンキュウ</t>
    </rPh>
    <rPh sb="67" eb="69">
      <t>カイハツ</t>
    </rPh>
    <rPh sb="70" eb="73">
      <t>デンジハ</t>
    </rPh>
    <rPh sb="78" eb="80">
      <t>キバン</t>
    </rPh>
    <rPh sb="80" eb="82">
      <t>ギジュツ</t>
    </rPh>
    <rPh sb="83" eb="84">
      <t>カン</t>
    </rPh>
    <rPh sb="86" eb="88">
      <t>ケンキュウ</t>
    </rPh>
    <rPh sb="88" eb="90">
      <t>カイハツ</t>
    </rPh>
    <rPh sb="97" eb="99">
      <t>ケンキュウ</t>
    </rPh>
    <rPh sb="99" eb="101">
      <t>カイハツ</t>
    </rPh>
    <rPh sb="102" eb="104">
      <t>スイシン</t>
    </rPh>
    <rPh sb="104" eb="105">
      <t>オヨ</t>
    </rPh>
    <rPh sb="106" eb="108">
      <t>トウゴウ</t>
    </rPh>
    <rPh sb="116" eb="117">
      <t>カン</t>
    </rPh>
    <rPh sb="119" eb="121">
      <t>ケンキュウ</t>
    </rPh>
    <rPh sb="121" eb="123">
      <t>カイハツ</t>
    </rPh>
    <rPh sb="123" eb="124">
      <t>トウ</t>
    </rPh>
    <rPh sb="125" eb="127">
      <t>ケンキュウ</t>
    </rPh>
    <rPh sb="127" eb="129">
      <t>カイハツ</t>
    </rPh>
    <rPh sb="129" eb="131">
      <t>セイカ</t>
    </rPh>
    <rPh sb="132" eb="134">
      <t>シャカイ</t>
    </rPh>
    <rPh sb="134" eb="136">
      <t>カンゲン</t>
    </rPh>
    <rPh sb="137" eb="138">
      <t>カン</t>
    </rPh>
    <rPh sb="140" eb="142">
      <t>ギョウム</t>
    </rPh>
    <rPh sb="142" eb="143">
      <t>トウ</t>
    </rPh>
    <phoneticPr fontId="1"/>
  </si>
  <si>
    <t>貨幣製造事業、その他の事業</t>
    <phoneticPr fontId="1"/>
  </si>
  <si>
    <t>第一号勘定（公園事業）、第二号勘定（基金事業）</t>
    <rPh sb="0" eb="1">
      <t>ダイ</t>
    </rPh>
    <rPh sb="1" eb="3">
      <t>イチゴウ</t>
    </rPh>
    <rPh sb="3" eb="5">
      <t>カンジョウ</t>
    </rPh>
    <rPh sb="6" eb="8">
      <t>コウエン</t>
    </rPh>
    <rPh sb="8" eb="10">
      <t>ジギョウ</t>
    </rPh>
    <rPh sb="12" eb="13">
      <t>ダイ</t>
    </rPh>
    <rPh sb="13" eb="15">
      <t>ニゴウ</t>
    </rPh>
    <rPh sb="15" eb="17">
      <t>カンジョウ</t>
    </rPh>
    <rPh sb="18" eb="20">
      <t>キキン</t>
    </rPh>
    <rPh sb="20" eb="22">
      <t>ジギョウ</t>
    </rPh>
    <phoneticPr fontId="1"/>
  </si>
  <si>
    <t>一般勘定、審査勘定</t>
    <rPh sb="0" eb="2">
      <t>イッパン</t>
    </rPh>
    <rPh sb="2" eb="4">
      <t>カンジョウ</t>
    </rPh>
    <rPh sb="5" eb="7">
      <t>シンサ</t>
    </rPh>
    <rPh sb="7" eb="9">
      <t>カンジョウ</t>
    </rPh>
    <phoneticPr fontId="1"/>
  </si>
  <si>
    <t>海技課程、海技専攻課程、船舶運航実務課程、特別課程、研究</t>
    <rPh sb="0" eb="2">
      <t>カイギ</t>
    </rPh>
    <rPh sb="2" eb="4">
      <t>カテイ</t>
    </rPh>
    <rPh sb="5" eb="7">
      <t>カイギ</t>
    </rPh>
    <rPh sb="7" eb="9">
      <t>センコウ</t>
    </rPh>
    <rPh sb="9" eb="11">
      <t>カテイ</t>
    </rPh>
    <rPh sb="12" eb="14">
      <t>センパク</t>
    </rPh>
    <rPh sb="14" eb="16">
      <t>ウンコウ</t>
    </rPh>
    <rPh sb="16" eb="18">
      <t>ジツム</t>
    </rPh>
    <rPh sb="18" eb="20">
      <t>カテイ</t>
    </rPh>
    <rPh sb="21" eb="23">
      <t>トクベツ</t>
    </rPh>
    <rPh sb="23" eb="25">
      <t>カテイ</t>
    </rPh>
    <rPh sb="26" eb="28">
      <t>ケンキュウ</t>
    </rPh>
    <phoneticPr fontId="1"/>
  </si>
  <si>
    <t>建設勘定、海事勘定、基礎的研究等勘定、助成勘定、特例業務勘定</t>
    <rPh sb="0" eb="2">
      <t>ケンセツ</t>
    </rPh>
    <rPh sb="2" eb="4">
      <t>カンジョウ</t>
    </rPh>
    <rPh sb="5" eb="7">
      <t>カイジ</t>
    </rPh>
    <rPh sb="7" eb="9">
      <t>カンジョウ</t>
    </rPh>
    <rPh sb="10" eb="13">
      <t>キソテキ</t>
    </rPh>
    <rPh sb="13" eb="15">
      <t>ケンキュウ</t>
    </rPh>
    <rPh sb="15" eb="16">
      <t>トウ</t>
    </rPh>
    <rPh sb="16" eb="18">
      <t>カンジョウ</t>
    </rPh>
    <rPh sb="19" eb="21">
      <t>ジョセイ</t>
    </rPh>
    <rPh sb="21" eb="23">
      <t>カンジョウ</t>
    </rPh>
    <rPh sb="24" eb="26">
      <t>トクレイ</t>
    </rPh>
    <rPh sb="26" eb="28">
      <t>ギョウム</t>
    </rPh>
    <rPh sb="28" eb="30">
      <t>カンジョウ</t>
    </rPh>
    <phoneticPr fontId="1"/>
  </si>
  <si>
    <t>一般勘定、交付金勘定</t>
    <rPh sb="0" eb="2">
      <t>イッパン</t>
    </rPh>
    <rPh sb="2" eb="4">
      <t>カンジョウ</t>
    </rPh>
    <rPh sb="5" eb="8">
      <t>コウフキン</t>
    </rPh>
    <rPh sb="8" eb="10">
      <t>カンジョウ</t>
    </rPh>
    <phoneticPr fontId="1"/>
  </si>
  <si>
    <t>貸付業務、療護業務、一般業務</t>
    <rPh sb="0" eb="2">
      <t>カシツケ</t>
    </rPh>
    <rPh sb="2" eb="4">
      <t>ギョウム</t>
    </rPh>
    <rPh sb="5" eb="7">
      <t>リョウゴ</t>
    </rPh>
    <rPh sb="7" eb="9">
      <t>ギョウム</t>
    </rPh>
    <rPh sb="10" eb="12">
      <t>イッパン</t>
    </rPh>
    <rPh sb="12" eb="14">
      <t>ギョウム</t>
    </rPh>
    <phoneticPr fontId="1"/>
  </si>
  <si>
    <t>固有事業、受託事業、その他事業</t>
    <rPh sb="0" eb="2">
      <t>コユウ</t>
    </rPh>
    <rPh sb="2" eb="4">
      <t>ジギョウ</t>
    </rPh>
    <rPh sb="5" eb="7">
      <t>ジュタク</t>
    </rPh>
    <rPh sb="7" eb="9">
      <t>ジギョウ</t>
    </rPh>
    <rPh sb="12" eb="13">
      <t>タ</t>
    </rPh>
    <rPh sb="13" eb="15">
      <t>ジギョウ</t>
    </rPh>
    <phoneticPr fontId="1"/>
  </si>
  <si>
    <t>防災措置業務勘定、その他業務勘定</t>
    <rPh sb="0" eb="2">
      <t>ボウサイ</t>
    </rPh>
    <rPh sb="2" eb="4">
      <t>ソチ</t>
    </rPh>
    <rPh sb="4" eb="6">
      <t>ギョウム</t>
    </rPh>
    <rPh sb="6" eb="8">
      <t>カンジョウ</t>
    </rPh>
    <rPh sb="11" eb="12">
      <t>タ</t>
    </rPh>
    <rPh sb="12" eb="14">
      <t>ギョウム</t>
    </rPh>
    <rPh sb="14" eb="16">
      <t>カンジョウ</t>
    </rPh>
    <phoneticPr fontId="1"/>
  </si>
  <si>
    <t>防災措置、機材、消防船、訓練、調査研究</t>
    <rPh sb="0" eb="2">
      <t>ボウサイ</t>
    </rPh>
    <rPh sb="2" eb="4">
      <t>ソチ</t>
    </rPh>
    <rPh sb="5" eb="7">
      <t>キザイ</t>
    </rPh>
    <rPh sb="8" eb="10">
      <t>ショウボウ</t>
    </rPh>
    <rPh sb="10" eb="11">
      <t>セン</t>
    </rPh>
    <rPh sb="12" eb="14">
      <t>クンレン</t>
    </rPh>
    <rPh sb="15" eb="17">
      <t>チョウサ</t>
    </rPh>
    <rPh sb="17" eb="19">
      <t>ケンキュウ</t>
    </rPh>
    <phoneticPr fontId="1"/>
  </si>
  <si>
    <t>都市再生勘定、宅地造成等経過勘定</t>
    <rPh sb="0" eb="2">
      <t>トシ</t>
    </rPh>
    <rPh sb="2" eb="4">
      <t>サイセイ</t>
    </rPh>
    <rPh sb="4" eb="6">
      <t>カンジョウ</t>
    </rPh>
    <rPh sb="7" eb="9">
      <t>タクチ</t>
    </rPh>
    <rPh sb="9" eb="11">
      <t>ゾウセイ</t>
    </rPh>
    <rPh sb="11" eb="12">
      <t>トウ</t>
    </rPh>
    <rPh sb="12" eb="14">
      <t>ケイカ</t>
    </rPh>
    <rPh sb="14" eb="16">
      <t>カンジョウ</t>
    </rPh>
    <phoneticPr fontId="1"/>
  </si>
  <si>
    <t>保証業務、融資業務</t>
    <rPh sb="0" eb="2">
      <t>ホショウ</t>
    </rPh>
    <rPh sb="2" eb="4">
      <t>ギョウム</t>
    </rPh>
    <rPh sb="5" eb="7">
      <t>ユウシ</t>
    </rPh>
    <rPh sb="7" eb="9">
      <t>ギョウム</t>
    </rPh>
    <phoneticPr fontId="1"/>
  </si>
  <si>
    <t>高速道路勘定、鉄道勘定</t>
    <rPh sb="9" eb="11">
      <t>カンジョウ</t>
    </rPh>
    <phoneticPr fontId="1"/>
  </si>
  <si>
    <t>証券化支援勘定、住宅融資保険勘定、財形住宅資金貸付勘定、住宅資金貸付等勘定、既往債権管理勘定</t>
    <phoneticPr fontId="1"/>
  </si>
  <si>
    <t>－</t>
    <phoneticPr fontId="1"/>
  </si>
  <si>
    <t>－</t>
    <phoneticPr fontId="1"/>
  </si>
  <si>
    <t>－</t>
    <phoneticPr fontId="1"/>
  </si>
  <si>
    <t>○</t>
    <phoneticPr fontId="1"/>
  </si>
  <si>
    <t>○
（退職手当及び業務部門の非常勤職員手当を除く人件費）</t>
    <rPh sb="3" eb="5">
      <t>タイショク</t>
    </rPh>
    <rPh sb="5" eb="7">
      <t>テアテ</t>
    </rPh>
    <rPh sb="7" eb="8">
      <t>オヨ</t>
    </rPh>
    <rPh sb="9" eb="11">
      <t>ギョウム</t>
    </rPh>
    <rPh sb="11" eb="13">
      <t>ブモン</t>
    </rPh>
    <rPh sb="14" eb="17">
      <t>ヒジョウキン</t>
    </rPh>
    <rPh sb="17" eb="19">
      <t>ショクイン</t>
    </rPh>
    <rPh sb="19" eb="21">
      <t>テアテ</t>
    </rPh>
    <rPh sb="22" eb="23">
      <t>ノゾ</t>
    </rPh>
    <rPh sb="24" eb="27">
      <t>ジンケンヒ</t>
    </rPh>
    <phoneticPr fontId="1"/>
  </si>
  <si>
    <t>〇</t>
    <phoneticPr fontId="1"/>
  </si>
  <si>
    <t>〇</t>
    <phoneticPr fontId="1"/>
  </si>
  <si>
    <r>
      <t xml:space="preserve">○
</t>
    </r>
    <r>
      <rPr>
        <sz val="9"/>
        <color theme="1"/>
        <rFont val="ＭＳ ゴシック"/>
        <family val="3"/>
        <charset val="128"/>
      </rPr>
      <t>（練習船経費、退職手当等）</t>
    </r>
    <rPh sb="3" eb="6">
      <t>レンシュウセン</t>
    </rPh>
    <rPh sb="6" eb="8">
      <t>ケイヒ</t>
    </rPh>
    <rPh sb="9" eb="11">
      <t>タイショク</t>
    </rPh>
    <rPh sb="11" eb="13">
      <t>テアテ</t>
    </rPh>
    <rPh sb="13" eb="14">
      <t>トウ</t>
    </rPh>
    <phoneticPr fontId="1"/>
  </si>
  <si>
    <r>
      <t xml:space="preserve">○
</t>
    </r>
    <r>
      <rPr>
        <sz val="9"/>
        <color theme="1"/>
        <rFont val="ＭＳ ゴシック"/>
        <family val="3"/>
        <charset val="128"/>
      </rPr>
      <t>（管理・業務部門経費、人件費等）</t>
    </r>
    <rPh sb="3" eb="5">
      <t>カンリ</t>
    </rPh>
    <rPh sb="6" eb="8">
      <t>ギョウム</t>
    </rPh>
    <rPh sb="8" eb="10">
      <t>ブモン</t>
    </rPh>
    <rPh sb="10" eb="12">
      <t>ケイヒ</t>
    </rPh>
    <rPh sb="13" eb="16">
      <t>ジンケンヒ</t>
    </rPh>
    <rPh sb="16" eb="17">
      <t>トウ</t>
    </rPh>
    <phoneticPr fontId="1"/>
  </si>
  <si>
    <r>
      <t xml:space="preserve">○
</t>
    </r>
    <r>
      <rPr>
        <sz val="9"/>
        <color theme="1"/>
        <rFont val="ＭＳ ゴシック"/>
        <family val="3"/>
        <charset val="128"/>
      </rPr>
      <t>（想定されない事故、緊急対応経費）</t>
    </r>
    <rPh sb="3" eb="5">
      <t>ソウテイ</t>
    </rPh>
    <rPh sb="9" eb="11">
      <t>ジコ</t>
    </rPh>
    <rPh sb="12" eb="14">
      <t>キンキュウ</t>
    </rPh>
    <rPh sb="14" eb="16">
      <t>タイオウ</t>
    </rPh>
    <rPh sb="16" eb="18">
      <t>ケイヒ</t>
    </rPh>
    <phoneticPr fontId="1"/>
  </si>
  <si>
    <t>-</t>
    <phoneticPr fontId="1"/>
  </si>
  <si>
    <t>〇</t>
    <phoneticPr fontId="1"/>
  </si>
  <si>
    <t>－</t>
    <phoneticPr fontId="1"/>
  </si>
  <si>
    <t>○</t>
    <phoneticPr fontId="1"/>
  </si>
  <si>
    <r>
      <t xml:space="preserve">○
</t>
    </r>
    <r>
      <rPr>
        <sz val="8"/>
        <color theme="1"/>
        <rFont val="ＭＳ ゴシック"/>
        <family val="3"/>
        <charset val="128"/>
      </rPr>
      <t>（想定されない事故、緊急対応経費）</t>
    </r>
    <rPh sb="3" eb="5">
      <t>ソウテイ</t>
    </rPh>
    <rPh sb="9" eb="11">
      <t>ジコ</t>
    </rPh>
    <rPh sb="12" eb="14">
      <t>キンキュウ</t>
    </rPh>
    <rPh sb="14" eb="16">
      <t>タイオウ</t>
    </rPh>
    <rPh sb="16" eb="18">
      <t>ケイヒ</t>
    </rPh>
    <phoneticPr fontId="1"/>
  </si>
  <si>
    <t>研究促進対策等積立金</t>
    <rPh sb="0" eb="2">
      <t>ケンキュウ</t>
    </rPh>
    <rPh sb="2" eb="4">
      <t>ソクシン</t>
    </rPh>
    <rPh sb="4" eb="6">
      <t>タイサク</t>
    </rPh>
    <rPh sb="6" eb="7">
      <t>トウ</t>
    </rPh>
    <rPh sb="7" eb="10">
      <t>ツミタテキン</t>
    </rPh>
    <phoneticPr fontId="1"/>
  </si>
  <si>
    <t>研究促進開発等積立金</t>
    <rPh sb="0" eb="2">
      <t>ケンキュウ</t>
    </rPh>
    <rPh sb="2" eb="4">
      <t>ソクシン</t>
    </rPh>
    <rPh sb="4" eb="6">
      <t>カイハツ</t>
    </rPh>
    <rPh sb="6" eb="7">
      <t>トウ</t>
    </rPh>
    <rPh sb="7" eb="9">
      <t>ツミタテ</t>
    </rPh>
    <rPh sb="9" eb="10">
      <t>キン</t>
    </rPh>
    <phoneticPr fontId="1"/>
  </si>
  <si>
    <t>業務充実改善・施設改修等積立金</t>
    <rPh sb="0" eb="2">
      <t>ギョウム</t>
    </rPh>
    <rPh sb="2" eb="4">
      <t>ジュウジツ</t>
    </rPh>
    <rPh sb="4" eb="6">
      <t>カイゼン</t>
    </rPh>
    <rPh sb="7" eb="9">
      <t>シセツ</t>
    </rPh>
    <rPh sb="9" eb="11">
      <t>カイシュウ</t>
    </rPh>
    <rPh sb="11" eb="12">
      <t>トウ</t>
    </rPh>
    <rPh sb="12" eb="15">
      <t>ツミタテキン</t>
    </rPh>
    <phoneticPr fontId="1"/>
  </si>
  <si>
    <t>知的財産管理・技術移転等積立金</t>
    <rPh sb="14" eb="15">
      <t>キン</t>
    </rPh>
    <phoneticPr fontId="1"/>
  </si>
  <si>
    <t>業務拡充積立金</t>
    <rPh sb="0" eb="2">
      <t>ギョウム</t>
    </rPh>
    <rPh sb="2" eb="4">
      <t>カクジュウ</t>
    </rPh>
    <rPh sb="4" eb="7">
      <t>ツミタテキン</t>
    </rPh>
    <phoneticPr fontId="1"/>
  </si>
  <si>
    <t>－</t>
    <phoneticPr fontId="1"/>
  </si>
  <si>
    <t>青少年教育事業、基金事業</t>
    <rPh sb="0" eb="3">
      <t>セイショウネン</t>
    </rPh>
    <rPh sb="3" eb="5">
      <t>キョウイク</t>
    </rPh>
    <rPh sb="5" eb="7">
      <t>ジギョウ</t>
    </rPh>
    <rPh sb="8" eb="10">
      <t>キキン</t>
    </rPh>
    <rPh sb="10" eb="12">
      <t>ジギョウ</t>
    </rPh>
    <phoneticPr fontId="1"/>
  </si>
  <si>
    <t>展示事業、調査研究事業、教育・普及事業</t>
    <rPh sb="0" eb="2">
      <t>テンジ</t>
    </rPh>
    <rPh sb="2" eb="4">
      <t>ジギョウ</t>
    </rPh>
    <rPh sb="5" eb="7">
      <t>チョウサ</t>
    </rPh>
    <rPh sb="7" eb="9">
      <t>ケンキュウ</t>
    </rPh>
    <rPh sb="9" eb="11">
      <t>ジギョウ</t>
    </rPh>
    <rPh sb="12" eb="14">
      <t>キョウイク</t>
    </rPh>
    <rPh sb="15" eb="17">
      <t>フキュウ</t>
    </rPh>
    <rPh sb="17" eb="19">
      <t>ジギョウ</t>
    </rPh>
    <phoneticPr fontId="22"/>
  </si>
  <si>
    <t>先端共通技術、ナノスケール材料、環境・エネルギー・資源材料、中核機能活動</t>
    <rPh sb="0" eb="2">
      <t>センタン</t>
    </rPh>
    <rPh sb="2" eb="4">
      <t>キョウツウ</t>
    </rPh>
    <rPh sb="4" eb="6">
      <t>ギジュツ</t>
    </rPh>
    <rPh sb="13" eb="15">
      <t>ザイリョウ</t>
    </rPh>
    <rPh sb="16" eb="18">
      <t>カンキョウ</t>
    </rPh>
    <rPh sb="25" eb="27">
      <t>シゲン</t>
    </rPh>
    <rPh sb="27" eb="29">
      <t>ザイリョウ</t>
    </rPh>
    <rPh sb="30" eb="32">
      <t>チュウカク</t>
    </rPh>
    <rPh sb="32" eb="34">
      <t>キノウ</t>
    </rPh>
    <rPh sb="34" eb="36">
      <t>カツドウ</t>
    </rPh>
    <phoneticPr fontId="1"/>
  </si>
  <si>
    <t>放射線の医学的利用のための研究、放射線安全研究、緊急被ばく医療研究、基盤技術開発及び人材育成その他業務、東日本大震災復興特別会計事業</t>
    <rPh sb="0" eb="3">
      <t>ホウシャセン</t>
    </rPh>
    <rPh sb="4" eb="7">
      <t>イガクテキ</t>
    </rPh>
    <rPh sb="7" eb="9">
      <t>リヨウ</t>
    </rPh>
    <rPh sb="13" eb="15">
      <t>ケンキュウ</t>
    </rPh>
    <rPh sb="16" eb="19">
      <t>ホウシャセン</t>
    </rPh>
    <rPh sb="19" eb="21">
      <t>アンゼン</t>
    </rPh>
    <rPh sb="21" eb="23">
      <t>ケンキュウ</t>
    </rPh>
    <rPh sb="24" eb="26">
      <t>キンキュウ</t>
    </rPh>
    <rPh sb="26" eb="27">
      <t>ヒ</t>
    </rPh>
    <rPh sb="29" eb="31">
      <t>イリョウ</t>
    </rPh>
    <rPh sb="31" eb="33">
      <t>ケンキュウ</t>
    </rPh>
    <rPh sb="34" eb="36">
      <t>キバン</t>
    </rPh>
    <rPh sb="36" eb="38">
      <t>ギジュツ</t>
    </rPh>
    <rPh sb="38" eb="40">
      <t>カイハツ</t>
    </rPh>
    <rPh sb="40" eb="41">
      <t>オヨ</t>
    </rPh>
    <rPh sb="42" eb="44">
      <t>ジンザイ</t>
    </rPh>
    <rPh sb="44" eb="46">
      <t>イクセイ</t>
    </rPh>
    <rPh sb="48" eb="49">
      <t>タ</t>
    </rPh>
    <rPh sb="49" eb="51">
      <t>ギョウム</t>
    </rPh>
    <rPh sb="52" eb="53">
      <t>ヒガシ</t>
    </rPh>
    <rPh sb="53" eb="55">
      <t>ニホン</t>
    </rPh>
    <rPh sb="55" eb="56">
      <t>ダイ</t>
    </rPh>
    <rPh sb="56" eb="58">
      <t>シンサイ</t>
    </rPh>
    <rPh sb="58" eb="60">
      <t>フッコウ</t>
    </rPh>
    <rPh sb="60" eb="62">
      <t>トクベツ</t>
    </rPh>
    <rPh sb="62" eb="64">
      <t>カイケイ</t>
    </rPh>
    <rPh sb="64" eb="66">
      <t>ジギョウ</t>
    </rPh>
    <phoneticPr fontId="1"/>
  </si>
  <si>
    <t>一般勘定、文献情報提供勘定、革新的新技術研究開発業務勘定</t>
    <rPh sb="0" eb="2">
      <t>イッパン</t>
    </rPh>
    <rPh sb="2" eb="4">
      <t>カンジョウ</t>
    </rPh>
    <rPh sb="5" eb="7">
      <t>ブンケン</t>
    </rPh>
    <rPh sb="7" eb="9">
      <t>ジョウホウ</t>
    </rPh>
    <rPh sb="9" eb="11">
      <t>テイキョウ</t>
    </rPh>
    <rPh sb="11" eb="13">
      <t>カンジョウ</t>
    </rPh>
    <rPh sb="14" eb="17">
      <t>カクシンテキ</t>
    </rPh>
    <rPh sb="17" eb="20">
      <t>シンギジュツ</t>
    </rPh>
    <rPh sb="20" eb="22">
      <t>ケンキュウ</t>
    </rPh>
    <rPh sb="22" eb="24">
      <t>カイハツ</t>
    </rPh>
    <rPh sb="24" eb="26">
      <t>ギョウム</t>
    </rPh>
    <rPh sb="26" eb="28">
      <t>カンジョウ</t>
    </rPh>
    <phoneticPr fontId="1"/>
  </si>
  <si>
    <t>一般勘定、学術研究助成業務勘定、先端研究助成業務勘定、研究者海外派遣業務勘定</t>
    <rPh sb="0" eb="2">
      <t>イッパン</t>
    </rPh>
    <rPh sb="2" eb="4">
      <t>カンジョウ</t>
    </rPh>
    <rPh sb="5" eb="7">
      <t>ガクジュツ</t>
    </rPh>
    <rPh sb="7" eb="9">
      <t>ケンキュウ</t>
    </rPh>
    <rPh sb="9" eb="11">
      <t>ジョセイ</t>
    </rPh>
    <rPh sb="11" eb="13">
      <t>ギョウム</t>
    </rPh>
    <rPh sb="13" eb="15">
      <t>カンジョウ</t>
    </rPh>
    <rPh sb="16" eb="18">
      <t>センタン</t>
    </rPh>
    <rPh sb="18" eb="20">
      <t>ケンキュウ</t>
    </rPh>
    <rPh sb="20" eb="22">
      <t>ジョセイ</t>
    </rPh>
    <rPh sb="22" eb="24">
      <t>ギョウム</t>
    </rPh>
    <rPh sb="24" eb="26">
      <t>カンジョウ</t>
    </rPh>
    <rPh sb="27" eb="30">
      <t>ケンキュウシャ</t>
    </rPh>
    <rPh sb="30" eb="32">
      <t>カイガイ</t>
    </rPh>
    <rPh sb="32" eb="34">
      <t>ハケン</t>
    </rPh>
    <rPh sb="34" eb="36">
      <t>ギョウム</t>
    </rPh>
    <rPh sb="36" eb="38">
      <t>カンジョウ</t>
    </rPh>
    <phoneticPr fontId="1"/>
  </si>
  <si>
    <t>世界レベルの多様な知の創造、強固な国際協働ネットワークの構築、次世代の人材育成と大学の教育研究機能の向上、エビデンスに基づいた学術振興体制の構築と社会との連携の推進</t>
    <rPh sb="0" eb="2">
      <t>セカイ</t>
    </rPh>
    <rPh sb="6" eb="8">
      <t>タヨウ</t>
    </rPh>
    <rPh sb="9" eb="10">
      <t>チ</t>
    </rPh>
    <rPh sb="11" eb="13">
      <t>ソウゾウ</t>
    </rPh>
    <rPh sb="14" eb="16">
      <t>キョウコ</t>
    </rPh>
    <rPh sb="17" eb="19">
      <t>コクサイ</t>
    </rPh>
    <rPh sb="19" eb="21">
      <t>キョウドウ</t>
    </rPh>
    <rPh sb="28" eb="30">
      <t>コウチク</t>
    </rPh>
    <rPh sb="31" eb="34">
      <t>ジセダイ</t>
    </rPh>
    <rPh sb="35" eb="37">
      <t>ジンザイ</t>
    </rPh>
    <rPh sb="37" eb="39">
      <t>イクセイ</t>
    </rPh>
    <rPh sb="40" eb="42">
      <t>ダイガク</t>
    </rPh>
    <rPh sb="43" eb="45">
      <t>キョウイク</t>
    </rPh>
    <rPh sb="45" eb="47">
      <t>ケンキュウ</t>
    </rPh>
    <rPh sb="47" eb="49">
      <t>キノウ</t>
    </rPh>
    <rPh sb="50" eb="52">
      <t>コウジョウ</t>
    </rPh>
    <rPh sb="59" eb="60">
      <t>モト</t>
    </rPh>
    <rPh sb="63" eb="65">
      <t>ガクジュツ</t>
    </rPh>
    <rPh sb="65" eb="67">
      <t>シンコウ</t>
    </rPh>
    <rPh sb="67" eb="69">
      <t>タイセイ</t>
    </rPh>
    <rPh sb="70" eb="72">
      <t>コウチク</t>
    </rPh>
    <rPh sb="73" eb="75">
      <t>シャカイ</t>
    </rPh>
    <rPh sb="77" eb="79">
      <t>レンケイ</t>
    </rPh>
    <rPh sb="80" eb="82">
      <t>スイシン</t>
    </rPh>
    <phoneticPr fontId="1"/>
  </si>
  <si>
    <t>研究事業、バイオリソース関連事業、成果普及事業、特定先端大型研究施設共用促進事業</t>
    <rPh sb="0" eb="2">
      <t>ケンキュウ</t>
    </rPh>
    <rPh sb="2" eb="4">
      <t>ジギョウ</t>
    </rPh>
    <rPh sb="12" eb="14">
      <t>カンレン</t>
    </rPh>
    <rPh sb="17" eb="19">
      <t>セイカ</t>
    </rPh>
    <rPh sb="19" eb="21">
      <t>フキュウ</t>
    </rPh>
    <phoneticPr fontId="22"/>
  </si>
  <si>
    <t>投票勘定、災害共済給付勘定、免責特約勘定、特定業務勘定、一般勘定</t>
    <rPh sb="0" eb="2">
      <t>トウヒョウ</t>
    </rPh>
    <rPh sb="2" eb="4">
      <t>カンジョウ</t>
    </rPh>
    <rPh sb="5" eb="7">
      <t>サイガイ</t>
    </rPh>
    <rPh sb="7" eb="9">
      <t>キョウサイ</t>
    </rPh>
    <rPh sb="9" eb="11">
      <t>キュウフ</t>
    </rPh>
    <rPh sb="11" eb="13">
      <t>カンジョウ</t>
    </rPh>
    <rPh sb="14" eb="16">
      <t>メンセキ</t>
    </rPh>
    <rPh sb="16" eb="18">
      <t>トクヤク</t>
    </rPh>
    <rPh sb="18" eb="20">
      <t>カンジョウ</t>
    </rPh>
    <rPh sb="21" eb="23">
      <t>トクテイ</t>
    </rPh>
    <rPh sb="23" eb="25">
      <t>ギョウム</t>
    </rPh>
    <rPh sb="25" eb="27">
      <t>カンジョウ</t>
    </rPh>
    <rPh sb="28" eb="30">
      <t>イッパン</t>
    </rPh>
    <rPh sb="30" eb="32">
      <t>カンジョウ</t>
    </rPh>
    <phoneticPr fontId="1"/>
  </si>
  <si>
    <t>一般勘定、施設整備勘定</t>
    <rPh sb="0" eb="2">
      <t>イッパン</t>
    </rPh>
    <rPh sb="2" eb="4">
      <t>カンジョウ</t>
    </rPh>
    <rPh sb="5" eb="7">
      <t>シセツ</t>
    </rPh>
    <rPh sb="7" eb="9">
      <t>セイビ</t>
    </rPh>
    <rPh sb="9" eb="11">
      <t>カンジョウ</t>
    </rPh>
    <phoneticPr fontId="1"/>
  </si>
  <si>
    <t>一般勘定、電源利用勘定、埋設処分業務勘定</t>
    <rPh sb="0" eb="2">
      <t>イッパン</t>
    </rPh>
    <rPh sb="2" eb="4">
      <t>カンジョウ</t>
    </rPh>
    <rPh sb="5" eb="7">
      <t>デンゲン</t>
    </rPh>
    <rPh sb="7" eb="9">
      <t>リヨウ</t>
    </rPh>
    <rPh sb="9" eb="11">
      <t>カンジョウ</t>
    </rPh>
    <rPh sb="12" eb="14">
      <t>マイセツ</t>
    </rPh>
    <rPh sb="14" eb="16">
      <t>ショブン</t>
    </rPh>
    <rPh sb="16" eb="18">
      <t>ギョウム</t>
    </rPh>
    <rPh sb="18" eb="20">
      <t>カンジョウ</t>
    </rPh>
    <phoneticPr fontId="1"/>
  </si>
  <si>
    <t>一般勘定、社会復帰促進等事業勘定</t>
    <rPh sb="0" eb="2">
      <t>イッパン</t>
    </rPh>
    <rPh sb="2" eb="4">
      <t>カンジョウ</t>
    </rPh>
    <rPh sb="5" eb="7">
      <t>シャカイ</t>
    </rPh>
    <rPh sb="7" eb="9">
      <t>フッキ</t>
    </rPh>
    <rPh sb="9" eb="11">
      <t>ソクシン</t>
    </rPh>
    <rPh sb="11" eb="12">
      <t>トウ</t>
    </rPh>
    <rPh sb="12" eb="14">
      <t>ジギョウ</t>
    </rPh>
    <rPh sb="14" eb="16">
      <t>カンジョウ</t>
    </rPh>
    <phoneticPr fontId="1"/>
  </si>
  <si>
    <t>一般の中小企業退職金共済事業等勘定、建設業退職金共済事業等勘定、清酒製造業退職金共済事業等勘定、林業退職金共済事業等勘定、財形勘定、雇用促進融資勘定</t>
    <rPh sb="0" eb="2">
      <t>イッパン</t>
    </rPh>
    <rPh sb="3" eb="5">
      <t>チュウショウ</t>
    </rPh>
    <rPh sb="5" eb="7">
      <t>キギョウ</t>
    </rPh>
    <rPh sb="7" eb="10">
      <t>タイショクキン</t>
    </rPh>
    <rPh sb="10" eb="12">
      <t>キョウサイ</t>
    </rPh>
    <rPh sb="12" eb="14">
      <t>ジギョウ</t>
    </rPh>
    <rPh sb="14" eb="15">
      <t>ナド</t>
    </rPh>
    <rPh sb="15" eb="17">
      <t>カンジョウ</t>
    </rPh>
    <rPh sb="18" eb="21">
      <t>ケンセツギョウ</t>
    </rPh>
    <rPh sb="21" eb="24">
      <t>タイショクキン</t>
    </rPh>
    <rPh sb="24" eb="26">
      <t>キョウサイ</t>
    </rPh>
    <rPh sb="26" eb="28">
      <t>ジギョウ</t>
    </rPh>
    <rPh sb="28" eb="29">
      <t>ナド</t>
    </rPh>
    <rPh sb="29" eb="31">
      <t>カンジョウ</t>
    </rPh>
    <rPh sb="32" eb="34">
      <t>セイシュ</t>
    </rPh>
    <rPh sb="34" eb="37">
      <t>セイゾウギョウ</t>
    </rPh>
    <rPh sb="37" eb="40">
      <t>タイショクキン</t>
    </rPh>
    <rPh sb="40" eb="42">
      <t>キョウサイ</t>
    </rPh>
    <rPh sb="42" eb="44">
      <t>ジギョウ</t>
    </rPh>
    <rPh sb="44" eb="45">
      <t>ナド</t>
    </rPh>
    <rPh sb="45" eb="47">
      <t>カンジョウ</t>
    </rPh>
    <rPh sb="48" eb="50">
      <t>リンギョウ</t>
    </rPh>
    <rPh sb="50" eb="53">
      <t>タイショクキン</t>
    </rPh>
    <rPh sb="53" eb="55">
      <t>キョウサイ</t>
    </rPh>
    <rPh sb="55" eb="57">
      <t>ジギョウ</t>
    </rPh>
    <rPh sb="57" eb="58">
      <t>ナド</t>
    </rPh>
    <rPh sb="58" eb="60">
      <t>カンジョウ</t>
    </rPh>
    <rPh sb="61" eb="63">
      <t>ザイケイ</t>
    </rPh>
    <rPh sb="63" eb="65">
      <t>カンジョウ</t>
    </rPh>
    <rPh sb="66" eb="68">
      <t>コヨウ</t>
    </rPh>
    <rPh sb="68" eb="70">
      <t>ソクシン</t>
    </rPh>
    <rPh sb="70" eb="72">
      <t>ユウシ</t>
    </rPh>
    <rPh sb="72" eb="74">
      <t>カンジョウ</t>
    </rPh>
    <phoneticPr fontId="1"/>
  </si>
  <si>
    <t>高齢・障害者雇用支援勘定、障害者職業能力開発勘定、障害者雇用納付金勘定、職業能力開発勘定、認定特定求職者職業訓練勘定、宿舎等勘定</t>
    <rPh sb="0" eb="2">
      <t>コウレイ</t>
    </rPh>
    <rPh sb="3" eb="5">
      <t>ショウガイ</t>
    </rPh>
    <rPh sb="6" eb="8">
      <t>コヨウ</t>
    </rPh>
    <rPh sb="8" eb="10">
      <t>シエン</t>
    </rPh>
    <rPh sb="10" eb="12">
      <t>カンジョウ</t>
    </rPh>
    <rPh sb="13" eb="16">
      <t>ショウガイシャ</t>
    </rPh>
    <rPh sb="16" eb="18">
      <t>ショクギョウ</t>
    </rPh>
    <rPh sb="18" eb="20">
      <t>ノウリョク</t>
    </rPh>
    <rPh sb="20" eb="22">
      <t>カイハツ</t>
    </rPh>
    <rPh sb="22" eb="24">
      <t>カンジョウ</t>
    </rPh>
    <rPh sb="25" eb="28">
      <t>ショウガイシャ</t>
    </rPh>
    <rPh sb="28" eb="30">
      <t>コヨウ</t>
    </rPh>
    <rPh sb="30" eb="33">
      <t>ノウフキン</t>
    </rPh>
    <rPh sb="33" eb="35">
      <t>カンジョウ</t>
    </rPh>
    <rPh sb="36" eb="38">
      <t>ショクギョウ</t>
    </rPh>
    <rPh sb="38" eb="40">
      <t>ノウリョク</t>
    </rPh>
    <rPh sb="40" eb="42">
      <t>カイハツ</t>
    </rPh>
    <rPh sb="42" eb="44">
      <t>カンジョウ</t>
    </rPh>
    <rPh sb="45" eb="47">
      <t>ニンテイ</t>
    </rPh>
    <rPh sb="47" eb="49">
      <t>トクテイ</t>
    </rPh>
    <rPh sb="49" eb="51">
      <t>キュウショク</t>
    </rPh>
    <rPh sb="51" eb="52">
      <t>シャ</t>
    </rPh>
    <rPh sb="52" eb="54">
      <t>ショクギョウ</t>
    </rPh>
    <rPh sb="54" eb="56">
      <t>クンレン</t>
    </rPh>
    <rPh sb="56" eb="58">
      <t>カンジョウ</t>
    </rPh>
    <rPh sb="59" eb="61">
      <t>シュクシャ</t>
    </rPh>
    <rPh sb="61" eb="62">
      <t>トウ</t>
    </rPh>
    <rPh sb="62" eb="64">
      <t>カンジョウ</t>
    </rPh>
    <phoneticPr fontId="1"/>
  </si>
  <si>
    <t>一般勘定、共済勘定、保険勘定、年金担保貸付勘定、労災年金担保貸付勘定、承継債権管理回収勘定、承継教育資金貸付けあっせん勘定</t>
    <rPh sb="0" eb="2">
      <t>イッパン</t>
    </rPh>
    <rPh sb="2" eb="4">
      <t>カンジョウ</t>
    </rPh>
    <rPh sb="5" eb="7">
      <t>キョウサイ</t>
    </rPh>
    <rPh sb="7" eb="9">
      <t>カンジョウ</t>
    </rPh>
    <rPh sb="10" eb="12">
      <t>ホケン</t>
    </rPh>
    <rPh sb="12" eb="14">
      <t>カンジョウ</t>
    </rPh>
    <rPh sb="15" eb="17">
      <t>ネンキン</t>
    </rPh>
    <rPh sb="17" eb="19">
      <t>タンポ</t>
    </rPh>
    <rPh sb="19" eb="21">
      <t>カシツケ</t>
    </rPh>
    <rPh sb="21" eb="23">
      <t>カンジョウ</t>
    </rPh>
    <rPh sb="24" eb="26">
      <t>ロウサイ</t>
    </rPh>
    <rPh sb="26" eb="28">
      <t>ネンキン</t>
    </rPh>
    <rPh sb="28" eb="30">
      <t>タンポ</t>
    </rPh>
    <rPh sb="30" eb="32">
      <t>カシツケ</t>
    </rPh>
    <rPh sb="32" eb="34">
      <t>カンジョウ</t>
    </rPh>
    <rPh sb="35" eb="37">
      <t>ショウケイ</t>
    </rPh>
    <rPh sb="37" eb="39">
      <t>サイケン</t>
    </rPh>
    <rPh sb="39" eb="41">
      <t>カンリ</t>
    </rPh>
    <rPh sb="41" eb="43">
      <t>カイシュウ</t>
    </rPh>
    <rPh sb="43" eb="45">
      <t>カンジョウ</t>
    </rPh>
    <rPh sb="46" eb="48">
      <t>ショウケイ</t>
    </rPh>
    <rPh sb="48" eb="50">
      <t>キョウイク</t>
    </rPh>
    <rPh sb="50" eb="52">
      <t>シキン</t>
    </rPh>
    <rPh sb="52" eb="54">
      <t>カシツケ</t>
    </rPh>
    <rPh sb="59" eb="61">
      <t>カンジョウ</t>
    </rPh>
    <phoneticPr fontId="1"/>
  </si>
  <si>
    <t>一般勘定、労災勘定、雇用勘定</t>
    <rPh sb="0" eb="2">
      <t>イッパン</t>
    </rPh>
    <rPh sb="2" eb="4">
      <t>カンジョウ</t>
    </rPh>
    <rPh sb="5" eb="7">
      <t>ロウサイ</t>
    </rPh>
    <rPh sb="7" eb="9">
      <t>カンジョウ</t>
    </rPh>
    <rPh sb="10" eb="12">
      <t>コヨウ</t>
    </rPh>
    <rPh sb="12" eb="14">
      <t>カンジョウ</t>
    </rPh>
    <phoneticPr fontId="1"/>
  </si>
  <si>
    <t>労災病院事業、労働安全衛生融資回収事業、未払賃金立替払事業、産業保健活動事業、専門医療センター事業、看護専門学校事業、勤労者予防医療センター事業、その他の事業</t>
    <rPh sb="0" eb="2">
      <t>ロウサイ</t>
    </rPh>
    <rPh sb="2" eb="4">
      <t>ビョウイン</t>
    </rPh>
    <rPh sb="4" eb="6">
      <t>ジギョウ</t>
    </rPh>
    <rPh sb="7" eb="9">
      <t>ロウドウ</t>
    </rPh>
    <rPh sb="9" eb="11">
      <t>アンゼン</t>
    </rPh>
    <rPh sb="11" eb="13">
      <t>エイセイ</t>
    </rPh>
    <rPh sb="13" eb="15">
      <t>ユウシ</t>
    </rPh>
    <rPh sb="15" eb="17">
      <t>カイシュウ</t>
    </rPh>
    <rPh sb="17" eb="19">
      <t>ジギョウ</t>
    </rPh>
    <rPh sb="20" eb="22">
      <t>ミハライ</t>
    </rPh>
    <rPh sb="22" eb="24">
      <t>チンギン</t>
    </rPh>
    <rPh sb="24" eb="27">
      <t>タテカエバライ</t>
    </rPh>
    <rPh sb="27" eb="29">
      <t>ジギョウ</t>
    </rPh>
    <rPh sb="30" eb="32">
      <t>サンギョウ</t>
    </rPh>
    <rPh sb="32" eb="34">
      <t>ホケン</t>
    </rPh>
    <rPh sb="34" eb="36">
      <t>カツドウ</t>
    </rPh>
    <rPh sb="36" eb="38">
      <t>ジギョウ</t>
    </rPh>
    <rPh sb="39" eb="41">
      <t>センモン</t>
    </rPh>
    <rPh sb="41" eb="43">
      <t>イリョウ</t>
    </rPh>
    <rPh sb="47" eb="49">
      <t>ジギョウ</t>
    </rPh>
    <rPh sb="50" eb="52">
      <t>カンゴ</t>
    </rPh>
    <rPh sb="52" eb="54">
      <t>センモン</t>
    </rPh>
    <rPh sb="54" eb="56">
      <t>ガッコウ</t>
    </rPh>
    <rPh sb="56" eb="58">
      <t>ジギョウ</t>
    </rPh>
    <rPh sb="59" eb="62">
      <t>キンロウシャ</t>
    </rPh>
    <rPh sb="62" eb="64">
      <t>ヨボウ</t>
    </rPh>
    <rPh sb="64" eb="66">
      <t>イリョウ</t>
    </rPh>
    <rPh sb="70" eb="72">
      <t>ジギョウ</t>
    </rPh>
    <rPh sb="75" eb="76">
      <t>タ</t>
    </rPh>
    <rPh sb="77" eb="79">
      <t>ジギョウ</t>
    </rPh>
    <phoneticPr fontId="1"/>
  </si>
  <si>
    <t>診療事業、教育研修事業、臨床研究事業</t>
    <rPh sb="0" eb="2">
      <t>シンリョウ</t>
    </rPh>
    <rPh sb="2" eb="4">
      <t>ジギョウ</t>
    </rPh>
    <rPh sb="5" eb="7">
      <t>キョウイク</t>
    </rPh>
    <rPh sb="7" eb="9">
      <t>ケンシュウ</t>
    </rPh>
    <rPh sb="9" eb="11">
      <t>ジギョウ</t>
    </rPh>
    <rPh sb="12" eb="14">
      <t>リンショウ</t>
    </rPh>
    <rPh sb="14" eb="16">
      <t>ケンキュウ</t>
    </rPh>
    <rPh sb="16" eb="18">
      <t>ジギョウ</t>
    </rPh>
    <phoneticPr fontId="8"/>
  </si>
  <si>
    <t>副作用救済勘定、感染救済勘定、審査等勘定、特定救済勘定、受託・貸付勘定、受託給付勘定</t>
    <rPh sb="0" eb="3">
      <t>フクサヨウ</t>
    </rPh>
    <rPh sb="3" eb="5">
      <t>キュウサイ</t>
    </rPh>
    <rPh sb="5" eb="7">
      <t>カンジョウ</t>
    </rPh>
    <rPh sb="8" eb="10">
      <t>カンセン</t>
    </rPh>
    <rPh sb="10" eb="12">
      <t>キュウサイ</t>
    </rPh>
    <rPh sb="12" eb="14">
      <t>カンジョウ</t>
    </rPh>
    <rPh sb="15" eb="17">
      <t>シンサ</t>
    </rPh>
    <rPh sb="17" eb="18">
      <t>ナド</t>
    </rPh>
    <rPh sb="18" eb="20">
      <t>カンジョウ</t>
    </rPh>
    <rPh sb="21" eb="23">
      <t>トクテイ</t>
    </rPh>
    <rPh sb="23" eb="25">
      <t>キュウサイ</t>
    </rPh>
    <rPh sb="25" eb="27">
      <t>カンジョウ</t>
    </rPh>
    <rPh sb="28" eb="30">
      <t>ジュタク</t>
    </rPh>
    <rPh sb="31" eb="33">
      <t>カシツケ</t>
    </rPh>
    <rPh sb="33" eb="35">
      <t>カンジョウ</t>
    </rPh>
    <rPh sb="36" eb="38">
      <t>ジュタク</t>
    </rPh>
    <rPh sb="38" eb="40">
      <t>キュウフ</t>
    </rPh>
    <rPh sb="40" eb="42">
      <t>カンジョウ</t>
    </rPh>
    <phoneticPr fontId="1"/>
  </si>
  <si>
    <t>開発振興勘定、研究振興勘定、承継勘定</t>
    <rPh sb="0" eb="2">
      <t>カイハツ</t>
    </rPh>
    <rPh sb="2" eb="4">
      <t>シンコウ</t>
    </rPh>
    <rPh sb="4" eb="6">
      <t>カンジョウ</t>
    </rPh>
    <rPh sb="7" eb="9">
      <t>ケンキュウ</t>
    </rPh>
    <rPh sb="9" eb="11">
      <t>シンコウ</t>
    </rPh>
    <rPh sb="11" eb="13">
      <t>カンジョウ</t>
    </rPh>
    <rPh sb="14" eb="16">
      <t>ショウケイ</t>
    </rPh>
    <rPh sb="16" eb="18">
      <t>カンジョウ</t>
    </rPh>
    <phoneticPr fontId="1"/>
  </si>
  <si>
    <t>厚生年金勘定、国民年金勘定、健康保険勘定</t>
    <rPh sb="0" eb="2">
      <t>コウセイ</t>
    </rPh>
    <rPh sb="2" eb="4">
      <t>ネンキン</t>
    </rPh>
    <rPh sb="4" eb="6">
      <t>カンジョウ</t>
    </rPh>
    <rPh sb="7" eb="9">
      <t>コクミン</t>
    </rPh>
    <rPh sb="9" eb="11">
      <t>ネンキン</t>
    </rPh>
    <rPh sb="11" eb="13">
      <t>カンジョウ</t>
    </rPh>
    <rPh sb="14" eb="16">
      <t>ケンコウ</t>
    </rPh>
    <rPh sb="16" eb="18">
      <t>ホケン</t>
    </rPh>
    <rPh sb="18" eb="20">
      <t>カンジョウ</t>
    </rPh>
    <phoneticPr fontId="1"/>
  </si>
  <si>
    <t>厚生年金勘定、国民年金勘定、総合勘定</t>
    <rPh sb="0" eb="2">
      <t>コウセイ</t>
    </rPh>
    <rPh sb="2" eb="4">
      <t>ネンキン</t>
    </rPh>
    <rPh sb="4" eb="6">
      <t>カンジョウ</t>
    </rPh>
    <rPh sb="7" eb="9">
      <t>コクミン</t>
    </rPh>
    <rPh sb="9" eb="11">
      <t>ネンキン</t>
    </rPh>
    <rPh sb="11" eb="13">
      <t>カンジョウ</t>
    </rPh>
    <rPh sb="14" eb="16">
      <t>ソウゴウ</t>
    </rPh>
    <rPh sb="16" eb="18">
      <t>カンジョウ</t>
    </rPh>
    <phoneticPr fontId="1"/>
  </si>
  <si>
    <t>研究事業、臨床研究事業、診療事業、教育研修事業、情報発信事業</t>
    <rPh sb="0" eb="2">
      <t>ケンキュウ</t>
    </rPh>
    <rPh sb="2" eb="4">
      <t>ジギョウ</t>
    </rPh>
    <rPh sb="5" eb="7">
      <t>リンショウ</t>
    </rPh>
    <rPh sb="7" eb="9">
      <t>ケンキュウ</t>
    </rPh>
    <rPh sb="9" eb="11">
      <t>ジギョウ</t>
    </rPh>
    <rPh sb="12" eb="14">
      <t>シンリョウ</t>
    </rPh>
    <rPh sb="14" eb="16">
      <t>ジギョウ</t>
    </rPh>
    <rPh sb="17" eb="19">
      <t>キョウイク</t>
    </rPh>
    <rPh sb="19" eb="21">
      <t>ケンシュウ</t>
    </rPh>
    <rPh sb="21" eb="23">
      <t>ジギョウ</t>
    </rPh>
    <rPh sb="24" eb="26">
      <t>ジョウホウ</t>
    </rPh>
    <rPh sb="26" eb="28">
      <t>ハッシン</t>
    </rPh>
    <rPh sb="28" eb="30">
      <t>ジギョウ</t>
    </rPh>
    <phoneticPr fontId="1"/>
  </si>
  <si>
    <t>研究事業、臨床研究事業、診療事業、教育研修事業、情報発信事業、国際協力事業、国立看護大学校事業</t>
    <rPh sb="0" eb="2">
      <t>ケンキュウ</t>
    </rPh>
    <rPh sb="2" eb="4">
      <t>ジギョウ</t>
    </rPh>
    <rPh sb="5" eb="7">
      <t>リンショウ</t>
    </rPh>
    <rPh sb="7" eb="9">
      <t>ケンキュウ</t>
    </rPh>
    <rPh sb="9" eb="11">
      <t>ジギョウ</t>
    </rPh>
    <rPh sb="12" eb="14">
      <t>シンリョウ</t>
    </rPh>
    <rPh sb="14" eb="16">
      <t>ジギョウ</t>
    </rPh>
    <rPh sb="17" eb="19">
      <t>キョウイク</t>
    </rPh>
    <rPh sb="19" eb="21">
      <t>ケンシュウ</t>
    </rPh>
    <rPh sb="21" eb="23">
      <t>ジギョウ</t>
    </rPh>
    <rPh sb="24" eb="26">
      <t>ジョウホウ</t>
    </rPh>
    <rPh sb="26" eb="28">
      <t>ハッシン</t>
    </rPh>
    <rPh sb="28" eb="30">
      <t>ジギョウ</t>
    </rPh>
    <phoneticPr fontId="1"/>
  </si>
  <si>
    <t>研究事業、臨床研究事業、診療事業、教育研修事業、情報発信事業</t>
    <phoneticPr fontId="8"/>
  </si>
  <si>
    <t>先端共通技術、ナノスケール材料、環境・エネルギー・資源材料、中核機能活動</t>
    <phoneticPr fontId="1"/>
  </si>
  <si>
    <t>一般勘定、学術研究助成業務勘定</t>
    <rPh sb="0" eb="2">
      <t>イッパン</t>
    </rPh>
    <rPh sb="2" eb="4">
      <t>カンジョウ</t>
    </rPh>
    <rPh sb="5" eb="7">
      <t>ガクジュツ</t>
    </rPh>
    <rPh sb="7" eb="9">
      <t>ケンキュウ</t>
    </rPh>
    <rPh sb="9" eb="11">
      <t>ジョセイ</t>
    </rPh>
    <rPh sb="11" eb="13">
      <t>ギョウム</t>
    </rPh>
    <rPh sb="13" eb="15">
      <t>カンジョウ</t>
    </rPh>
    <phoneticPr fontId="1"/>
  </si>
  <si>
    <t>世界レベルの多様な知の創造、強固な国際協働ネットワークの構築、次世代の人材育成と大学の教育研究機能の向上、エビデンスに基づいた学術振興体制の構築と社会との連携の推進</t>
    <phoneticPr fontId="1"/>
  </si>
  <si>
    <t>奨学金貸与事業、留学生支援事業、学生生活支援事業</t>
    <phoneticPr fontId="1"/>
  </si>
  <si>
    <t>高齢・障害者雇用支援勘定、障害者職業能力開発勘定、障害者雇用納付金勘定、職業能力開発勘定、認定特定求職者職業訓練勘定、宿舎等勘定</t>
    <rPh sb="0" eb="2">
      <t>コウレイ</t>
    </rPh>
    <rPh sb="3" eb="5">
      <t>ショウガイ</t>
    </rPh>
    <rPh sb="6" eb="8">
      <t>コヨウ</t>
    </rPh>
    <rPh sb="8" eb="10">
      <t>シエン</t>
    </rPh>
    <rPh sb="10" eb="12">
      <t>カンジョウ</t>
    </rPh>
    <rPh sb="13" eb="16">
      <t>ショウガイシャ</t>
    </rPh>
    <rPh sb="16" eb="18">
      <t>ショクギョウ</t>
    </rPh>
    <rPh sb="18" eb="20">
      <t>ノウリョク</t>
    </rPh>
    <rPh sb="20" eb="22">
      <t>カイハツ</t>
    </rPh>
    <rPh sb="22" eb="24">
      <t>カンジョウ</t>
    </rPh>
    <rPh sb="25" eb="28">
      <t>ショウガイシャ</t>
    </rPh>
    <rPh sb="28" eb="30">
      <t>コヨウ</t>
    </rPh>
    <rPh sb="30" eb="33">
      <t>ノウフキン</t>
    </rPh>
    <rPh sb="33" eb="35">
      <t>カンジョウ</t>
    </rPh>
    <rPh sb="36" eb="38">
      <t>ショクギョウ</t>
    </rPh>
    <rPh sb="38" eb="40">
      <t>ノウリョク</t>
    </rPh>
    <rPh sb="40" eb="42">
      <t>カイハツ</t>
    </rPh>
    <rPh sb="42" eb="44">
      <t>カンジョウ</t>
    </rPh>
    <rPh sb="45" eb="47">
      <t>ニンテイ</t>
    </rPh>
    <rPh sb="47" eb="49">
      <t>トクテイ</t>
    </rPh>
    <rPh sb="49" eb="52">
      <t>キュウショクシャ</t>
    </rPh>
    <rPh sb="52" eb="54">
      <t>ショクギョウ</t>
    </rPh>
    <rPh sb="54" eb="56">
      <t>クンレン</t>
    </rPh>
    <rPh sb="56" eb="58">
      <t>カンジョウ</t>
    </rPh>
    <rPh sb="59" eb="61">
      <t>シュクシャ</t>
    </rPh>
    <rPh sb="61" eb="62">
      <t>ナド</t>
    </rPh>
    <rPh sb="62" eb="64">
      <t>カンジョウ</t>
    </rPh>
    <phoneticPr fontId="1"/>
  </si>
  <si>
    <t>一般勘定、共済勘定、保険勘定、年金担保貸付勘定、労災年金担保貸付勘定、承継債権管理回収勘定、承継教育資金貸付けあっせん勘定</t>
    <rPh sb="0" eb="2">
      <t>イッパン</t>
    </rPh>
    <rPh sb="2" eb="4">
      <t>カンジョウ</t>
    </rPh>
    <rPh sb="5" eb="7">
      <t>キョウサイ</t>
    </rPh>
    <rPh sb="7" eb="9">
      <t>カンジョウ</t>
    </rPh>
    <rPh sb="10" eb="12">
      <t>ホケン</t>
    </rPh>
    <rPh sb="12" eb="14">
      <t>カンジョウ</t>
    </rPh>
    <rPh sb="15" eb="17">
      <t>ネンキン</t>
    </rPh>
    <rPh sb="17" eb="19">
      <t>タンポ</t>
    </rPh>
    <rPh sb="19" eb="20">
      <t>カ</t>
    </rPh>
    <rPh sb="20" eb="21">
      <t>ツ</t>
    </rPh>
    <rPh sb="21" eb="23">
      <t>カンジョウ</t>
    </rPh>
    <rPh sb="24" eb="26">
      <t>ロウサイ</t>
    </rPh>
    <rPh sb="26" eb="28">
      <t>ネンキン</t>
    </rPh>
    <rPh sb="28" eb="30">
      <t>タンポ</t>
    </rPh>
    <rPh sb="30" eb="32">
      <t>カシツケ</t>
    </rPh>
    <rPh sb="32" eb="34">
      <t>カンジョウ</t>
    </rPh>
    <rPh sb="35" eb="37">
      <t>ショウケイ</t>
    </rPh>
    <rPh sb="37" eb="39">
      <t>サイケン</t>
    </rPh>
    <rPh sb="39" eb="41">
      <t>カンリ</t>
    </rPh>
    <rPh sb="41" eb="43">
      <t>カイシュウ</t>
    </rPh>
    <rPh sb="43" eb="45">
      <t>カンジョウ</t>
    </rPh>
    <rPh sb="46" eb="48">
      <t>ショウケイ</t>
    </rPh>
    <rPh sb="48" eb="50">
      <t>キョウイク</t>
    </rPh>
    <rPh sb="50" eb="52">
      <t>シキン</t>
    </rPh>
    <rPh sb="52" eb="54">
      <t>カシツケ</t>
    </rPh>
    <rPh sb="59" eb="61">
      <t>カンジョウ</t>
    </rPh>
    <phoneticPr fontId="1"/>
  </si>
  <si>
    <t>労災病院事業、労働安全衛生融資回収事業、未払賃金立替払事業、産業保健活動事業、専門医療センター事業、看護専門学校事業、治療就労両立支援センター事業、その他の事業</t>
    <rPh sb="59" eb="61">
      <t>チリョウ</t>
    </rPh>
    <rPh sb="61" eb="63">
      <t>シュウロウ</t>
    </rPh>
    <rPh sb="63" eb="65">
      <t>リョウリツ</t>
    </rPh>
    <rPh sb="65" eb="67">
      <t>シエン</t>
    </rPh>
    <phoneticPr fontId="1"/>
  </si>
  <si>
    <t>診療事業、介護事業、教育研修事業</t>
    <rPh sb="0" eb="2">
      <t>シンリョウ</t>
    </rPh>
    <rPh sb="2" eb="4">
      <t>ジギョウ</t>
    </rPh>
    <rPh sb="5" eb="7">
      <t>カイゴ</t>
    </rPh>
    <rPh sb="7" eb="9">
      <t>ジギョウ</t>
    </rPh>
    <rPh sb="10" eb="12">
      <t>キョウイク</t>
    </rPh>
    <rPh sb="12" eb="14">
      <t>ケンシュウ</t>
    </rPh>
    <rPh sb="14" eb="16">
      <t>ジギョウ</t>
    </rPh>
    <phoneticPr fontId="1"/>
  </si>
  <si>
    <t>○</t>
    <phoneticPr fontId="1"/>
  </si>
  <si>
    <t>○
（退職一時金及び基金事業に係るもの）</t>
    <rPh sb="3" eb="5">
      <t>タイショク</t>
    </rPh>
    <rPh sb="5" eb="8">
      <t>イチジキン</t>
    </rPh>
    <rPh sb="8" eb="9">
      <t>オヨ</t>
    </rPh>
    <rPh sb="10" eb="12">
      <t>キキン</t>
    </rPh>
    <rPh sb="12" eb="14">
      <t>ジギョウ</t>
    </rPh>
    <rPh sb="15" eb="16">
      <t>カカ</t>
    </rPh>
    <phoneticPr fontId="1"/>
  </si>
  <si>
    <t>○
（企画展の実施経費、コレクション構築経費、プロジェクト研究経費、館長支援経費、人件費のうち退職手当および特に指定するもの）</t>
    <rPh sb="3" eb="6">
      <t>キカクテン</t>
    </rPh>
    <rPh sb="7" eb="9">
      <t>ジッシ</t>
    </rPh>
    <rPh sb="9" eb="11">
      <t>ケイヒ</t>
    </rPh>
    <rPh sb="18" eb="20">
      <t>コウチク</t>
    </rPh>
    <rPh sb="20" eb="22">
      <t>ケイヒ</t>
    </rPh>
    <rPh sb="29" eb="31">
      <t>ケンキュウ</t>
    </rPh>
    <rPh sb="31" eb="33">
      <t>ケイヒ</t>
    </rPh>
    <rPh sb="34" eb="36">
      <t>カンチョウ</t>
    </rPh>
    <rPh sb="36" eb="38">
      <t>シエン</t>
    </rPh>
    <rPh sb="38" eb="40">
      <t>ケイヒ</t>
    </rPh>
    <rPh sb="41" eb="44">
      <t>ジンケンヒ</t>
    </rPh>
    <rPh sb="47" eb="49">
      <t>タイショク</t>
    </rPh>
    <rPh sb="49" eb="51">
      <t>テアテ</t>
    </rPh>
    <rPh sb="54" eb="55">
      <t>トク</t>
    </rPh>
    <rPh sb="56" eb="58">
      <t>シテイ</t>
    </rPh>
    <phoneticPr fontId="1"/>
  </si>
  <si>
    <t>○
（人件費（退職手当除く）および左記に掲げる業務以外の業務経費）</t>
    <rPh sb="3" eb="6">
      <t>ジンケンヒ</t>
    </rPh>
    <rPh sb="7" eb="9">
      <t>タイショク</t>
    </rPh>
    <rPh sb="9" eb="11">
      <t>テアテ</t>
    </rPh>
    <rPh sb="11" eb="12">
      <t>ノゾ</t>
    </rPh>
    <rPh sb="17" eb="19">
      <t>サキ</t>
    </rPh>
    <rPh sb="20" eb="21">
      <t>カカ</t>
    </rPh>
    <rPh sb="23" eb="25">
      <t>ギョウム</t>
    </rPh>
    <rPh sb="25" eb="27">
      <t>イガイ</t>
    </rPh>
    <rPh sb="28" eb="30">
      <t>ギョウム</t>
    </rPh>
    <rPh sb="30" eb="32">
      <t>ケイヒ</t>
    </rPh>
    <phoneticPr fontId="1"/>
  </si>
  <si>
    <t>○
（その他、臨時に発生する計画外の発生費用）</t>
    <rPh sb="5" eb="6">
      <t>タ</t>
    </rPh>
    <rPh sb="7" eb="9">
      <t>リンジ</t>
    </rPh>
    <rPh sb="10" eb="12">
      <t>ハッセイ</t>
    </rPh>
    <rPh sb="14" eb="17">
      <t>ケイカクガイ</t>
    </rPh>
    <rPh sb="18" eb="20">
      <t>ハッセイ</t>
    </rPh>
    <rPh sb="20" eb="22">
      <t>ヒヨウ</t>
    </rPh>
    <phoneticPr fontId="1"/>
  </si>
  <si>
    <t>－</t>
    <phoneticPr fontId="1"/>
  </si>
  <si>
    <t>－</t>
    <phoneticPr fontId="1"/>
  </si>
  <si>
    <t>○</t>
    <phoneticPr fontId="1"/>
  </si>
  <si>
    <t>○
（展覧会に係る業務、美術作品等の購入並びに修復、展覧会に関係する教育普及業務及び人件費のうち退職手当に係る経費）</t>
    <phoneticPr fontId="1"/>
  </si>
  <si>
    <t>○
（人件費のうちの退職手当並びに事業部門の経費及び管理部門の経費のうち特に指定するもの）</t>
    <phoneticPr fontId="1"/>
  </si>
  <si>
    <t>○
（人件費のうちの役員給与、職員給与、法定福利費並びに管理部門の経費（特に指定するものを除く）及び減価償却費）</t>
    <phoneticPr fontId="1"/>
  </si>
  <si>
    <t>○
（財務費用、その他計画外の発生費用）</t>
    <phoneticPr fontId="1"/>
  </si>
  <si>
    <t>○
（業務費）</t>
    <rPh sb="3" eb="6">
      <t>ギョウムヒ</t>
    </rPh>
    <phoneticPr fontId="1"/>
  </si>
  <si>
    <t>○
（一般管理費）</t>
    <rPh sb="3" eb="5">
      <t>イッパン</t>
    </rPh>
    <rPh sb="5" eb="8">
      <t>カンリヒ</t>
    </rPh>
    <phoneticPr fontId="1"/>
  </si>
  <si>
    <t>○
（国際交流会館等の譲渡に要する業務経費）</t>
    <rPh sb="3" eb="5">
      <t>コクサイ</t>
    </rPh>
    <rPh sb="5" eb="7">
      <t>コウリュウ</t>
    </rPh>
    <rPh sb="7" eb="9">
      <t>カイカン</t>
    </rPh>
    <rPh sb="9" eb="10">
      <t>トウ</t>
    </rPh>
    <rPh sb="11" eb="13">
      <t>ジョウト</t>
    </rPh>
    <rPh sb="14" eb="15">
      <t>ヨウ</t>
    </rPh>
    <rPh sb="17" eb="19">
      <t>ギョウム</t>
    </rPh>
    <rPh sb="19" eb="21">
      <t>ケイヒ</t>
    </rPh>
    <phoneticPr fontId="1"/>
  </si>
  <si>
    <t>○
（特別教育研究経費の一部）</t>
    <rPh sb="3" eb="5">
      <t>トクベツ</t>
    </rPh>
    <rPh sb="5" eb="7">
      <t>キョウイク</t>
    </rPh>
    <rPh sb="7" eb="9">
      <t>ケンキュウ</t>
    </rPh>
    <rPh sb="9" eb="11">
      <t>ケイヒ</t>
    </rPh>
    <rPh sb="12" eb="14">
      <t>イチブ</t>
    </rPh>
    <phoneticPr fontId="1"/>
  </si>
  <si>
    <t>○
（退職手当等の特殊要因経費及び特別教育研究経費の一部）</t>
    <rPh sb="3" eb="5">
      <t>タイショク</t>
    </rPh>
    <rPh sb="5" eb="7">
      <t>テアテ</t>
    </rPh>
    <rPh sb="7" eb="8">
      <t>トウ</t>
    </rPh>
    <rPh sb="9" eb="11">
      <t>トクシュ</t>
    </rPh>
    <rPh sb="11" eb="13">
      <t>ヨウイン</t>
    </rPh>
    <rPh sb="13" eb="15">
      <t>ケイヒ</t>
    </rPh>
    <rPh sb="15" eb="16">
      <t>オヨ</t>
    </rPh>
    <rPh sb="17" eb="19">
      <t>トクベツ</t>
    </rPh>
    <rPh sb="19" eb="21">
      <t>キョウイク</t>
    </rPh>
    <rPh sb="21" eb="23">
      <t>ケンキュウ</t>
    </rPh>
    <rPh sb="23" eb="25">
      <t>ケイヒ</t>
    </rPh>
    <rPh sb="26" eb="28">
      <t>イチブ</t>
    </rPh>
    <phoneticPr fontId="1"/>
  </si>
  <si>
    <t>○
（人件費（除く退職手当））</t>
    <rPh sb="3" eb="6">
      <t>ジンケンヒ</t>
    </rPh>
    <rPh sb="7" eb="8">
      <t>ノゾ</t>
    </rPh>
    <rPh sb="9" eb="11">
      <t>タイショク</t>
    </rPh>
    <rPh sb="11" eb="13">
      <t>テアテ</t>
    </rPh>
    <phoneticPr fontId="1"/>
  </si>
  <si>
    <t>○
（看護専門学校事業、勤労者予防医療センター事業の業務経費）</t>
    <rPh sb="3" eb="5">
      <t>カンゴ</t>
    </rPh>
    <rPh sb="5" eb="7">
      <t>センモン</t>
    </rPh>
    <rPh sb="7" eb="9">
      <t>ガッコウ</t>
    </rPh>
    <rPh sb="9" eb="11">
      <t>ジギョウ</t>
    </rPh>
    <rPh sb="12" eb="15">
      <t>キンロウシャ</t>
    </rPh>
    <rPh sb="15" eb="17">
      <t>ヨボウ</t>
    </rPh>
    <rPh sb="17" eb="19">
      <t>イリョウ</t>
    </rPh>
    <rPh sb="23" eb="25">
      <t>ジギョウ</t>
    </rPh>
    <rPh sb="26" eb="28">
      <t>ギョウム</t>
    </rPh>
    <rPh sb="28" eb="30">
      <t>ケイヒ</t>
    </rPh>
    <phoneticPr fontId="1"/>
  </si>
  <si>
    <t>－</t>
    <phoneticPr fontId="1"/>
  </si>
  <si>
    <t>○</t>
    <phoneticPr fontId="1"/>
  </si>
  <si>
    <t>－</t>
    <phoneticPr fontId="1"/>
  </si>
  <si>
    <t>○
（展覧会に係る業務、美術作品等の購入並びに修復、展覧会に関係する教育普及業務及び人件費のうち退職手当に係る経費）</t>
    <phoneticPr fontId="1"/>
  </si>
  <si>
    <t>○
（退職手当等の特殊要因経費）</t>
    <rPh sb="3" eb="5">
      <t>タイショク</t>
    </rPh>
    <rPh sb="5" eb="7">
      <t>テアテ</t>
    </rPh>
    <rPh sb="7" eb="8">
      <t>トウ</t>
    </rPh>
    <rPh sb="9" eb="11">
      <t>トクシュ</t>
    </rPh>
    <rPh sb="11" eb="13">
      <t>ヨウイン</t>
    </rPh>
    <rPh sb="13" eb="15">
      <t>ケイヒ</t>
    </rPh>
    <phoneticPr fontId="1"/>
  </si>
  <si>
    <t>○
（看護専門学校事業、治療就労両立支援センター事業の業務経費）</t>
    <rPh sb="3" eb="5">
      <t>カンゴ</t>
    </rPh>
    <rPh sb="5" eb="7">
      <t>センモン</t>
    </rPh>
    <rPh sb="7" eb="9">
      <t>ガッコウ</t>
    </rPh>
    <rPh sb="9" eb="11">
      <t>ジギョウ</t>
    </rPh>
    <rPh sb="12" eb="14">
      <t>チリョウ</t>
    </rPh>
    <rPh sb="14" eb="16">
      <t>シュウロウ</t>
    </rPh>
    <rPh sb="16" eb="18">
      <t>リョウリツ</t>
    </rPh>
    <rPh sb="18" eb="20">
      <t>シエン</t>
    </rPh>
    <rPh sb="24" eb="26">
      <t>ジギョウ</t>
    </rPh>
    <rPh sb="27" eb="29">
      <t>ギョウム</t>
    </rPh>
    <rPh sb="29" eb="31">
      <t>ケイヒ</t>
    </rPh>
    <phoneticPr fontId="1"/>
  </si>
  <si>
    <t>人件費</t>
    <rPh sb="0" eb="3">
      <t>ジンケンヒ</t>
    </rPh>
    <phoneticPr fontId="1"/>
  </si>
  <si>
    <t>その他</t>
    <rPh sb="2" eb="3">
      <t>タ</t>
    </rPh>
    <phoneticPr fontId="1"/>
  </si>
  <si>
    <t>利益剰余金
(△繰越欠損金)</t>
    <rPh sb="0" eb="2">
      <t>リエキ</t>
    </rPh>
    <rPh sb="2" eb="5">
      <t>ジョウヨキン</t>
    </rPh>
    <rPh sb="8" eb="10">
      <t>クリコシ</t>
    </rPh>
    <rPh sb="10" eb="13">
      <t>ケッソンキン</t>
    </rPh>
    <phoneticPr fontId="1"/>
  </si>
  <si>
    <t>-</t>
    <phoneticPr fontId="1"/>
  </si>
  <si>
    <t>前中期目標繰越積立金振替</t>
    <rPh sb="0" eb="1">
      <t>マエ</t>
    </rPh>
    <rPh sb="1" eb="3">
      <t>チュウキ</t>
    </rPh>
    <rPh sb="3" eb="5">
      <t>モクヒョウ</t>
    </rPh>
    <rPh sb="5" eb="7">
      <t>クリコシ</t>
    </rPh>
    <rPh sb="7" eb="9">
      <t>ツミタテ</t>
    </rPh>
    <rPh sb="9" eb="10">
      <t>キン</t>
    </rPh>
    <rPh sb="10" eb="12">
      <t>フリカエ</t>
    </rPh>
    <phoneticPr fontId="1"/>
  </si>
  <si>
    <t>野木レーダーステーションの土地等の一部</t>
    <rPh sb="0" eb="2">
      <t>ノギ</t>
    </rPh>
    <rPh sb="13" eb="15">
      <t>トチ</t>
    </rPh>
    <rPh sb="15" eb="16">
      <t>トウ</t>
    </rPh>
    <rPh sb="17" eb="19">
      <t>イチブ</t>
    </rPh>
    <phoneticPr fontId="1"/>
  </si>
  <si>
    <t>研修受入事業、調査研究事業、情報事業、受託事業</t>
  </si>
  <si>
    <t>研究開発事業、運用・展開事業</t>
  </si>
  <si>
    <t>研修受入事業、調査研究事業、情報事業、受託事業</t>
    <phoneticPr fontId="1"/>
  </si>
  <si>
    <t>－</t>
  </si>
  <si>
    <t>○</t>
    <phoneticPr fontId="1"/>
  </si>
  <si>
    <t>○
（左記以外の費用）</t>
  </si>
  <si>
    <t>○
（一般管理費のうち、業務の実施と運営費交付金財源との対応関係が明らかである年間業務契約を行っている費用）</t>
    <phoneticPr fontId="1"/>
  </si>
  <si>
    <t>－</t>
    <phoneticPr fontId="1"/>
  </si>
  <si>
    <t>－</t>
    <phoneticPr fontId="1"/>
  </si>
  <si>
    <t>－</t>
    <phoneticPr fontId="1"/>
  </si>
  <si>
    <t>○
（人件費のうちの退職手当並びに事業部門の経費及び管理部門の経費のうち特に指定するもの）</t>
    <phoneticPr fontId="1"/>
  </si>
  <si>
    <t>○
（人件費のうちの役員給与、職員給与、法定福利費並びに管理部門の経費（特に指定するものを除く）及び減価償却費）</t>
    <phoneticPr fontId="1"/>
  </si>
  <si>
    <t>○
（財務費用、その他計画外の発生費用）</t>
    <phoneticPr fontId="1"/>
  </si>
  <si>
    <t>○
（左記以外の費用）</t>
    <phoneticPr fontId="1"/>
  </si>
  <si>
    <t>○
(一般管理費の一部)</t>
    <phoneticPr fontId="1"/>
  </si>
  <si>
    <t>○
（一般管理費のうち、業務の実施と運営費交付金財源との対応関係が明らかである年間業務契約を行っている費用）</t>
    <phoneticPr fontId="1"/>
  </si>
  <si>
    <t>年金・健康保険福祉施設整理機構</t>
    <rPh sb="0" eb="2">
      <t>ネンキン</t>
    </rPh>
    <rPh sb="3" eb="5">
      <t>ケンコウ</t>
    </rPh>
    <rPh sb="5" eb="7">
      <t>ホケン</t>
    </rPh>
    <rPh sb="7" eb="9">
      <t>フクシ</t>
    </rPh>
    <rPh sb="9" eb="11">
      <t>シセツ</t>
    </rPh>
    <rPh sb="11" eb="13">
      <t>セイリ</t>
    </rPh>
    <rPh sb="13" eb="15">
      <t>キコウ</t>
    </rPh>
    <phoneticPr fontId="20"/>
  </si>
  <si>
    <t>-</t>
    <phoneticPr fontId="1"/>
  </si>
  <si>
    <t>栽培試験事業、種苗検査事業、種苗生産事業、調査研究事業、遺伝資源事業</t>
    <phoneticPr fontId="1"/>
  </si>
  <si>
    <t>積立金
取崩額</t>
    <rPh sb="0" eb="2">
      <t>ツミタテ</t>
    </rPh>
    <rPh sb="2" eb="3">
      <t>キン</t>
    </rPh>
    <rPh sb="4" eb="6">
      <t>トリクズシ</t>
    </rPh>
    <rPh sb="6" eb="7">
      <t>ガク</t>
    </rPh>
    <phoneticPr fontId="1"/>
  </si>
  <si>
    <t>次期繰越欠損金(△)</t>
    <rPh sb="0" eb="2">
      <t>ジキ</t>
    </rPh>
    <rPh sb="2" eb="4">
      <t>クリコシ</t>
    </rPh>
    <rPh sb="4" eb="7">
      <t>ケッソンキン</t>
    </rPh>
    <phoneticPr fontId="1"/>
  </si>
  <si>
    <t>（農業技術研究業務勘定）中央農業総合研究センター、作物研究所、果樹研究所、花き研究所、野菜茶業研究所、畜産草地研究所、動物衛生研究所、農村工学研究所、食品総合研究所、北海道農業研究センター、東北農業研究センター、近畿中国四国農業研究センター、九州沖縄農業研究センター
（基礎的研究業務勘定）単一
（民間研究促進業務勘定）民間委託研究業務、研究支援業務
（農業機械化促進業務勘定）研究事業、検査鑑定事業
（特例業務勘定）単一</t>
    <rPh sb="1" eb="3">
      <t>ノウギョウ</t>
    </rPh>
    <rPh sb="3" eb="5">
      <t>ギジュツ</t>
    </rPh>
    <rPh sb="5" eb="7">
      <t>ケンキュウ</t>
    </rPh>
    <rPh sb="7" eb="9">
      <t>ギョウム</t>
    </rPh>
    <rPh sb="9" eb="11">
      <t>カンジョウ</t>
    </rPh>
    <rPh sb="12" eb="14">
      <t>チュウオウ</t>
    </rPh>
    <rPh sb="14" eb="16">
      <t>ノウギョウ</t>
    </rPh>
    <rPh sb="16" eb="18">
      <t>ソウゴウ</t>
    </rPh>
    <rPh sb="18" eb="20">
      <t>ケンキュウ</t>
    </rPh>
    <rPh sb="25" eb="27">
      <t>サクモツ</t>
    </rPh>
    <rPh sb="27" eb="29">
      <t>ケンキュウ</t>
    </rPh>
    <rPh sb="29" eb="30">
      <t>ショ</t>
    </rPh>
    <rPh sb="31" eb="33">
      <t>カジュ</t>
    </rPh>
    <rPh sb="33" eb="36">
      <t>ケンキュウショ</t>
    </rPh>
    <rPh sb="145" eb="147">
      <t>タンイツ</t>
    </rPh>
    <rPh sb="209" eb="211">
      <t>タンイツ</t>
    </rPh>
    <phoneticPr fontId="1"/>
  </si>
  <si>
    <t>（農業技術研究業務勘定）中央農業総合研究センター、作物研究所、果樹研究所、花き研究所、野菜茶業研究所、畜産草地研究所、動物衛生研究所、農村工学研究所、食品総合研究所、北海道農業研究センター、東北農業研究センター、近畿中国四国農業研究センター、九州沖縄農業研究センター
（基礎的研究業務勘定）単一
（民間研究促進業務勘定）民間委託研究業務、研究支援業務
（農業機械化促進業務勘定）研究事業、検査鑑定事業
（特例業務勘定）単一</t>
    <rPh sb="1" eb="3">
      <t>ノウギョウ</t>
    </rPh>
    <rPh sb="3" eb="5">
      <t>ギジュツ</t>
    </rPh>
    <rPh sb="5" eb="7">
      <t>ケンキュウ</t>
    </rPh>
    <rPh sb="7" eb="9">
      <t>ギョウム</t>
    </rPh>
    <rPh sb="9" eb="11">
      <t>カンジョウ</t>
    </rPh>
    <rPh sb="12" eb="14">
      <t>チュウオウ</t>
    </rPh>
    <rPh sb="14" eb="16">
      <t>ノウギョウ</t>
    </rPh>
    <rPh sb="16" eb="18">
      <t>ソウゴウ</t>
    </rPh>
    <rPh sb="18" eb="20">
      <t>ケンキュウ</t>
    </rPh>
    <rPh sb="25" eb="27">
      <t>サクモツ</t>
    </rPh>
    <rPh sb="27" eb="29">
      <t>ケンキュウ</t>
    </rPh>
    <rPh sb="29" eb="30">
      <t>ショ</t>
    </rPh>
    <rPh sb="31" eb="33">
      <t>カジュ</t>
    </rPh>
    <rPh sb="33" eb="36">
      <t>ケンキュウショ</t>
    </rPh>
    <phoneticPr fontId="1"/>
  </si>
  <si>
    <t>寄宿舎(土地、構築物)</t>
    <rPh sb="0" eb="3">
      <t>キシュクシャ</t>
    </rPh>
    <rPh sb="4" eb="6">
      <t>トチ</t>
    </rPh>
    <rPh sb="7" eb="10">
      <t>コウチクブツ</t>
    </rPh>
    <phoneticPr fontId="1"/>
  </si>
  <si>
    <t>（一般勘定）一般経理、繊維関連業務経理、復興特別経理
（産業基盤整備勘定）単一
（施設整備等勘定)単一
（小規模企業共済勘定）給付経理、融資経理、業務等経理
（中小企業倒産防止共済勘定）基金経理、業務等経理
（工業再配置等業務特別勘定）単一
（産炭地域経過業務特別勘定）単一
（出資承継勘定）単一</t>
    <rPh sb="1" eb="3">
      <t>イッパン</t>
    </rPh>
    <rPh sb="3" eb="5">
      <t>カンジョウ</t>
    </rPh>
    <rPh sb="6" eb="8">
      <t>イッパン</t>
    </rPh>
    <rPh sb="8" eb="10">
      <t>ケイリ</t>
    </rPh>
    <rPh sb="11" eb="13">
      <t>センイ</t>
    </rPh>
    <rPh sb="13" eb="15">
      <t>カンレン</t>
    </rPh>
    <rPh sb="15" eb="17">
      <t>ギョウム</t>
    </rPh>
    <rPh sb="17" eb="19">
      <t>ケイリ</t>
    </rPh>
    <rPh sb="20" eb="22">
      <t>フッコウ</t>
    </rPh>
    <rPh sb="22" eb="24">
      <t>トクベツ</t>
    </rPh>
    <rPh sb="24" eb="26">
      <t>ケイリ</t>
    </rPh>
    <rPh sb="37" eb="39">
      <t>タンイツ</t>
    </rPh>
    <rPh sb="49" eb="51">
      <t>タンイツ</t>
    </rPh>
    <rPh sb="53" eb="56">
      <t>ショウキボ</t>
    </rPh>
    <rPh sb="56" eb="58">
      <t>キギョウ</t>
    </rPh>
    <rPh sb="58" eb="60">
      <t>キョウサイ</t>
    </rPh>
    <rPh sb="60" eb="62">
      <t>カンジョウ</t>
    </rPh>
    <rPh sb="63" eb="65">
      <t>キュウフ</t>
    </rPh>
    <rPh sb="65" eb="67">
      <t>ケイリ</t>
    </rPh>
    <rPh sb="68" eb="70">
      <t>ユウシ</t>
    </rPh>
    <rPh sb="70" eb="72">
      <t>ケイリ</t>
    </rPh>
    <rPh sb="73" eb="75">
      <t>ギョウム</t>
    </rPh>
    <rPh sb="75" eb="76">
      <t>トウ</t>
    </rPh>
    <rPh sb="76" eb="78">
      <t>ケイリ</t>
    </rPh>
    <rPh sb="80" eb="82">
      <t>チュウショウ</t>
    </rPh>
    <rPh sb="82" eb="84">
      <t>キギョウ</t>
    </rPh>
    <rPh sb="84" eb="86">
      <t>トウサン</t>
    </rPh>
    <rPh sb="86" eb="88">
      <t>ボウシ</t>
    </rPh>
    <rPh sb="88" eb="90">
      <t>キョウサイ</t>
    </rPh>
    <rPh sb="90" eb="92">
      <t>カンジョウ</t>
    </rPh>
    <rPh sb="93" eb="95">
      <t>キキン</t>
    </rPh>
    <rPh sb="95" eb="97">
      <t>ケイリ</t>
    </rPh>
    <rPh sb="98" eb="101">
      <t>ギョウムトウ</t>
    </rPh>
    <rPh sb="101" eb="103">
      <t>ケイリ</t>
    </rPh>
    <rPh sb="118" eb="120">
      <t>タンイツ</t>
    </rPh>
    <rPh sb="135" eb="137">
      <t>タンイツ</t>
    </rPh>
    <rPh sb="146" eb="148">
      <t>タンイツ</t>
    </rPh>
    <phoneticPr fontId="1"/>
  </si>
  <si>
    <t>（一般勘定）一般経理、繊維関連業務経理、復興特別経理
（産業基盤整備勘定）単一
（施設整備等勘定)単一
（小規模企業共済勘定）給付経理、融資経理、業務等経理
（中小企業倒産防止共済勘定）基金経理、業務等経理
（出資承継勘定）単一</t>
    <rPh sb="1" eb="3">
      <t>イッパン</t>
    </rPh>
    <rPh sb="3" eb="5">
      <t>カンジョウ</t>
    </rPh>
    <rPh sb="6" eb="8">
      <t>イッパン</t>
    </rPh>
    <rPh sb="8" eb="10">
      <t>ケイリ</t>
    </rPh>
    <rPh sb="11" eb="13">
      <t>センイ</t>
    </rPh>
    <rPh sb="13" eb="15">
      <t>カンレン</t>
    </rPh>
    <rPh sb="15" eb="17">
      <t>ギョウム</t>
    </rPh>
    <rPh sb="17" eb="19">
      <t>ケイリ</t>
    </rPh>
    <rPh sb="20" eb="22">
      <t>フッコウ</t>
    </rPh>
    <rPh sb="22" eb="24">
      <t>トクベツ</t>
    </rPh>
    <rPh sb="24" eb="26">
      <t>ケイリ</t>
    </rPh>
    <rPh sb="37" eb="39">
      <t>タンイツ</t>
    </rPh>
    <rPh sb="49" eb="51">
      <t>タンイツ</t>
    </rPh>
    <rPh sb="53" eb="56">
      <t>ショウキボ</t>
    </rPh>
    <rPh sb="56" eb="58">
      <t>キギョウ</t>
    </rPh>
    <rPh sb="58" eb="60">
      <t>キョウサイ</t>
    </rPh>
    <rPh sb="60" eb="62">
      <t>カンジョウ</t>
    </rPh>
    <rPh sb="63" eb="65">
      <t>キュウフ</t>
    </rPh>
    <rPh sb="65" eb="67">
      <t>ケイリ</t>
    </rPh>
    <rPh sb="68" eb="70">
      <t>ユウシ</t>
    </rPh>
    <rPh sb="70" eb="72">
      <t>ケイリ</t>
    </rPh>
    <rPh sb="73" eb="75">
      <t>ギョウム</t>
    </rPh>
    <rPh sb="75" eb="76">
      <t>トウ</t>
    </rPh>
    <rPh sb="76" eb="78">
      <t>ケイリ</t>
    </rPh>
    <rPh sb="80" eb="82">
      <t>チュウショウ</t>
    </rPh>
    <rPh sb="82" eb="84">
      <t>キギョウ</t>
    </rPh>
    <rPh sb="84" eb="86">
      <t>トウサン</t>
    </rPh>
    <rPh sb="86" eb="88">
      <t>ボウシ</t>
    </rPh>
    <rPh sb="88" eb="90">
      <t>キョウサイ</t>
    </rPh>
    <rPh sb="90" eb="92">
      <t>カンジョウ</t>
    </rPh>
    <rPh sb="93" eb="95">
      <t>キキン</t>
    </rPh>
    <rPh sb="95" eb="97">
      <t>ケイリ</t>
    </rPh>
    <rPh sb="98" eb="101">
      <t>ギョウムトウ</t>
    </rPh>
    <rPh sb="101" eb="103">
      <t>ケイリ</t>
    </rPh>
    <rPh sb="112" eb="114">
      <t>タンイツ</t>
    </rPh>
    <phoneticPr fontId="1"/>
  </si>
  <si>
    <t>土地･工作物</t>
    <rPh sb="0" eb="2">
      <t>トチ</t>
    </rPh>
    <rPh sb="3" eb="6">
      <t>コウサクブツ</t>
    </rPh>
    <phoneticPr fontId="1"/>
  </si>
  <si>
    <t>土地・建物等（広島支局・庁舎分室及び広島支局・観音宿舎4号棟）</t>
    <rPh sb="0" eb="2">
      <t>トチ</t>
    </rPh>
    <rPh sb="3" eb="5">
      <t>タテモノ</t>
    </rPh>
    <rPh sb="5" eb="6">
      <t>ナド</t>
    </rPh>
    <rPh sb="7" eb="9">
      <t>ヒロシマ</t>
    </rPh>
    <rPh sb="9" eb="11">
      <t>シキョク</t>
    </rPh>
    <rPh sb="12" eb="14">
      <t>チョウシャ</t>
    </rPh>
    <rPh sb="14" eb="16">
      <t>ブンシツ</t>
    </rPh>
    <rPh sb="16" eb="17">
      <t>オヨ</t>
    </rPh>
    <rPh sb="18" eb="20">
      <t>ヒロシマ</t>
    </rPh>
    <rPh sb="20" eb="22">
      <t>シキョク</t>
    </rPh>
    <rPh sb="23" eb="25">
      <t>カンノン</t>
    </rPh>
    <rPh sb="25" eb="27">
      <t>シュクシャ</t>
    </rPh>
    <rPh sb="28" eb="30">
      <t>ゴウトウ</t>
    </rPh>
    <phoneticPr fontId="1"/>
  </si>
  <si>
    <t>建物・構築物・工具器具備品
（政府刊行物サービスセンター(札幌、大阪、福岡、沖縄、仙台、名古屋、広島、大手町、霞が関)及び東京病院）</t>
    <rPh sb="0" eb="2">
      <t>タテモノ</t>
    </rPh>
    <rPh sb="3" eb="6">
      <t>コウチクブツ</t>
    </rPh>
    <rPh sb="7" eb="9">
      <t>コウグ</t>
    </rPh>
    <rPh sb="9" eb="11">
      <t>キグ</t>
    </rPh>
    <rPh sb="11" eb="13">
      <t>ビヒン</t>
    </rPh>
    <rPh sb="15" eb="17">
      <t>セイフ</t>
    </rPh>
    <rPh sb="17" eb="20">
      <t>カンコウブツ</t>
    </rPh>
    <rPh sb="29" eb="31">
      <t>サッポロ</t>
    </rPh>
    <rPh sb="32" eb="34">
      <t>オオサカ</t>
    </rPh>
    <rPh sb="35" eb="37">
      <t>フクオカ</t>
    </rPh>
    <rPh sb="38" eb="40">
      <t>オキナワ</t>
    </rPh>
    <rPh sb="41" eb="43">
      <t>センダイ</t>
    </rPh>
    <rPh sb="44" eb="47">
      <t>ナゴヤ</t>
    </rPh>
    <rPh sb="48" eb="50">
      <t>ヒロシマ</t>
    </rPh>
    <rPh sb="51" eb="54">
      <t>オオテマチ</t>
    </rPh>
    <rPh sb="55" eb="56">
      <t>カスミ</t>
    </rPh>
    <rPh sb="57" eb="58">
      <t>セキ</t>
    </rPh>
    <rPh sb="59" eb="60">
      <t>オヨ</t>
    </rPh>
    <rPh sb="61" eb="63">
      <t>トウキョウ</t>
    </rPh>
    <rPh sb="63" eb="65">
      <t>ビョウイン</t>
    </rPh>
    <phoneticPr fontId="1"/>
  </si>
  <si>
    <t>-</t>
    <phoneticPr fontId="1"/>
  </si>
  <si>
    <t>土地･建物・構築物
（松山分室・高知出張所・西ヶ原第2敷地</t>
    <rPh sb="0" eb="2">
      <t>トチ</t>
    </rPh>
    <rPh sb="3" eb="5">
      <t>タテモノ</t>
    </rPh>
    <rPh sb="6" eb="9">
      <t>コウチクブツ</t>
    </rPh>
    <rPh sb="11" eb="13">
      <t>マツヤマ</t>
    </rPh>
    <rPh sb="13" eb="15">
      <t>ブンシツ</t>
    </rPh>
    <rPh sb="16" eb="18">
      <t>コウチ</t>
    </rPh>
    <rPh sb="18" eb="21">
      <t>シュッチョウジョ</t>
    </rPh>
    <rPh sb="22" eb="25">
      <t>ニシガハラ</t>
    </rPh>
    <rPh sb="25" eb="26">
      <t>ダイ</t>
    </rPh>
    <rPh sb="27" eb="29">
      <t>シキチ</t>
    </rPh>
    <phoneticPr fontId="1"/>
  </si>
  <si>
    <t>セキュリティ製品事業、情報製品事業</t>
    <rPh sb="6" eb="8">
      <t>セイヒン</t>
    </rPh>
    <rPh sb="8" eb="10">
      <t>ジギョウ</t>
    </rPh>
    <rPh sb="11" eb="13">
      <t>ジョウホウ</t>
    </rPh>
    <rPh sb="13" eb="15">
      <t>セイヒン</t>
    </rPh>
    <phoneticPr fontId="1"/>
  </si>
  <si>
    <t>１　「区分経理によるセグメント情報」として、３つに区分（一般勘定・愛知用水事業特別勘定・豊川用水事業特別勘定）
２　「施設の機能別分類によるセグメント情報」として、３つに区分（ダム・用水路・堰等）
３　「水系によるセグメント情報」として、５つに区分（利根川・荒川、木曽川・豊川、淀川、吉野川、筑後川）</t>
    <rPh sb="28" eb="30">
      <t>イッパン</t>
    </rPh>
    <rPh sb="30" eb="32">
      <t>カンジョウ</t>
    </rPh>
    <rPh sb="33" eb="35">
      <t>アイチ</t>
    </rPh>
    <rPh sb="35" eb="37">
      <t>ヨウスイ</t>
    </rPh>
    <rPh sb="37" eb="39">
      <t>ジギョウ</t>
    </rPh>
    <rPh sb="39" eb="41">
      <t>トクベツ</t>
    </rPh>
    <rPh sb="41" eb="43">
      <t>カンジョウ</t>
    </rPh>
    <rPh sb="44" eb="46">
      <t>トヨカワ</t>
    </rPh>
    <rPh sb="46" eb="48">
      <t>ヨウスイ</t>
    </rPh>
    <rPh sb="48" eb="50">
      <t>ジギョウ</t>
    </rPh>
    <rPh sb="50" eb="52">
      <t>トクベツ</t>
    </rPh>
    <rPh sb="52" eb="54">
      <t>カンジョウ</t>
    </rPh>
    <rPh sb="91" eb="94">
      <t>ヨウスイロ</t>
    </rPh>
    <rPh sb="95" eb="96">
      <t>セ</t>
    </rPh>
    <rPh sb="96" eb="97">
      <t>ナド</t>
    </rPh>
    <rPh sb="125" eb="128">
      <t>トネガワ</t>
    </rPh>
    <rPh sb="129" eb="131">
      <t>アラカワ</t>
    </rPh>
    <rPh sb="132" eb="135">
      <t>キソガワ</t>
    </rPh>
    <rPh sb="136" eb="138">
      <t>トヨカワ</t>
    </rPh>
    <rPh sb="139" eb="141">
      <t>ヨドガワ</t>
    </rPh>
    <rPh sb="142" eb="145">
      <t>ヨシノガワ</t>
    </rPh>
    <rPh sb="146" eb="148">
      <t>チクゴ</t>
    </rPh>
    <rPh sb="148" eb="149">
      <t>カワ</t>
    </rPh>
    <phoneticPr fontId="1"/>
  </si>
  <si>
    <t>都市再生勘定(賃貸住宅、震災復興、既成市街地整備改善)、宅地造成等経過勘定(市街地整備特別、公園特別、分譲住宅特別)</t>
    <rPh sb="0" eb="2">
      <t>トシ</t>
    </rPh>
    <rPh sb="2" eb="4">
      <t>サイセイ</t>
    </rPh>
    <rPh sb="4" eb="6">
      <t>カンジョウ</t>
    </rPh>
    <rPh sb="7" eb="9">
      <t>チンタイ</t>
    </rPh>
    <rPh sb="9" eb="11">
      <t>ジュウタク</t>
    </rPh>
    <rPh sb="12" eb="14">
      <t>シンサイ</t>
    </rPh>
    <rPh sb="14" eb="16">
      <t>フッコウ</t>
    </rPh>
    <rPh sb="17" eb="19">
      <t>キセイ</t>
    </rPh>
    <rPh sb="19" eb="22">
      <t>シガイチ</t>
    </rPh>
    <rPh sb="22" eb="24">
      <t>セイビ</t>
    </rPh>
    <rPh sb="24" eb="26">
      <t>カイゼン</t>
    </rPh>
    <rPh sb="28" eb="30">
      <t>タクチ</t>
    </rPh>
    <rPh sb="30" eb="32">
      <t>ゾウセイ</t>
    </rPh>
    <rPh sb="32" eb="33">
      <t>トウ</t>
    </rPh>
    <rPh sb="33" eb="35">
      <t>ケイカ</t>
    </rPh>
    <rPh sb="35" eb="37">
      <t>カンジョウ</t>
    </rPh>
    <rPh sb="38" eb="41">
      <t>シガイチ</t>
    </rPh>
    <rPh sb="41" eb="43">
      <t>セイビ</t>
    </rPh>
    <rPh sb="43" eb="45">
      <t>トクベツ</t>
    </rPh>
    <rPh sb="46" eb="48">
      <t>コウエン</t>
    </rPh>
    <rPh sb="48" eb="50">
      <t>トクベツ</t>
    </rPh>
    <rPh sb="51" eb="53">
      <t>ブンジョウ</t>
    </rPh>
    <rPh sb="53" eb="55">
      <t>ジュウタク</t>
    </rPh>
    <rPh sb="55" eb="57">
      <t>トクベツ</t>
    </rPh>
    <phoneticPr fontId="1"/>
  </si>
  <si>
    <t>証券化支援勘定２（債権譲受業務経理、債務保証等業務経理）、住宅融資保険勘定、財形住宅資金貸付勘定、住宅資金貸付等勘定２（住宅資金貸付等業務経理、保証協会承継業務経理）、既往債権管理勘定</t>
    <rPh sb="9" eb="11">
      <t>サイケン</t>
    </rPh>
    <rPh sb="11" eb="13">
      <t>ユズリウ</t>
    </rPh>
    <rPh sb="13" eb="15">
      <t>ギョウム</t>
    </rPh>
    <rPh sb="15" eb="17">
      <t>ケイリ</t>
    </rPh>
    <rPh sb="18" eb="20">
      <t>サイム</t>
    </rPh>
    <rPh sb="20" eb="22">
      <t>ホショウ</t>
    </rPh>
    <rPh sb="22" eb="23">
      <t>トウ</t>
    </rPh>
    <rPh sb="23" eb="25">
      <t>ギョウム</t>
    </rPh>
    <rPh sb="25" eb="27">
      <t>ケイリ</t>
    </rPh>
    <rPh sb="60" eb="62">
      <t>ジュウタク</t>
    </rPh>
    <rPh sb="62" eb="64">
      <t>シキン</t>
    </rPh>
    <rPh sb="64" eb="67">
      <t>カシツケトウ</t>
    </rPh>
    <rPh sb="67" eb="69">
      <t>ギョウム</t>
    </rPh>
    <rPh sb="69" eb="71">
      <t>ケイリ</t>
    </rPh>
    <rPh sb="72" eb="74">
      <t>ホショウ</t>
    </rPh>
    <rPh sb="74" eb="76">
      <t>キョウカイ</t>
    </rPh>
    <rPh sb="76" eb="78">
      <t>ショウケイ</t>
    </rPh>
    <rPh sb="78" eb="80">
      <t>ギョウム</t>
    </rPh>
    <rPh sb="80" eb="82">
      <t>ケイリ</t>
    </rPh>
    <phoneticPr fontId="1"/>
  </si>
  <si>
    <t>つくば中央研究所、寒地土木研究所、水災害・リスクマネジメント国際センター、構造物メンテナンス研究センター</t>
    <rPh sb="3" eb="5">
      <t>チュウオウ</t>
    </rPh>
    <rPh sb="5" eb="8">
      <t>ケンキュウジョ</t>
    </rPh>
    <rPh sb="9" eb="11">
      <t>カンチ</t>
    </rPh>
    <rPh sb="11" eb="13">
      <t>ドボク</t>
    </rPh>
    <rPh sb="13" eb="16">
      <t>ケンキュウジョ</t>
    </rPh>
    <rPh sb="17" eb="19">
      <t>スイサイ</t>
    </rPh>
    <rPh sb="19" eb="20">
      <t>ガイ</t>
    </rPh>
    <rPh sb="30" eb="32">
      <t>コクサイ</t>
    </rPh>
    <rPh sb="37" eb="40">
      <t>コウゾウブツ</t>
    </rPh>
    <rPh sb="46" eb="48">
      <t>ケンキュウ</t>
    </rPh>
    <phoneticPr fontId="1"/>
  </si>
  <si>
    <t>構造グループ、環境グループ、防火グループ、材料グループ、建築生産グループ、住宅・都市グループ、国際地震工学センター</t>
    <rPh sb="0" eb="2">
      <t>コウゾウ</t>
    </rPh>
    <rPh sb="7" eb="9">
      <t>カンキョウ</t>
    </rPh>
    <rPh sb="14" eb="16">
      <t>ボウカ</t>
    </rPh>
    <rPh sb="21" eb="23">
      <t>ザイリョウ</t>
    </rPh>
    <rPh sb="28" eb="30">
      <t>ケンチク</t>
    </rPh>
    <rPh sb="30" eb="32">
      <t>セイサン</t>
    </rPh>
    <rPh sb="37" eb="39">
      <t>ジュウタク</t>
    </rPh>
    <rPh sb="40" eb="42">
      <t>トシ</t>
    </rPh>
    <rPh sb="47" eb="49">
      <t>コクサイ</t>
    </rPh>
    <rPh sb="49" eb="51">
      <t>ジシン</t>
    </rPh>
    <rPh sb="51" eb="53">
      <t>コウガク</t>
    </rPh>
    <phoneticPr fontId="1"/>
  </si>
  <si>
    <t>－</t>
    <phoneticPr fontId="1"/>
  </si>
  <si>
    <t>海洋研究領域、海洋情報研究領域、沿岸環境研究領域、地盤研究領域、構造研究領域、新技術研究開発領域、アジア・太平洋沿岸防災研究センター、ライフサイクルマネジメント支援センター</t>
    <rPh sb="0" eb="2">
      <t>カイヨウ</t>
    </rPh>
    <rPh sb="2" eb="4">
      <t>ケンキュウ</t>
    </rPh>
    <rPh sb="4" eb="6">
      <t>リョウイキ</t>
    </rPh>
    <rPh sb="7" eb="9">
      <t>カイヨウ</t>
    </rPh>
    <rPh sb="9" eb="11">
      <t>ジョウホウ</t>
    </rPh>
    <rPh sb="11" eb="13">
      <t>ケンキュウ</t>
    </rPh>
    <rPh sb="13" eb="15">
      <t>リョウイキ</t>
    </rPh>
    <rPh sb="16" eb="18">
      <t>エンガン</t>
    </rPh>
    <rPh sb="18" eb="20">
      <t>カンキョウ</t>
    </rPh>
    <rPh sb="20" eb="22">
      <t>ケンキュウ</t>
    </rPh>
    <rPh sb="22" eb="24">
      <t>リョウイキ</t>
    </rPh>
    <rPh sb="25" eb="27">
      <t>ジバン</t>
    </rPh>
    <rPh sb="27" eb="29">
      <t>ケンキュウ</t>
    </rPh>
    <rPh sb="29" eb="31">
      <t>リョウイキ</t>
    </rPh>
    <rPh sb="32" eb="34">
      <t>コウゾウ</t>
    </rPh>
    <rPh sb="34" eb="36">
      <t>ケンキュウ</t>
    </rPh>
    <rPh sb="36" eb="38">
      <t>リョウイキ</t>
    </rPh>
    <rPh sb="39" eb="42">
      <t>シンギジュツ</t>
    </rPh>
    <rPh sb="42" eb="44">
      <t>ケンキュウ</t>
    </rPh>
    <rPh sb="44" eb="46">
      <t>カイハツ</t>
    </rPh>
    <rPh sb="46" eb="48">
      <t>リョウイキ</t>
    </rPh>
    <rPh sb="53" eb="56">
      <t>タイヘイヨウ</t>
    </rPh>
    <rPh sb="56" eb="58">
      <t>エンガン</t>
    </rPh>
    <rPh sb="58" eb="60">
      <t>ボウサイ</t>
    </rPh>
    <rPh sb="60" eb="62">
      <t>ケンキュウ</t>
    </rPh>
    <rPh sb="80" eb="82">
      <t>シエン</t>
    </rPh>
    <phoneticPr fontId="1"/>
  </si>
  <si>
    <t>土地・建物・構築物</t>
    <rPh sb="0" eb="2">
      <t>トチ</t>
    </rPh>
    <rPh sb="3" eb="5">
      <t>タテモノ</t>
    </rPh>
    <rPh sb="6" eb="9">
      <t>コウチクブツ</t>
    </rPh>
    <phoneticPr fontId="1"/>
  </si>
  <si>
    <t>-</t>
    <phoneticPr fontId="1"/>
  </si>
  <si>
    <t>-</t>
    <phoneticPr fontId="1"/>
  </si>
  <si>
    <t>-</t>
    <phoneticPr fontId="1"/>
  </si>
  <si>
    <t>-</t>
    <phoneticPr fontId="1"/>
  </si>
  <si>
    <t>土地・建物（旧高円寺宿舎）・土地（旧常磐平宿舎）・土地（旧高島平寮）</t>
    <rPh sb="0" eb="2">
      <t>トチ</t>
    </rPh>
    <rPh sb="3" eb="5">
      <t>タテモノ</t>
    </rPh>
    <rPh sb="6" eb="7">
      <t>キュウ</t>
    </rPh>
    <rPh sb="7" eb="10">
      <t>コウエンジ</t>
    </rPh>
    <rPh sb="10" eb="12">
      <t>シュクシャ</t>
    </rPh>
    <rPh sb="14" eb="16">
      <t>トチ</t>
    </rPh>
    <rPh sb="17" eb="18">
      <t>キュウ</t>
    </rPh>
    <rPh sb="18" eb="20">
      <t>ジョウバン</t>
    </rPh>
    <rPh sb="20" eb="21">
      <t>タイ</t>
    </rPh>
    <rPh sb="21" eb="23">
      <t>シュクシャ</t>
    </rPh>
    <rPh sb="25" eb="27">
      <t>トチ</t>
    </rPh>
    <rPh sb="28" eb="29">
      <t>キュウ</t>
    </rPh>
    <rPh sb="29" eb="31">
      <t>タカシマ</t>
    </rPh>
    <rPh sb="31" eb="32">
      <t>タイ</t>
    </rPh>
    <rPh sb="32" eb="33">
      <t>リョウ</t>
    </rPh>
    <phoneticPr fontId="1"/>
  </si>
  <si>
    <t>-</t>
    <phoneticPr fontId="1"/>
  </si>
  <si>
    <t>土地･建物（百合ヶ丘宿舎）</t>
    <rPh sb="0" eb="2">
      <t>トチ</t>
    </rPh>
    <rPh sb="3" eb="5">
      <t>タテモノ</t>
    </rPh>
    <rPh sb="6" eb="10">
      <t>ユリガオカ</t>
    </rPh>
    <rPh sb="10" eb="12">
      <t>シュクシャ</t>
    </rPh>
    <phoneticPr fontId="1"/>
  </si>
  <si>
    <t>-</t>
    <phoneticPr fontId="1"/>
  </si>
  <si>
    <t>国立江田島青少年交流の家の旧野外活動中継センター予定地</t>
    <rPh sb="0" eb="2">
      <t>コクリツ</t>
    </rPh>
    <rPh sb="2" eb="4">
      <t>エダ</t>
    </rPh>
    <rPh sb="4" eb="5">
      <t>シマ</t>
    </rPh>
    <rPh sb="5" eb="8">
      <t>セイショウネン</t>
    </rPh>
    <rPh sb="8" eb="10">
      <t>コウリュウ</t>
    </rPh>
    <rPh sb="11" eb="12">
      <t>イエ</t>
    </rPh>
    <rPh sb="13" eb="14">
      <t>キュウ</t>
    </rPh>
    <rPh sb="14" eb="16">
      <t>ヤガイ</t>
    </rPh>
    <rPh sb="16" eb="18">
      <t>カツドウ</t>
    </rPh>
    <rPh sb="18" eb="20">
      <t>チュウケイ</t>
    </rPh>
    <rPh sb="24" eb="27">
      <t>ヨテイチ</t>
    </rPh>
    <phoneticPr fontId="1"/>
  </si>
  <si>
    <t>○
（左記以外）</t>
    <rPh sb="3" eb="5">
      <t>サキ</t>
    </rPh>
    <rPh sb="5" eb="7">
      <t>イガイ</t>
    </rPh>
    <phoneticPr fontId="1"/>
  </si>
  <si>
    <t>職員宿舎（土地・建物）、プラザ施設（建物・構築物)</t>
    <rPh sb="0" eb="2">
      <t>ショクイン</t>
    </rPh>
    <rPh sb="2" eb="4">
      <t>シュクシャ</t>
    </rPh>
    <rPh sb="5" eb="7">
      <t>トチ</t>
    </rPh>
    <rPh sb="8" eb="10">
      <t>タテモノ</t>
    </rPh>
    <rPh sb="15" eb="17">
      <t>シセツ</t>
    </rPh>
    <rPh sb="18" eb="20">
      <t>タテモノ</t>
    </rPh>
    <rPh sb="21" eb="23">
      <t>コウチク</t>
    </rPh>
    <rPh sb="23" eb="24">
      <t>ブツ</t>
    </rPh>
    <phoneticPr fontId="1"/>
  </si>
  <si>
    <t>一般勘定（科学技術イノベ創出推進、科学技術基盤形成）、文献情報提供勘定、革新的新技術研究開発業務勘定</t>
    <phoneticPr fontId="1"/>
  </si>
  <si>
    <t>○
（両記以外）</t>
    <rPh sb="3" eb="4">
      <t>リョウ</t>
    </rPh>
    <rPh sb="4" eb="5">
      <t>キ</t>
    </rPh>
    <rPh sb="5" eb="7">
      <t>イガイ</t>
    </rPh>
    <phoneticPr fontId="1"/>
  </si>
  <si>
    <t>内閣府</t>
  </si>
  <si>
    <t>北方領土問題対策協会</t>
  </si>
  <si>
    <t>消費者庁</t>
  </si>
  <si>
    <t>国民生活センター</t>
  </si>
  <si>
    <t>情報通信研究機構</t>
  </si>
  <si>
    <t>統計センター</t>
  </si>
  <si>
    <t>郵便貯金・簡易生命保険管理機構</t>
  </si>
  <si>
    <t>外務省</t>
  </si>
  <si>
    <t>国際協力機構</t>
  </si>
  <si>
    <t>国際交流基金</t>
  </si>
  <si>
    <t>財務省</t>
  </si>
  <si>
    <t>酒類総合研究所</t>
  </si>
  <si>
    <t>造幣局</t>
  </si>
  <si>
    <t>国立印刷局</t>
  </si>
  <si>
    <t>文部科学省</t>
  </si>
  <si>
    <t>国立特別支援教育総合研究所</t>
  </si>
  <si>
    <t>国立青少年教育振興機構</t>
  </si>
  <si>
    <t>国立科学博物館</t>
  </si>
  <si>
    <t>放射線医学総合研究所</t>
  </si>
  <si>
    <t>国立文化財機構</t>
  </si>
  <si>
    <t>科学技術振興機構</t>
  </si>
  <si>
    <t>日本学術振興会</t>
  </si>
  <si>
    <t>理化学研究所</t>
  </si>
  <si>
    <t>宇宙航空研究開発機構</t>
  </si>
  <si>
    <t>日本スポーツ振興センター</t>
  </si>
  <si>
    <t>日本芸術文化振興会</t>
  </si>
  <si>
    <t>日本学生支援機構</t>
  </si>
  <si>
    <t>海洋研究開発機構</t>
  </si>
  <si>
    <t>国立高等専門学校機構</t>
  </si>
  <si>
    <t>大学評価・学位授与機構</t>
  </si>
  <si>
    <t>国立大学財務・経営センター</t>
  </si>
  <si>
    <t>日本原子力研究開発機構</t>
  </si>
  <si>
    <t>厚生労働省</t>
  </si>
  <si>
    <t>労働安全衛生総合研究所</t>
  </si>
  <si>
    <t>勤労者退職金共済機構</t>
  </si>
  <si>
    <t>高齢・障害・求職者雇用支援機構</t>
  </si>
  <si>
    <t>福祉医療機構</t>
  </si>
  <si>
    <t>国立重度知的障害者総合施設のぞみの園</t>
  </si>
  <si>
    <t>労働政策研究・研修機構</t>
  </si>
  <si>
    <t>労働者健康福祉機構</t>
  </si>
  <si>
    <t>国立病院機構</t>
  </si>
  <si>
    <t>医薬品医療機器総合機構</t>
  </si>
  <si>
    <t>地域医療機能推進機構</t>
  </si>
  <si>
    <t>年金積立金管理運用</t>
  </si>
  <si>
    <t>国立がん研究センター</t>
  </si>
  <si>
    <t>国立循環器病研究センター</t>
  </si>
  <si>
    <t>国立精神・神経医療研究センター</t>
  </si>
  <si>
    <t>国立国際医療研究センター</t>
  </si>
  <si>
    <t>国立成育医療研究センター</t>
  </si>
  <si>
    <t>国立長寿医療研究センター</t>
  </si>
  <si>
    <t>農林水産省</t>
  </si>
  <si>
    <t>農林水産消費安全技術センター</t>
  </si>
  <si>
    <t>農業・食品産業技術総合研究機構</t>
  </si>
  <si>
    <t>農畜産業振興機構</t>
  </si>
  <si>
    <t>農業者年金基金</t>
  </si>
  <si>
    <t>農林漁業信用基金</t>
  </si>
  <si>
    <t>経済産業省</t>
  </si>
  <si>
    <t>工業所有権情報・研修館</t>
  </si>
  <si>
    <t>新エネルギー・産業技術総合開発機構</t>
  </si>
  <si>
    <t>日本貿易振興機構</t>
  </si>
  <si>
    <t>情報処理推進機構</t>
  </si>
  <si>
    <t>石油天然ガス・金属鉱物資源機構</t>
  </si>
  <si>
    <t>中小企業基盤整備機構</t>
  </si>
  <si>
    <t>航海訓練所</t>
  </si>
  <si>
    <t>海技教育機構</t>
  </si>
  <si>
    <t>鉄道建設・運輸施設整備支援機構</t>
  </si>
  <si>
    <t>国際観光振興機構</t>
  </si>
  <si>
    <t>水資源機構</t>
  </si>
  <si>
    <t>自動車事故対策機構</t>
  </si>
  <si>
    <t>空港周辺整備機構</t>
  </si>
  <si>
    <t>都市再生機構</t>
  </si>
  <si>
    <t>奄美群島振興開発基金</t>
  </si>
  <si>
    <t>日本高速道路保有・債務返済機構</t>
  </si>
  <si>
    <t>住宅金融支援機構</t>
  </si>
  <si>
    <t>環境省</t>
  </si>
  <si>
    <t>環境再生保全機構</t>
  </si>
  <si>
    <t>防衛省</t>
  </si>
  <si>
    <t>駐留軍等労働者労務管理機構</t>
  </si>
  <si>
    <t>医薬基盤・健康・栄養研究所</t>
    <rPh sb="5" eb="7">
      <t>ケンコウ</t>
    </rPh>
    <rPh sb="8" eb="10">
      <t>エイヨウ</t>
    </rPh>
    <phoneticPr fontId="1"/>
  </si>
  <si>
    <t>開発振興勘定（基盤的技術研究事業、難病・疾患資源研究事業、研究開発振興事業、創薬支援事業）、研究振興勘定、承継勘定</t>
    <rPh sb="38" eb="40">
      <t>ソウヤク</t>
    </rPh>
    <rPh sb="40" eb="42">
      <t>シエン</t>
    </rPh>
    <rPh sb="42" eb="44">
      <t>ジギョウ</t>
    </rPh>
    <phoneticPr fontId="1"/>
  </si>
  <si>
    <t>施設設備積立金、調査研究事業積立金</t>
    <phoneticPr fontId="1"/>
  </si>
  <si>
    <t>東京国立近代美術館、京都国立近代美術館、国立西洋美術館、国立国際美術館、国立新美術館</t>
    <rPh sb="0" eb="2">
      <t>トウキョウ</t>
    </rPh>
    <rPh sb="2" eb="4">
      <t>コクリツ</t>
    </rPh>
    <rPh sb="4" eb="6">
      <t>キンダイ</t>
    </rPh>
    <rPh sb="6" eb="9">
      <t>ビジュツカン</t>
    </rPh>
    <rPh sb="10" eb="12">
      <t>キョウト</t>
    </rPh>
    <rPh sb="12" eb="14">
      <t>コクリツ</t>
    </rPh>
    <rPh sb="14" eb="16">
      <t>キンダイ</t>
    </rPh>
    <rPh sb="16" eb="19">
      <t>ビジュツカン</t>
    </rPh>
    <rPh sb="20" eb="22">
      <t>コクリツ</t>
    </rPh>
    <rPh sb="22" eb="24">
      <t>セイヨウ</t>
    </rPh>
    <rPh sb="24" eb="27">
      <t>ビジュツカン</t>
    </rPh>
    <rPh sb="28" eb="30">
      <t>コクリツ</t>
    </rPh>
    <rPh sb="30" eb="32">
      <t>コクサイ</t>
    </rPh>
    <rPh sb="32" eb="35">
      <t>ビジュツカン</t>
    </rPh>
    <rPh sb="36" eb="38">
      <t>コクリツ</t>
    </rPh>
    <rPh sb="38" eb="39">
      <t>シン</t>
    </rPh>
    <rPh sb="39" eb="42">
      <t>ビジュツカン</t>
    </rPh>
    <phoneticPr fontId="22"/>
  </si>
  <si>
    <t>○
（退職手当以外の人件費及び左記以外の業務）</t>
    <phoneticPr fontId="1"/>
  </si>
  <si>
    <t>施設整備積立金、教育普及事業積立金、資料収集事業積立金</t>
    <rPh sb="0" eb="2">
      <t>シセツ</t>
    </rPh>
    <rPh sb="2" eb="4">
      <t>セイビ</t>
    </rPh>
    <rPh sb="4" eb="7">
      <t>ツミタテキン</t>
    </rPh>
    <rPh sb="8" eb="10">
      <t>キョウイク</t>
    </rPh>
    <rPh sb="10" eb="12">
      <t>フキュウ</t>
    </rPh>
    <rPh sb="12" eb="14">
      <t>ジギョウ</t>
    </rPh>
    <rPh sb="14" eb="16">
      <t>ツミタテ</t>
    </rPh>
    <rPh sb="16" eb="17">
      <t>キン</t>
    </rPh>
    <phoneticPr fontId="1"/>
  </si>
  <si>
    <t>東京国立博物館、京都国立博物館、奈良国立博物館、九州国立博物館、東京文化財研究所、奈良文化財研究所、アジア太平洋無形文化遺産研究センター</t>
    <rPh sb="0" eb="2">
      <t>トウキョウ</t>
    </rPh>
    <rPh sb="2" eb="4">
      <t>コクリツ</t>
    </rPh>
    <rPh sb="4" eb="7">
      <t>ハクブツカン</t>
    </rPh>
    <rPh sb="8" eb="10">
      <t>キョウト</t>
    </rPh>
    <rPh sb="10" eb="12">
      <t>コクリツ</t>
    </rPh>
    <rPh sb="12" eb="15">
      <t>ハクブツカン</t>
    </rPh>
    <rPh sb="16" eb="23">
      <t>ナラコクリツハクブツカン</t>
    </rPh>
    <rPh sb="24" eb="26">
      <t>キュウシュウ</t>
    </rPh>
    <rPh sb="26" eb="28">
      <t>コクリツ</t>
    </rPh>
    <rPh sb="28" eb="31">
      <t>ハクブツカン</t>
    </rPh>
    <rPh sb="53" eb="56">
      <t>タイヘイヨウ</t>
    </rPh>
    <rPh sb="56" eb="58">
      <t>ムケイ</t>
    </rPh>
    <rPh sb="58" eb="60">
      <t>ブンカ</t>
    </rPh>
    <rPh sb="60" eb="62">
      <t>イサン</t>
    </rPh>
    <rPh sb="62" eb="64">
      <t>ケンキュウ</t>
    </rPh>
    <phoneticPr fontId="22"/>
  </si>
  <si>
    <t>施設整備事業積立金、基金助成事業積立金</t>
    <rPh sb="0" eb="2">
      <t>シセツ</t>
    </rPh>
    <rPh sb="2" eb="4">
      <t>セイビ</t>
    </rPh>
    <rPh sb="4" eb="6">
      <t>ジギョウ</t>
    </rPh>
    <rPh sb="6" eb="9">
      <t>ツミタテキン</t>
    </rPh>
    <rPh sb="10" eb="12">
      <t>キキン</t>
    </rPh>
    <rPh sb="12" eb="14">
      <t>ジョセイ</t>
    </rPh>
    <rPh sb="14" eb="16">
      <t>ジギョウ</t>
    </rPh>
    <rPh sb="16" eb="19">
      <t>ツミタテキン</t>
    </rPh>
    <phoneticPr fontId="1"/>
  </si>
  <si>
    <t>①3
②4</t>
    <phoneticPr fontId="1"/>
  </si>
  <si>
    <t>①「文部科学省令による区分」として、基金、国立劇場、新国立劇場
②「事業区分別セグメント情報」として、基金事業、公演事業、研修事業　調査研究事業</t>
    <phoneticPr fontId="1"/>
  </si>
  <si>
    <t>公演事業等整備積立金</t>
    <rPh sb="0" eb="2">
      <t>コウエン</t>
    </rPh>
    <rPh sb="2" eb="5">
      <t>ジギョウナド</t>
    </rPh>
    <rPh sb="5" eb="7">
      <t>セイビ</t>
    </rPh>
    <rPh sb="7" eb="9">
      <t>ツミタテ</t>
    </rPh>
    <rPh sb="9" eb="10">
      <t>キン</t>
    </rPh>
    <phoneticPr fontId="1"/>
  </si>
  <si>
    <t>観測・予測研究領域、減災実験研究領域、社会防災システム研究領域</t>
    <rPh sb="5" eb="7">
      <t>ケンキュウ</t>
    </rPh>
    <rPh sb="7" eb="9">
      <t>リョウイキ</t>
    </rPh>
    <rPh sb="14" eb="16">
      <t>ケンキュウ</t>
    </rPh>
    <rPh sb="16" eb="18">
      <t>リョウイキ</t>
    </rPh>
    <rPh sb="27" eb="29">
      <t>ケンキュウ</t>
    </rPh>
    <rPh sb="29" eb="31">
      <t>リョウイキ</t>
    </rPh>
    <phoneticPr fontId="1"/>
  </si>
  <si>
    <t>教育研究活動等評価（機関別認証評価、分野別認証評価、国立大学法人評価等）、学位授与、質保証連携、調査研究</t>
    <rPh sb="15" eb="17">
      <t>ヒョウカ</t>
    </rPh>
    <rPh sb="23" eb="25">
      <t>ヒョウカ</t>
    </rPh>
    <rPh sb="32" eb="34">
      <t>ヒョウカ</t>
    </rPh>
    <rPh sb="34" eb="35">
      <t>ナド</t>
    </rPh>
    <phoneticPr fontId="1"/>
  </si>
  <si>
    <t>大学評価事業（国立大学法人評価事業等、機関別認証評価事業、分野別評価事業）、学位授与事業、その他の事業</t>
    <rPh sb="4" eb="6">
      <t>ジギョウ</t>
    </rPh>
    <rPh sb="13" eb="15">
      <t>ヒョウカ</t>
    </rPh>
    <rPh sb="15" eb="17">
      <t>ジギョウ</t>
    </rPh>
    <rPh sb="17" eb="18">
      <t>ナド</t>
    </rPh>
    <rPh sb="24" eb="26">
      <t>ヒョウカ</t>
    </rPh>
    <rPh sb="26" eb="28">
      <t>ジギョウ</t>
    </rPh>
    <rPh sb="32" eb="34">
      <t>ヒョウカ</t>
    </rPh>
    <rPh sb="34" eb="36">
      <t>ジギョウ</t>
    </rPh>
    <rPh sb="42" eb="44">
      <t>ジギョウ</t>
    </rPh>
    <phoneticPr fontId="1"/>
  </si>
  <si>
    <t>納付経理、融資経理、特別給付経理、財形勘定、雇用促進融資勘定</t>
    <rPh sb="0" eb="2">
      <t>ノウフ</t>
    </rPh>
    <rPh sb="2" eb="4">
      <t>ケイリ</t>
    </rPh>
    <rPh sb="5" eb="7">
      <t>ユウシ</t>
    </rPh>
    <rPh sb="7" eb="9">
      <t>ケイリ</t>
    </rPh>
    <rPh sb="10" eb="12">
      <t>トクベツ</t>
    </rPh>
    <rPh sb="12" eb="14">
      <t>キュウフ</t>
    </rPh>
    <rPh sb="14" eb="16">
      <t>ケイリ</t>
    </rPh>
    <rPh sb="17" eb="19">
      <t>ザイケイ</t>
    </rPh>
    <rPh sb="19" eb="21">
      <t>カンジョウ</t>
    </rPh>
    <rPh sb="22" eb="24">
      <t>コヨウ</t>
    </rPh>
    <rPh sb="24" eb="26">
      <t>ソクシン</t>
    </rPh>
    <rPh sb="26" eb="28">
      <t>ユウシ</t>
    </rPh>
    <rPh sb="28" eb="30">
      <t>カンジョウ</t>
    </rPh>
    <phoneticPr fontId="1"/>
  </si>
  <si>
    <t>高齢・障害者雇用支援勘定（高齢者雇用支援事業経理、障害者雇用支援事業経理）、障害者職業能力開発勘定、障害者雇用納付金勘定、職業能力開発勘定、認定特定求職者職業訓練勘定、宿舎等勘定</t>
    <rPh sb="0" eb="2">
      <t>コウレイ</t>
    </rPh>
    <rPh sb="3" eb="5">
      <t>ショウガイ</t>
    </rPh>
    <rPh sb="6" eb="8">
      <t>コヨウ</t>
    </rPh>
    <rPh sb="8" eb="10">
      <t>シエン</t>
    </rPh>
    <rPh sb="10" eb="12">
      <t>カンジョウ</t>
    </rPh>
    <rPh sb="13" eb="15">
      <t>コウレイ</t>
    </rPh>
    <rPh sb="16" eb="18">
      <t>コヨウ</t>
    </rPh>
    <rPh sb="18" eb="20">
      <t>シエン</t>
    </rPh>
    <rPh sb="20" eb="22">
      <t>ジギョウ</t>
    </rPh>
    <rPh sb="22" eb="24">
      <t>ケイリ</t>
    </rPh>
    <rPh sb="25" eb="27">
      <t>ショウガイ</t>
    </rPh>
    <rPh sb="28" eb="30">
      <t>コヨウ</t>
    </rPh>
    <rPh sb="30" eb="32">
      <t>シエン</t>
    </rPh>
    <rPh sb="32" eb="34">
      <t>ジギョウ</t>
    </rPh>
    <rPh sb="34" eb="36">
      <t>ケイリ</t>
    </rPh>
    <rPh sb="38" eb="41">
      <t>ショウガイシャ</t>
    </rPh>
    <rPh sb="41" eb="43">
      <t>ショクギョウ</t>
    </rPh>
    <rPh sb="43" eb="45">
      <t>ノウリョク</t>
    </rPh>
    <rPh sb="45" eb="47">
      <t>カイハツ</t>
    </rPh>
    <rPh sb="47" eb="49">
      <t>カンジョウ</t>
    </rPh>
    <rPh sb="50" eb="53">
      <t>ショウガイシャ</t>
    </rPh>
    <rPh sb="53" eb="55">
      <t>コヨウ</t>
    </rPh>
    <rPh sb="55" eb="58">
      <t>ノウフキン</t>
    </rPh>
    <rPh sb="58" eb="60">
      <t>カンジョウ</t>
    </rPh>
    <rPh sb="61" eb="63">
      <t>ショクギョウ</t>
    </rPh>
    <rPh sb="63" eb="65">
      <t>ノウリョク</t>
    </rPh>
    <rPh sb="65" eb="67">
      <t>カイハツ</t>
    </rPh>
    <rPh sb="67" eb="69">
      <t>カンジョウ</t>
    </rPh>
    <rPh sb="70" eb="72">
      <t>ニンテイ</t>
    </rPh>
    <rPh sb="72" eb="74">
      <t>トクテイ</t>
    </rPh>
    <rPh sb="74" eb="76">
      <t>キュウショク</t>
    </rPh>
    <rPh sb="76" eb="77">
      <t>シャ</t>
    </rPh>
    <rPh sb="77" eb="79">
      <t>ショクギョウ</t>
    </rPh>
    <rPh sb="79" eb="81">
      <t>クンレン</t>
    </rPh>
    <rPh sb="81" eb="83">
      <t>カンジョウ</t>
    </rPh>
    <rPh sb="84" eb="87">
      <t>シュクシャナド</t>
    </rPh>
    <rPh sb="87" eb="89">
      <t>カンジョウ</t>
    </rPh>
    <phoneticPr fontId="1"/>
  </si>
  <si>
    <t>○
（一般管理費の一部）</t>
    <phoneticPr fontId="1"/>
  </si>
  <si>
    <t>一般勘定（福祉医療貸付事業(利子補給金・政府出資金、運営費交付金)、福祉医療経営指導事業、福祉保険医療情報サービス事業、社会福祉振興助成事業）、共済勘定（業務経理、給付経理）、保険勘定（業務経理、給付経理）、年金担保貸付勘定、労災年金担保貸付勘定、承継債権管理回収勘定、承継教育資金貸付けあっせん勘定</t>
    <rPh sb="0" eb="2">
      <t>イッパン</t>
    </rPh>
    <rPh sb="2" eb="4">
      <t>カンジョウ</t>
    </rPh>
    <rPh sb="5" eb="7">
      <t>フクシ</t>
    </rPh>
    <rPh sb="7" eb="9">
      <t>イリョウ</t>
    </rPh>
    <rPh sb="9" eb="11">
      <t>カシツケ</t>
    </rPh>
    <rPh sb="11" eb="13">
      <t>ジギョウ</t>
    </rPh>
    <rPh sb="14" eb="16">
      <t>リシ</t>
    </rPh>
    <rPh sb="16" eb="19">
      <t>ホキュウキン</t>
    </rPh>
    <rPh sb="20" eb="22">
      <t>セイフ</t>
    </rPh>
    <rPh sb="22" eb="25">
      <t>シュッシキン</t>
    </rPh>
    <rPh sb="26" eb="29">
      <t>ウンエイヒ</t>
    </rPh>
    <rPh sb="29" eb="32">
      <t>コウフキン</t>
    </rPh>
    <rPh sb="34" eb="36">
      <t>フクシ</t>
    </rPh>
    <rPh sb="36" eb="38">
      <t>イリョウ</t>
    </rPh>
    <rPh sb="38" eb="40">
      <t>ケイエイ</t>
    </rPh>
    <rPh sb="40" eb="42">
      <t>シドウ</t>
    </rPh>
    <rPh sb="42" eb="44">
      <t>ジギョウ</t>
    </rPh>
    <rPh sb="45" eb="47">
      <t>フクシ</t>
    </rPh>
    <rPh sb="47" eb="49">
      <t>ホケン</t>
    </rPh>
    <rPh sb="49" eb="51">
      <t>イリョウ</t>
    </rPh>
    <rPh sb="51" eb="53">
      <t>ジョウホウ</t>
    </rPh>
    <rPh sb="57" eb="59">
      <t>ジギョウ</t>
    </rPh>
    <rPh sb="60" eb="62">
      <t>シャカイ</t>
    </rPh>
    <rPh sb="62" eb="64">
      <t>フクシ</t>
    </rPh>
    <rPh sb="64" eb="66">
      <t>シンコウ</t>
    </rPh>
    <rPh sb="66" eb="68">
      <t>ジョセイ</t>
    </rPh>
    <rPh sb="68" eb="70">
      <t>ジギョウ</t>
    </rPh>
    <rPh sb="72" eb="74">
      <t>キョウサイ</t>
    </rPh>
    <rPh sb="74" eb="76">
      <t>カンジョウ</t>
    </rPh>
    <rPh sb="77" eb="79">
      <t>ギョウム</t>
    </rPh>
    <rPh sb="79" eb="81">
      <t>ケイリ</t>
    </rPh>
    <rPh sb="82" eb="84">
      <t>キュウフ</t>
    </rPh>
    <rPh sb="84" eb="86">
      <t>ケイリ</t>
    </rPh>
    <rPh sb="88" eb="90">
      <t>ホケン</t>
    </rPh>
    <rPh sb="90" eb="92">
      <t>カンジョウ</t>
    </rPh>
    <rPh sb="93" eb="95">
      <t>ギョウム</t>
    </rPh>
    <rPh sb="95" eb="97">
      <t>ケイリ</t>
    </rPh>
    <rPh sb="98" eb="100">
      <t>キュウフ</t>
    </rPh>
    <rPh sb="100" eb="102">
      <t>ケイリ</t>
    </rPh>
    <rPh sb="104" eb="106">
      <t>ネンキン</t>
    </rPh>
    <rPh sb="106" eb="108">
      <t>タンポ</t>
    </rPh>
    <rPh sb="108" eb="110">
      <t>カシツケ</t>
    </rPh>
    <rPh sb="110" eb="112">
      <t>カンジョウ</t>
    </rPh>
    <rPh sb="113" eb="115">
      <t>ロウサイ</t>
    </rPh>
    <rPh sb="115" eb="117">
      <t>ネンキン</t>
    </rPh>
    <rPh sb="117" eb="119">
      <t>タンポ</t>
    </rPh>
    <rPh sb="119" eb="121">
      <t>カシツケ</t>
    </rPh>
    <rPh sb="121" eb="123">
      <t>カンジョウ</t>
    </rPh>
    <rPh sb="124" eb="126">
      <t>ショウケイ</t>
    </rPh>
    <rPh sb="126" eb="128">
      <t>サイケン</t>
    </rPh>
    <rPh sb="128" eb="130">
      <t>カンリ</t>
    </rPh>
    <rPh sb="130" eb="132">
      <t>カイシュウ</t>
    </rPh>
    <rPh sb="132" eb="134">
      <t>カンジョウ</t>
    </rPh>
    <rPh sb="135" eb="137">
      <t>ショウケイ</t>
    </rPh>
    <rPh sb="137" eb="139">
      <t>キョウイク</t>
    </rPh>
    <rPh sb="139" eb="141">
      <t>シキン</t>
    </rPh>
    <rPh sb="141" eb="143">
      <t>カシツケ</t>
    </rPh>
    <rPh sb="148" eb="150">
      <t>カンジョウ</t>
    </rPh>
    <phoneticPr fontId="1"/>
  </si>
  <si>
    <t>副作用救済勘定、感染救済勘定、審査等勘定(審査等事業、安全対策等事業)、特定救済勘定、受託・貸付勘定、受託給付勘定</t>
    <rPh sb="0" eb="3">
      <t>フクサヨウ</t>
    </rPh>
    <rPh sb="3" eb="5">
      <t>キュウサイ</t>
    </rPh>
    <rPh sb="5" eb="7">
      <t>カンジョウ</t>
    </rPh>
    <rPh sb="8" eb="10">
      <t>カンセン</t>
    </rPh>
    <rPh sb="10" eb="12">
      <t>キュウサイ</t>
    </rPh>
    <rPh sb="12" eb="14">
      <t>カンジョウ</t>
    </rPh>
    <rPh sb="15" eb="17">
      <t>シンサ</t>
    </rPh>
    <rPh sb="17" eb="18">
      <t>ナド</t>
    </rPh>
    <rPh sb="18" eb="20">
      <t>カンジョウ</t>
    </rPh>
    <rPh sb="21" eb="24">
      <t>シンサナド</t>
    </rPh>
    <rPh sb="24" eb="26">
      <t>ジギョウ</t>
    </rPh>
    <rPh sb="27" eb="29">
      <t>アンゼン</t>
    </rPh>
    <rPh sb="29" eb="32">
      <t>タイサクナド</t>
    </rPh>
    <rPh sb="32" eb="34">
      <t>ジギョウ</t>
    </rPh>
    <rPh sb="36" eb="38">
      <t>トクテイ</t>
    </rPh>
    <rPh sb="38" eb="40">
      <t>キュウサイ</t>
    </rPh>
    <rPh sb="40" eb="42">
      <t>カンジョウ</t>
    </rPh>
    <rPh sb="43" eb="45">
      <t>ジュタク</t>
    </rPh>
    <rPh sb="46" eb="48">
      <t>カシツケ</t>
    </rPh>
    <rPh sb="48" eb="50">
      <t>カンジョウ</t>
    </rPh>
    <rPh sb="51" eb="53">
      <t>ジュタク</t>
    </rPh>
    <rPh sb="53" eb="55">
      <t>キュウフ</t>
    </rPh>
    <rPh sb="55" eb="57">
      <t>カンジョウ</t>
    </rPh>
    <phoneticPr fontId="1"/>
  </si>
  <si>
    <t>施設運営業務、知的障害者自立支援等調査・研究、知的障害者自立支援等情報提供、知的障害者支援関係職員等養成研修、知的障害者支援関係施設援助・助言、附帯業務、受託業務</t>
    <rPh sb="0" eb="2">
      <t>シセツ</t>
    </rPh>
    <rPh sb="2" eb="4">
      <t>ウンエイ</t>
    </rPh>
    <rPh sb="4" eb="6">
      <t>ギョウム</t>
    </rPh>
    <rPh sb="7" eb="9">
      <t>チテキ</t>
    </rPh>
    <rPh sb="9" eb="12">
      <t>ショウガイシャ</t>
    </rPh>
    <rPh sb="12" eb="14">
      <t>ジリツ</t>
    </rPh>
    <rPh sb="14" eb="16">
      <t>シエン</t>
    </rPh>
    <rPh sb="16" eb="17">
      <t>トウ</t>
    </rPh>
    <rPh sb="17" eb="19">
      <t>チョウサ</t>
    </rPh>
    <rPh sb="20" eb="22">
      <t>ケンキュウ</t>
    </rPh>
    <rPh sb="23" eb="25">
      <t>チテキ</t>
    </rPh>
    <rPh sb="25" eb="28">
      <t>ショウガイシャ</t>
    </rPh>
    <rPh sb="28" eb="30">
      <t>ジリツ</t>
    </rPh>
    <rPh sb="30" eb="32">
      <t>シエン</t>
    </rPh>
    <rPh sb="32" eb="33">
      <t>トウ</t>
    </rPh>
    <rPh sb="33" eb="35">
      <t>ジョウホウ</t>
    </rPh>
    <rPh sb="35" eb="37">
      <t>テイキョウ</t>
    </rPh>
    <rPh sb="38" eb="40">
      <t>チテキ</t>
    </rPh>
    <rPh sb="40" eb="43">
      <t>ショウガイシャ</t>
    </rPh>
    <rPh sb="43" eb="45">
      <t>シエン</t>
    </rPh>
    <rPh sb="45" eb="47">
      <t>カンケイ</t>
    </rPh>
    <rPh sb="47" eb="49">
      <t>ショクイン</t>
    </rPh>
    <rPh sb="49" eb="50">
      <t>トウ</t>
    </rPh>
    <rPh sb="50" eb="52">
      <t>ヨウセイ</t>
    </rPh>
    <rPh sb="52" eb="54">
      <t>ケンシュウ</t>
    </rPh>
    <rPh sb="55" eb="57">
      <t>チテキ</t>
    </rPh>
    <rPh sb="57" eb="60">
      <t>ショウガイシャ</t>
    </rPh>
    <rPh sb="60" eb="62">
      <t>シエン</t>
    </rPh>
    <rPh sb="62" eb="64">
      <t>カンケイ</t>
    </rPh>
    <rPh sb="64" eb="66">
      <t>シセツ</t>
    </rPh>
    <rPh sb="66" eb="68">
      <t>エンジョ</t>
    </rPh>
    <rPh sb="69" eb="71">
      <t>ジョゲン</t>
    </rPh>
    <rPh sb="72" eb="74">
      <t>フタイ</t>
    </rPh>
    <rPh sb="74" eb="76">
      <t>ギョウム</t>
    </rPh>
    <rPh sb="77" eb="79">
      <t>ジュタク</t>
    </rPh>
    <rPh sb="79" eb="81">
      <t>ギョウム</t>
    </rPh>
    <phoneticPr fontId="1"/>
  </si>
  <si>
    <t>国立大学法人等に対する施設費貸付事業及び交付事業（施設費貸付事業及び施設費交付事業、旧特定学校財産の管理処分、承継債務償還）</t>
    <rPh sb="0" eb="2">
      <t>コクリツ</t>
    </rPh>
    <rPh sb="2" eb="4">
      <t>ダイガク</t>
    </rPh>
    <rPh sb="4" eb="6">
      <t>ホウジン</t>
    </rPh>
    <rPh sb="6" eb="7">
      <t>トウ</t>
    </rPh>
    <rPh sb="8" eb="9">
      <t>タイ</t>
    </rPh>
    <rPh sb="11" eb="13">
      <t>シセツ</t>
    </rPh>
    <rPh sb="14" eb="16">
      <t>カシツケ</t>
    </rPh>
    <rPh sb="16" eb="18">
      <t>ジギョウ</t>
    </rPh>
    <rPh sb="18" eb="19">
      <t>オヨ</t>
    </rPh>
    <rPh sb="20" eb="22">
      <t>コウフ</t>
    </rPh>
    <rPh sb="22" eb="24">
      <t>ジギョウ</t>
    </rPh>
    <rPh sb="25" eb="27">
      <t>シセツ</t>
    </rPh>
    <rPh sb="27" eb="28">
      <t>ヒ</t>
    </rPh>
    <rPh sb="28" eb="30">
      <t>カシツケ</t>
    </rPh>
    <rPh sb="30" eb="32">
      <t>ジギョウ</t>
    </rPh>
    <rPh sb="32" eb="33">
      <t>オヨ</t>
    </rPh>
    <rPh sb="34" eb="36">
      <t>シセツ</t>
    </rPh>
    <rPh sb="36" eb="37">
      <t>ヒ</t>
    </rPh>
    <rPh sb="37" eb="39">
      <t>コウフ</t>
    </rPh>
    <rPh sb="39" eb="41">
      <t>ジギョウ</t>
    </rPh>
    <rPh sb="42" eb="43">
      <t>キュウ</t>
    </rPh>
    <rPh sb="43" eb="45">
      <t>トクテイ</t>
    </rPh>
    <rPh sb="45" eb="47">
      <t>ガッコウ</t>
    </rPh>
    <rPh sb="47" eb="49">
      <t>ザイサン</t>
    </rPh>
    <rPh sb="50" eb="52">
      <t>カンリ</t>
    </rPh>
    <rPh sb="52" eb="54">
      <t>ショブン</t>
    </rPh>
    <rPh sb="55" eb="57">
      <t>ショウケイ</t>
    </rPh>
    <rPh sb="57" eb="59">
      <t>サイム</t>
    </rPh>
    <rPh sb="59" eb="61">
      <t>ショウカン</t>
    </rPh>
    <phoneticPr fontId="1"/>
  </si>
  <si>
    <t>研究活動、研修事業、教育相談活動、情報普及活動</t>
    <rPh sb="0" eb="2">
      <t>ケンキュウ</t>
    </rPh>
    <rPh sb="2" eb="4">
      <t>カツドウ</t>
    </rPh>
    <rPh sb="5" eb="7">
      <t>ケンシュウ</t>
    </rPh>
    <rPh sb="7" eb="9">
      <t>ジギョウ</t>
    </rPh>
    <rPh sb="10" eb="12">
      <t>キョウイク</t>
    </rPh>
    <rPh sb="12" eb="14">
      <t>ソウダン</t>
    </rPh>
    <rPh sb="14" eb="16">
      <t>カツドウ</t>
    </rPh>
    <rPh sb="17" eb="19">
      <t>ジョウホウ</t>
    </rPh>
    <rPh sb="19" eb="21">
      <t>フキュウ</t>
    </rPh>
    <rPh sb="21" eb="23">
      <t>カツドウ</t>
    </rPh>
    <phoneticPr fontId="1"/>
  </si>
  <si>
    <t>福島第一原子力発電所事故への対応に係る研究開発、高速増殖炉サイクル技術の確立に向けた研究開発、高レベル放射性廃棄物の処分技術に案する研究開発、核融合エネルギーを取り出す技術システムの研究開発、量子ビームによる科学技術競争力向上と産業利用に貢献する研究開発、エネルギー利用に係る高度化と共通的科学技術基盤及び安全の確保と核不拡散、放射性廃棄物の埋設処分、自らの原子力施設の廃止措置及び放射性廃棄物の処理処分に関わる技術開発、国内外との連携強化と社会からの要請に対応する活動</t>
    <rPh sb="0" eb="2">
      <t>フクシマ</t>
    </rPh>
    <rPh sb="2" eb="4">
      <t>ダイイチ</t>
    </rPh>
    <rPh sb="4" eb="7">
      <t>ゲンシリョク</t>
    </rPh>
    <rPh sb="7" eb="9">
      <t>ハツデン</t>
    </rPh>
    <rPh sb="9" eb="10">
      <t>ショ</t>
    </rPh>
    <rPh sb="10" eb="12">
      <t>ジコ</t>
    </rPh>
    <rPh sb="14" eb="16">
      <t>タイオウ</t>
    </rPh>
    <rPh sb="17" eb="18">
      <t>カカ</t>
    </rPh>
    <rPh sb="19" eb="21">
      <t>ケンキュウ</t>
    </rPh>
    <rPh sb="21" eb="23">
      <t>カイハツ</t>
    </rPh>
    <rPh sb="24" eb="26">
      <t>コウソク</t>
    </rPh>
    <rPh sb="26" eb="29">
      <t>ゾウショクロ</t>
    </rPh>
    <rPh sb="33" eb="35">
      <t>ギジュツ</t>
    </rPh>
    <rPh sb="36" eb="38">
      <t>カクリツ</t>
    </rPh>
    <rPh sb="39" eb="40">
      <t>ム</t>
    </rPh>
    <rPh sb="42" eb="44">
      <t>ケンキュウ</t>
    </rPh>
    <rPh sb="44" eb="46">
      <t>カイハツ</t>
    </rPh>
    <rPh sb="47" eb="48">
      <t>コウ</t>
    </rPh>
    <rPh sb="71" eb="74">
      <t>カクユウゴウ</t>
    </rPh>
    <rPh sb="80" eb="81">
      <t>ト</t>
    </rPh>
    <rPh sb="82" eb="83">
      <t>ダ</t>
    </rPh>
    <rPh sb="84" eb="86">
      <t>ギジュツ</t>
    </rPh>
    <rPh sb="91" eb="93">
      <t>ケンキュウ</t>
    </rPh>
    <rPh sb="93" eb="95">
      <t>カイハツ</t>
    </rPh>
    <rPh sb="96" eb="98">
      <t>リョウシ</t>
    </rPh>
    <rPh sb="104" eb="106">
      <t>カガク</t>
    </rPh>
    <rPh sb="106" eb="108">
      <t>ギジュツ</t>
    </rPh>
    <rPh sb="108" eb="111">
      <t>キョウソウリョク</t>
    </rPh>
    <rPh sb="111" eb="113">
      <t>コウジョウ</t>
    </rPh>
    <rPh sb="114" eb="116">
      <t>サンギョウ</t>
    </rPh>
    <rPh sb="116" eb="118">
      <t>リヨウ</t>
    </rPh>
    <rPh sb="119" eb="121">
      <t>コウケン</t>
    </rPh>
    <rPh sb="123" eb="125">
      <t>ケンキュウ</t>
    </rPh>
    <rPh sb="125" eb="127">
      <t>カイハツ</t>
    </rPh>
    <rPh sb="133" eb="135">
      <t>リヨウ</t>
    </rPh>
    <rPh sb="136" eb="137">
      <t>カカ</t>
    </rPh>
    <rPh sb="138" eb="141">
      <t>コウドカ</t>
    </rPh>
    <rPh sb="142" eb="145">
      <t>キョウツウテキ</t>
    </rPh>
    <rPh sb="145" eb="147">
      <t>カガク</t>
    </rPh>
    <rPh sb="147" eb="149">
      <t>ギジュツ</t>
    </rPh>
    <rPh sb="149" eb="151">
      <t>キバン</t>
    </rPh>
    <rPh sb="151" eb="152">
      <t>オヨ</t>
    </rPh>
    <rPh sb="153" eb="155">
      <t>アンゼン</t>
    </rPh>
    <rPh sb="156" eb="158">
      <t>カクホ</t>
    </rPh>
    <rPh sb="159" eb="160">
      <t>カク</t>
    </rPh>
    <rPh sb="160" eb="163">
      <t>フカクサン</t>
    </rPh>
    <rPh sb="164" eb="167">
      <t>ホウシャセイ</t>
    </rPh>
    <rPh sb="167" eb="170">
      <t>ハイキブツ</t>
    </rPh>
    <rPh sb="171" eb="173">
      <t>マイセツ</t>
    </rPh>
    <rPh sb="173" eb="175">
      <t>ショブン</t>
    </rPh>
    <rPh sb="176" eb="177">
      <t>ミズカ</t>
    </rPh>
    <rPh sb="179" eb="182">
      <t>ゲンシリョク</t>
    </rPh>
    <rPh sb="182" eb="184">
      <t>シセツ</t>
    </rPh>
    <rPh sb="185" eb="187">
      <t>ハイシ</t>
    </rPh>
    <rPh sb="187" eb="189">
      <t>ソチ</t>
    </rPh>
    <rPh sb="189" eb="190">
      <t>オヨ</t>
    </rPh>
    <rPh sb="191" eb="194">
      <t>ホウシャセイ</t>
    </rPh>
    <rPh sb="194" eb="197">
      <t>ハイキブツ</t>
    </rPh>
    <rPh sb="198" eb="200">
      <t>ショリ</t>
    </rPh>
    <rPh sb="200" eb="202">
      <t>ショブン</t>
    </rPh>
    <rPh sb="203" eb="204">
      <t>カカ</t>
    </rPh>
    <rPh sb="206" eb="208">
      <t>ギジュツ</t>
    </rPh>
    <rPh sb="208" eb="210">
      <t>カイハツ</t>
    </rPh>
    <rPh sb="211" eb="214">
      <t>コクナイガイ</t>
    </rPh>
    <rPh sb="216" eb="218">
      <t>レンケイ</t>
    </rPh>
    <rPh sb="218" eb="220">
      <t>キョウカ</t>
    </rPh>
    <rPh sb="221" eb="223">
      <t>シャカイ</t>
    </rPh>
    <rPh sb="226" eb="228">
      <t>ヨウセイ</t>
    </rPh>
    <rPh sb="229" eb="231">
      <t>タイオウ</t>
    </rPh>
    <rPh sb="233" eb="235">
      <t>カツドウ</t>
    </rPh>
    <phoneticPr fontId="1"/>
  </si>
  <si>
    <t>スポーツ振興投票事業、災害共済給付及び免責特約事業、国立競技場改築事業、スポーツ施設運営事業、スポーツ健康保持・増進事業、スポーツ振興基金事業</t>
    <rPh sb="4" eb="6">
      <t>シンコウ</t>
    </rPh>
    <rPh sb="6" eb="8">
      <t>トウヒョウ</t>
    </rPh>
    <rPh sb="8" eb="10">
      <t>ジギョウ</t>
    </rPh>
    <rPh sb="11" eb="13">
      <t>サイガイ</t>
    </rPh>
    <rPh sb="13" eb="15">
      <t>キョウサイ</t>
    </rPh>
    <rPh sb="15" eb="17">
      <t>キュウフ</t>
    </rPh>
    <rPh sb="17" eb="18">
      <t>オヨ</t>
    </rPh>
    <rPh sb="19" eb="21">
      <t>メンセキ</t>
    </rPh>
    <rPh sb="21" eb="23">
      <t>トクヤク</t>
    </rPh>
    <rPh sb="23" eb="25">
      <t>ジギョウ</t>
    </rPh>
    <rPh sb="26" eb="31">
      <t>コクリツキョウギジョウ</t>
    </rPh>
    <rPh sb="31" eb="33">
      <t>カイチク</t>
    </rPh>
    <rPh sb="33" eb="35">
      <t>ジギョウ</t>
    </rPh>
    <rPh sb="40" eb="42">
      <t>シセツ</t>
    </rPh>
    <rPh sb="42" eb="44">
      <t>ウンエイ</t>
    </rPh>
    <rPh sb="44" eb="46">
      <t>ジギョウ</t>
    </rPh>
    <rPh sb="51" eb="53">
      <t>ケンコウ</t>
    </rPh>
    <rPh sb="53" eb="55">
      <t>ホジ</t>
    </rPh>
    <rPh sb="56" eb="58">
      <t>ゾウシン</t>
    </rPh>
    <rPh sb="58" eb="60">
      <t>ジギョウ</t>
    </rPh>
    <rPh sb="65" eb="67">
      <t>シンコウ</t>
    </rPh>
    <rPh sb="67" eb="69">
      <t>キキン</t>
    </rPh>
    <rPh sb="69" eb="71">
      <t>ジギョウ</t>
    </rPh>
    <phoneticPr fontId="1"/>
  </si>
  <si>
    <t>○
（研修受入事業・交流事業・調査研究事業及び情報事業に係る物件費相当並びに退職手当に係る経費相当）</t>
    <rPh sb="35" eb="36">
      <t>ナラ</t>
    </rPh>
    <phoneticPr fontId="1"/>
  </si>
  <si>
    <t>○
（人件費相当及び管理業務に係る物件費相当）</t>
    <rPh sb="3" eb="6">
      <t>ジンケンヒ</t>
    </rPh>
    <rPh sb="6" eb="8">
      <t>ソウトウ</t>
    </rPh>
    <rPh sb="8" eb="9">
      <t>オヨ</t>
    </rPh>
    <rPh sb="10" eb="12">
      <t>カンリ</t>
    </rPh>
    <rPh sb="12" eb="14">
      <t>ギョウム</t>
    </rPh>
    <rPh sb="15" eb="16">
      <t>カカワ</t>
    </rPh>
    <rPh sb="17" eb="20">
      <t>ブッケンヒ</t>
    </rPh>
    <rPh sb="20" eb="22">
      <t>ソウトウ</t>
    </rPh>
    <phoneticPr fontId="1"/>
  </si>
  <si>
    <t>－</t>
    <phoneticPr fontId="1"/>
  </si>
  <si>
    <t>①3
②4</t>
    <phoneticPr fontId="1"/>
  </si>
  <si>
    <t>-</t>
    <phoneticPr fontId="1"/>
  </si>
  <si>
    <t>○
（研修受入事業・調査研究事業及び情報事業に係る物件費相当並びに退職手当に係る経費相当）</t>
    <rPh sb="30" eb="31">
      <t>ナラ</t>
    </rPh>
    <phoneticPr fontId="1"/>
  </si>
  <si>
    <t>A.測位、リモートセンシング、通信・放送衛星、B.宇宙輸送システム、C.宇宙科学・宇宙探査、D.有人宇宙活動、E.宇宙太陽光発電研究開発、F.航空科学技術、G.横断的事項、H.その他業務</t>
    <rPh sb="2" eb="4">
      <t>ソクイ</t>
    </rPh>
    <rPh sb="15" eb="17">
      <t>ツウシン</t>
    </rPh>
    <rPh sb="18" eb="20">
      <t>ホウソウ</t>
    </rPh>
    <rPh sb="20" eb="22">
      <t>エイセイ</t>
    </rPh>
    <rPh sb="25" eb="27">
      <t>ウチュウ</t>
    </rPh>
    <rPh sb="27" eb="29">
      <t>ユソウ</t>
    </rPh>
    <rPh sb="36" eb="38">
      <t>ウチュウ</t>
    </rPh>
    <rPh sb="38" eb="40">
      <t>カガク</t>
    </rPh>
    <rPh sb="41" eb="43">
      <t>ウチュウ</t>
    </rPh>
    <rPh sb="43" eb="45">
      <t>タンサ</t>
    </rPh>
    <rPh sb="48" eb="50">
      <t>ユウジン</t>
    </rPh>
    <rPh sb="50" eb="52">
      <t>ウチュウ</t>
    </rPh>
    <rPh sb="52" eb="54">
      <t>カツドウ</t>
    </rPh>
    <rPh sb="57" eb="59">
      <t>ウチュウ</t>
    </rPh>
    <rPh sb="59" eb="62">
      <t>タイヨウコウ</t>
    </rPh>
    <rPh sb="62" eb="64">
      <t>ハツデン</t>
    </rPh>
    <rPh sb="64" eb="66">
      <t>ケンキュウ</t>
    </rPh>
    <rPh sb="66" eb="68">
      <t>カイハツ</t>
    </rPh>
    <rPh sb="71" eb="73">
      <t>コウクウ</t>
    </rPh>
    <rPh sb="73" eb="75">
      <t>カガク</t>
    </rPh>
    <rPh sb="75" eb="77">
      <t>ギジュツ</t>
    </rPh>
    <rPh sb="80" eb="83">
      <t>オウダンテキ</t>
    </rPh>
    <rPh sb="83" eb="85">
      <t>ジコウ</t>
    </rPh>
    <rPh sb="90" eb="91">
      <t>タ</t>
    </rPh>
    <rPh sb="91" eb="93">
      <t>ギョウム</t>
    </rPh>
    <phoneticPr fontId="1"/>
  </si>
  <si>
    <t>○
（業務システム開発業務、財産譲渡業務及び施設整備業務）</t>
    <rPh sb="3" eb="5">
      <t>ギョウム</t>
    </rPh>
    <rPh sb="9" eb="11">
      <t>カイハツ</t>
    </rPh>
    <rPh sb="11" eb="13">
      <t>ギョウム</t>
    </rPh>
    <rPh sb="14" eb="16">
      <t>ザイサン</t>
    </rPh>
    <rPh sb="16" eb="18">
      <t>ジョウト</t>
    </rPh>
    <rPh sb="18" eb="20">
      <t>ギョウム</t>
    </rPh>
    <rPh sb="20" eb="21">
      <t>オヨ</t>
    </rPh>
    <rPh sb="22" eb="24">
      <t>シセツ</t>
    </rPh>
    <rPh sb="24" eb="26">
      <t>セイビ</t>
    </rPh>
    <rPh sb="26" eb="28">
      <t>ギョウム</t>
    </rPh>
    <phoneticPr fontId="1"/>
  </si>
  <si>
    <t>労災リハビリテーション福井作業所（土地・建物等)</t>
    <rPh sb="0" eb="2">
      <t>ロウサイ</t>
    </rPh>
    <rPh sb="11" eb="13">
      <t>フクイ</t>
    </rPh>
    <rPh sb="13" eb="16">
      <t>サギョウショ</t>
    </rPh>
    <rPh sb="17" eb="19">
      <t>トチ</t>
    </rPh>
    <rPh sb="20" eb="22">
      <t>タテモノ</t>
    </rPh>
    <rPh sb="22" eb="23">
      <t>ナド</t>
    </rPh>
    <phoneticPr fontId="1"/>
  </si>
  <si>
    <t>○
（左記以外）</t>
    <phoneticPr fontId="1"/>
  </si>
  <si>
    <t>合計（101法人)</t>
    <rPh sb="0" eb="2">
      <t>ゴウケイ</t>
    </rPh>
    <rPh sb="6" eb="8">
      <t>ホウジン</t>
    </rPh>
    <phoneticPr fontId="1"/>
  </si>
  <si>
    <t>合計（98法人)</t>
    <rPh sb="0" eb="2">
      <t>ゴウケイ</t>
    </rPh>
    <rPh sb="5" eb="7">
      <t>ホウジン</t>
    </rPh>
    <phoneticPr fontId="1"/>
  </si>
  <si>
    <t>合計（97法人)</t>
    <rPh sb="0" eb="2">
      <t>ゴウケイ</t>
    </rPh>
    <rPh sb="5" eb="7">
      <t>ホウジン</t>
    </rPh>
    <phoneticPr fontId="1"/>
  </si>
  <si>
    <t>（注）　各法人のキャッシュフロー計算書（平成25年度）に基づく。</t>
    <phoneticPr fontId="1"/>
  </si>
  <si>
    <t>（注）　各法人のキャッシュフロー計算書（平成26年度）に基づく。</t>
    <phoneticPr fontId="1"/>
  </si>
  <si>
    <t>（注）平成26年度の各法人の行政サービスコスト計算書（法人単位）に基づく。
　　　</t>
    <phoneticPr fontId="1"/>
  </si>
  <si>
    <t xml:space="preserve">（注）　各法人の平成25年度の決算報告書に基づく。
</t>
    <phoneticPr fontId="1"/>
  </si>
  <si>
    <t xml:space="preserve">（注）　各法人の平成26年度の決算報告書に基づく。
</t>
    <phoneticPr fontId="1"/>
  </si>
  <si>
    <t>（注）１　平成26年度の各法人の貸借対照表（法人単位）に基づく。
　　　２　有形固定資産については減価償却累計額、減損損失累計額を控除した残高を記載。
　　　</t>
    <phoneticPr fontId="1"/>
  </si>
  <si>
    <t xml:space="preserve">（注）平成25年度の各法人のキャッシュ・フロー計算書及び注記等に基づく。
</t>
    <rPh sb="1" eb="2">
      <t>チュウ</t>
    </rPh>
    <rPh sb="10" eb="13">
      <t>カクホウジン</t>
    </rPh>
    <rPh sb="28" eb="30">
      <t>チュウキ</t>
    </rPh>
    <phoneticPr fontId="1"/>
  </si>
  <si>
    <t xml:space="preserve">（注）平成26年度の各法人のキャッシュ・フロー計算書及び注記等に基づく。
</t>
    <rPh sb="1" eb="2">
      <t>チュウ</t>
    </rPh>
    <rPh sb="10" eb="13">
      <t>カクホウジン</t>
    </rPh>
    <rPh sb="28" eb="30">
      <t>チュウキ</t>
    </rPh>
    <phoneticPr fontId="1"/>
  </si>
  <si>
    <t>（注） 平成25年度の各法人の附属明細表（法人単位）に記載されている「セグメント情報」の記述に基づく。</t>
    <phoneticPr fontId="1"/>
  </si>
  <si>
    <t>　　　　(注記が省略されている場合には、必要に応じて「勘定別財務諸表」を参照。）</t>
    <rPh sb="5" eb="7">
      <t>チュウキ</t>
    </rPh>
    <rPh sb="8" eb="10">
      <t>ショウリャク</t>
    </rPh>
    <rPh sb="15" eb="16">
      <t>バ</t>
    </rPh>
    <rPh sb="16" eb="17">
      <t>ア</t>
    </rPh>
    <rPh sb="20" eb="22">
      <t>ヒツヨウ</t>
    </rPh>
    <rPh sb="23" eb="24">
      <t>オウ</t>
    </rPh>
    <rPh sb="27" eb="29">
      <t>カンジョウ</t>
    </rPh>
    <rPh sb="29" eb="30">
      <t>ベツ</t>
    </rPh>
    <rPh sb="30" eb="32">
      <t>ザイム</t>
    </rPh>
    <rPh sb="32" eb="34">
      <t>ショヒョウ</t>
    </rPh>
    <rPh sb="36" eb="38">
      <t>サンショウ</t>
    </rPh>
    <phoneticPr fontId="1"/>
  </si>
  <si>
    <t>（注） 平成26年度の各法人の附属明細表（法人単位）に記載されている「セグメント情報」の記述に基づく。</t>
    <phoneticPr fontId="1"/>
  </si>
  <si>
    <t>（注）平成26年度の各法人の財務諸表に注記されている「重要な会計方針等」の記述に基づく。</t>
    <phoneticPr fontId="1"/>
  </si>
  <si>
    <t>（注）平成25年度の各法人の財務諸表に注記されている「重要な会計方針等」の記述に基づく。</t>
    <phoneticPr fontId="1"/>
  </si>
  <si>
    <t>監事</t>
    <rPh sb="0" eb="2">
      <t>カンジ</t>
    </rPh>
    <phoneticPr fontId="1"/>
  </si>
  <si>
    <t>合計</t>
    <rPh sb="0" eb="2">
      <t>ゴウケイ</t>
    </rPh>
    <phoneticPr fontId="1"/>
  </si>
  <si>
    <t>常勤職員数</t>
    <rPh sb="0" eb="2">
      <t>ジョウキン</t>
    </rPh>
    <rPh sb="2" eb="4">
      <t>ショクイン</t>
    </rPh>
    <rPh sb="4" eb="5">
      <t>スウ</t>
    </rPh>
    <phoneticPr fontId="1"/>
  </si>
  <si>
    <t>役　員　数</t>
    <rPh sb="0" eb="1">
      <t>ヤク</t>
    </rPh>
    <rPh sb="2" eb="3">
      <t>イン</t>
    </rPh>
    <rPh sb="4" eb="5">
      <t>スウ</t>
    </rPh>
    <phoneticPr fontId="1"/>
  </si>
  <si>
    <t>シート名</t>
    <rPh sb="3" eb="4">
      <t>メイ</t>
    </rPh>
    <phoneticPr fontId="1"/>
  </si>
  <si>
    <t>No</t>
    <phoneticPr fontId="1"/>
  </si>
  <si>
    <t>平成25年度</t>
    <rPh sb="0" eb="2">
      <t>ヘイセイ</t>
    </rPh>
    <rPh sb="4" eb="6">
      <t>ネンド</t>
    </rPh>
    <phoneticPr fontId="1"/>
  </si>
  <si>
    <t>平成26年度</t>
    <rPh sb="0" eb="2">
      <t>ヘイセイ</t>
    </rPh>
    <rPh sb="4" eb="6">
      <t>ネンド</t>
    </rPh>
    <phoneticPr fontId="1"/>
  </si>
  <si>
    <t>●</t>
    <phoneticPr fontId="1"/>
  </si>
  <si>
    <t>●</t>
    <phoneticPr fontId="1"/>
  </si>
  <si>
    <t>表１</t>
    <rPh sb="0" eb="1">
      <t>ヒョウ</t>
    </rPh>
    <phoneticPr fontId="1"/>
  </si>
  <si>
    <t>貸借対照表の状況</t>
    <phoneticPr fontId="1"/>
  </si>
  <si>
    <t>表２</t>
    <phoneticPr fontId="1"/>
  </si>
  <si>
    <t>損益計算書の状況</t>
    <phoneticPr fontId="1"/>
  </si>
  <si>
    <t>表３－①　キャッシュ・フロー計算書の状況（平成25年度）</t>
    <phoneticPr fontId="1"/>
  </si>
  <si>
    <t>表３</t>
    <phoneticPr fontId="1"/>
  </si>
  <si>
    <t>キャッシュ・フロー計算書の状況</t>
    <phoneticPr fontId="1"/>
  </si>
  <si>
    <t>表４</t>
  </si>
  <si>
    <t>表５</t>
  </si>
  <si>
    <t>表６</t>
  </si>
  <si>
    <t>表７</t>
  </si>
  <si>
    <t>表８</t>
  </si>
  <si>
    <t>表９</t>
  </si>
  <si>
    <t>表１０</t>
  </si>
  <si>
    <t>表１１</t>
  </si>
  <si>
    <t>表１２</t>
  </si>
  <si>
    <t>表１３</t>
  </si>
  <si>
    <t>表１４</t>
  </si>
  <si>
    <t>利益剰余金と利益処分の状況</t>
    <phoneticPr fontId="1"/>
  </si>
  <si>
    <t>行政サービス実施コストの状況</t>
    <phoneticPr fontId="1"/>
  </si>
  <si>
    <t>国庫納付による支出の状況</t>
    <phoneticPr fontId="1"/>
  </si>
  <si>
    <t>法定勘定区分及びセグメント区分の状況</t>
    <phoneticPr fontId="1"/>
  </si>
  <si>
    <t>運営費交付金の収益化基準の採用状況</t>
    <phoneticPr fontId="1"/>
  </si>
  <si>
    <t>表９－①　関係法人の状況（25年度）</t>
    <rPh sb="0" eb="1">
      <t>ヒョウ</t>
    </rPh>
    <rPh sb="5" eb="7">
      <t>カンケイ</t>
    </rPh>
    <rPh sb="7" eb="9">
      <t>ホウジン</t>
    </rPh>
    <rPh sb="10" eb="12">
      <t>ジョウキョウ</t>
    </rPh>
    <rPh sb="15" eb="17">
      <t>ネンド</t>
    </rPh>
    <phoneticPr fontId="1"/>
  </si>
  <si>
    <t>表９－②　関係法人の状況（26年度）</t>
    <rPh sb="0" eb="1">
      <t>ヒョウ</t>
    </rPh>
    <rPh sb="5" eb="7">
      <t>カンケイ</t>
    </rPh>
    <rPh sb="7" eb="9">
      <t>ホウジン</t>
    </rPh>
    <rPh sb="10" eb="12">
      <t>ジョウキョウ</t>
    </rPh>
    <rPh sb="15" eb="17">
      <t>ネンド</t>
    </rPh>
    <phoneticPr fontId="1"/>
  </si>
  <si>
    <t>関係法人の状況</t>
    <phoneticPr fontId="1"/>
  </si>
  <si>
    <t>表１０　独立行政法人の平成27年度計画における予算額（収入）</t>
    <rPh sb="0" eb="1">
      <t>ヒョウ</t>
    </rPh>
    <rPh sb="4" eb="6">
      <t>ドクリツ</t>
    </rPh>
    <rPh sb="6" eb="8">
      <t>ギョウセイ</t>
    </rPh>
    <rPh sb="8" eb="10">
      <t>ホウジン</t>
    </rPh>
    <rPh sb="11" eb="13">
      <t>ヘイセイ</t>
    </rPh>
    <rPh sb="15" eb="17">
      <t>ネンド</t>
    </rPh>
    <rPh sb="17" eb="19">
      <t>ケイカク</t>
    </rPh>
    <rPh sb="23" eb="26">
      <t>ヨサンガク</t>
    </rPh>
    <rPh sb="27" eb="29">
      <t>シュウニュウ</t>
    </rPh>
    <phoneticPr fontId="1"/>
  </si>
  <si>
    <t>表１１　独立行政法人の平成27年度計画における予算額（支出）</t>
    <rPh sb="0" eb="1">
      <t>ヒョウ</t>
    </rPh>
    <rPh sb="4" eb="6">
      <t>ドクリツ</t>
    </rPh>
    <rPh sb="6" eb="8">
      <t>ギョウセイ</t>
    </rPh>
    <rPh sb="8" eb="10">
      <t>ホウジン</t>
    </rPh>
    <rPh sb="11" eb="13">
      <t>ヘイセイ</t>
    </rPh>
    <rPh sb="15" eb="17">
      <t>ネンド</t>
    </rPh>
    <rPh sb="17" eb="19">
      <t>ケイカク</t>
    </rPh>
    <rPh sb="23" eb="26">
      <t>ヨサンガク</t>
    </rPh>
    <rPh sb="27" eb="29">
      <t>シシュツ</t>
    </rPh>
    <phoneticPr fontId="1"/>
  </si>
  <si>
    <t>平成27年度</t>
    <rPh sb="0" eb="2">
      <t>ヘイセイ</t>
    </rPh>
    <rPh sb="4" eb="6">
      <t>ネンド</t>
    </rPh>
    <phoneticPr fontId="1"/>
  </si>
  <si>
    <t>●</t>
    <phoneticPr fontId="1"/>
  </si>
  <si>
    <t>表１２－①　独立行政法人の平成25年度決算（収入）</t>
    <rPh sb="0" eb="1">
      <t>ヒョウ</t>
    </rPh>
    <rPh sb="6" eb="8">
      <t>ドクリツ</t>
    </rPh>
    <rPh sb="8" eb="10">
      <t>ギョウセイ</t>
    </rPh>
    <rPh sb="10" eb="12">
      <t>ホウジン</t>
    </rPh>
    <rPh sb="13" eb="15">
      <t>ヘイセイ</t>
    </rPh>
    <rPh sb="17" eb="19">
      <t>ネンド</t>
    </rPh>
    <rPh sb="19" eb="21">
      <t>ケッサン</t>
    </rPh>
    <rPh sb="22" eb="24">
      <t>シュウニュウ</t>
    </rPh>
    <phoneticPr fontId="1"/>
  </si>
  <si>
    <t>表１２－②　独立行政法人の平成26年度決算（収入）</t>
    <rPh sb="0" eb="1">
      <t>ヒョウ</t>
    </rPh>
    <rPh sb="6" eb="8">
      <t>ドクリツ</t>
    </rPh>
    <rPh sb="8" eb="10">
      <t>ギョウセイ</t>
    </rPh>
    <rPh sb="10" eb="12">
      <t>ホウジン</t>
    </rPh>
    <rPh sb="13" eb="15">
      <t>ヘイセイ</t>
    </rPh>
    <rPh sb="17" eb="19">
      <t>ネンド</t>
    </rPh>
    <rPh sb="19" eb="21">
      <t>ケッサン</t>
    </rPh>
    <rPh sb="22" eb="24">
      <t>シュウニュウ</t>
    </rPh>
    <phoneticPr fontId="1"/>
  </si>
  <si>
    <t>表１３－①　独立行政法人の平成25年度決算（支出）</t>
    <rPh sb="0" eb="1">
      <t>ヒョウ</t>
    </rPh>
    <rPh sb="6" eb="8">
      <t>ドクリツ</t>
    </rPh>
    <rPh sb="8" eb="10">
      <t>ギョウセイ</t>
    </rPh>
    <rPh sb="10" eb="12">
      <t>ホウジン</t>
    </rPh>
    <rPh sb="13" eb="15">
      <t>ヘイセイ</t>
    </rPh>
    <rPh sb="17" eb="19">
      <t>ネンド</t>
    </rPh>
    <rPh sb="19" eb="21">
      <t>ケッサン</t>
    </rPh>
    <rPh sb="22" eb="24">
      <t>シシュツ</t>
    </rPh>
    <phoneticPr fontId="1"/>
  </si>
  <si>
    <t>表１３－②　独立行政法人の平成26年度決算（支出）</t>
    <rPh sb="0" eb="1">
      <t>ヒョウ</t>
    </rPh>
    <rPh sb="6" eb="8">
      <t>ドクリツ</t>
    </rPh>
    <rPh sb="8" eb="10">
      <t>ギョウセイ</t>
    </rPh>
    <rPh sb="10" eb="12">
      <t>ホウジン</t>
    </rPh>
    <rPh sb="13" eb="15">
      <t>ヘイセイ</t>
    </rPh>
    <rPh sb="17" eb="19">
      <t>ネンド</t>
    </rPh>
    <rPh sb="19" eb="21">
      <t>ケッサン</t>
    </rPh>
    <rPh sb="22" eb="24">
      <t>シシュツ</t>
    </rPh>
    <phoneticPr fontId="1"/>
  </si>
  <si>
    <t>独立行政法人の決算（支出）</t>
    <phoneticPr fontId="1"/>
  </si>
  <si>
    <t>独立行政法人の決算（収入）</t>
    <phoneticPr fontId="1"/>
  </si>
  <si>
    <t>独立行政法人の年度計画における予算額（支出）</t>
    <phoneticPr fontId="1"/>
  </si>
  <si>
    <t>独立行政法人の年度計画における予算額（収入）</t>
    <phoneticPr fontId="1"/>
  </si>
  <si>
    <t>役職員の状況</t>
    <phoneticPr fontId="1"/>
  </si>
  <si>
    <t>★目次★</t>
    <rPh sb="1" eb="3">
      <t>モクジ</t>
    </rPh>
    <phoneticPr fontId="1"/>
  </si>
  <si>
    <t>表７－②　法定勘定区分及びセグメント区分の状況（平成26年度）</t>
    <rPh sb="5" eb="7">
      <t>ホウテイ</t>
    </rPh>
    <rPh sb="7" eb="9">
      <t>カンジョウ</t>
    </rPh>
    <rPh sb="9" eb="11">
      <t>クブン</t>
    </rPh>
    <rPh sb="11" eb="12">
      <t>オヨ</t>
    </rPh>
    <rPh sb="18" eb="20">
      <t>クブン</t>
    </rPh>
    <rPh sb="21" eb="23">
      <t>ジョウキョウ</t>
    </rPh>
    <rPh sb="24" eb="26">
      <t>ヘイセイ</t>
    </rPh>
    <rPh sb="28" eb="29">
      <t>ネン</t>
    </rPh>
    <rPh sb="29" eb="30">
      <t>ド</t>
    </rPh>
    <phoneticPr fontId="1"/>
  </si>
  <si>
    <t>＃</t>
    <phoneticPr fontId="1"/>
  </si>
  <si>
    <t>法人の長・理事</t>
    <rPh sb="0" eb="2">
      <t>ホウジン</t>
    </rPh>
    <rPh sb="3" eb="4">
      <t>チョウ</t>
    </rPh>
    <rPh sb="5" eb="7">
      <t>リジ</t>
    </rPh>
    <phoneticPr fontId="1"/>
  </si>
  <si>
    <t>合計（101法人）</t>
    <rPh sb="0" eb="2">
      <t>ゴウケイ</t>
    </rPh>
    <rPh sb="6" eb="8">
      <t>ホウジン</t>
    </rPh>
    <phoneticPr fontId="1"/>
  </si>
  <si>
    <t>（注）平成25年度の各法人の事業報告書等に基づく。</t>
    <rPh sb="14" eb="16">
      <t>ジギョウ</t>
    </rPh>
    <rPh sb="16" eb="19">
      <t>ホウコクショ</t>
    </rPh>
    <rPh sb="19" eb="20">
      <t>ナド</t>
    </rPh>
    <phoneticPr fontId="1"/>
  </si>
  <si>
    <t>合計（98法人）</t>
    <rPh sb="0" eb="2">
      <t>ゴウケイ</t>
    </rPh>
    <rPh sb="5" eb="7">
      <t>ホウジン</t>
    </rPh>
    <phoneticPr fontId="1"/>
  </si>
  <si>
    <t>（注）平成26年度の各法人の事業報告書等に基づく。</t>
    <rPh sb="14" eb="16">
      <t>ジギョウ</t>
    </rPh>
    <rPh sb="16" eb="19">
      <t>ホウコクショ</t>
    </rPh>
    <rPh sb="19" eb="20">
      <t>ナド</t>
    </rPh>
    <phoneticPr fontId="1"/>
  </si>
  <si>
    <t>表１４－①　役職員の状況（平成25年度）</t>
    <rPh sb="0" eb="1">
      <t>ヒョウ</t>
    </rPh>
    <rPh sb="6" eb="9">
      <t>ヤクショクイン</t>
    </rPh>
    <rPh sb="10" eb="12">
      <t>ジョウキョウ</t>
    </rPh>
    <rPh sb="13" eb="15">
      <t>ヘイセイ</t>
    </rPh>
    <rPh sb="17" eb="19">
      <t>ネンド</t>
    </rPh>
    <phoneticPr fontId="1"/>
  </si>
  <si>
    <t>表１４－②　役職員の状況（平成26年度）</t>
    <rPh sb="0" eb="1">
      <t>ヒョウ</t>
    </rPh>
    <rPh sb="6" eb="9">
      <t>ヤクショクイン</t>
    </rPh>
    <rPh sb="10" eb="12">
      <t>ジョウキョウ</t>
    </rPh>
    <rPh sb="13" eb="15">
      <t>ヘイセイ</t>
    </rPh>
    <rPh sb="17" eb="19">
      <t>ネンド</t>
    </rPh>
    <phoneticPr fontId="1"/>
  </si>
  <si>
    <t>独立行政法人の業務・財務の状況について</t>
  </si>
  <si>
    <t>(注）　本資料は公表資料を元に総務省が独自にとりまとめたものです。</t>
    <rPh sb="1" eb="2">
      <t>チュウ</t>
    </rPh>
    <rPh sb="13" eb="14">
      <t>モト</t>
    </rPh>
    <phoneticPr fontId="1"/>
  </si>
  <si>
    <t>（注）１　平成25年度の各法人の貸借対照表（法人単位）に基づく。
　　　２　有形固定資産については減価償却累計額、減損損失累計額を控除した残高を記載。
　　</t>
    <phoneticPr fontId="1"/>
  </si>
  <si>
    <t>（注）１　平成25年度の各法人の貸借対照表（法人単位）に基づく。
　　　２　区分経理を行っている場合、勘定ごとの財務諸表を合算する形で作成している。</t>
    <rPh sb="13" eb="15">
      <t>ホウジン</t>
    </rPh>
    <rPh sb="61" eb="63">
      <t>ガッサン</t>
    </rPh>
    <rPh sb="65" eb="66">
      <t>カタチ</t>
    </rPh>
    <rPh sb="67" eb="69">
      <t>サクセイ</t>
    </rPh>
    <phoneticPr fontId="1"/>
  </si>
  <si>
    <t>（注）１　平成26年度の各法人の貸借対照表（法人単位）に基づく。
　　　２　区分経理を行っている場合、勘定ごとの財務諸表を合算する形で作成している。</t>
    <rPh sb="13" eb="15">
      <t>ホウジン</t>
    </rPh>
    <rPh sb="61" eb="63">
      <t>ガッサン</t>
    </rPh>
    <rPh sb="65" eb="66">
      <t>カタチ</t>
    </rPh>
    <rPh sb="67" eb="69">
      <t>サクセイ</t>
    </rPh>
    <phoneticPr fontId="1"/>
  </si>
  <si>
    <t>（注）平成25年度の各法人の行政サービスコスト計算書（法人単位）に基づく。
　　　</t>
    <phoneticPr fontId="1"/>
  </si>
  <si>
    <t xml:space="preserve">（注）　各法人が作成・公表している平成27年度計画に記載されている年度当初予算（法人単位）に基づく。
　　　　※　法人単位の年度予算を作成していない場合は、法定勘定の金額を合算して作成している。
</t>
    <rPh sb="46" eb="47">
      <t>モト</t>
    </rPh>
    <rPh sb="90" eb="92">
      <t>サクセイ</t>
    </rPh>
    <phoneticPr fontId="1"/>
  </si>
  <si>
    <t>（注）　各法人が作成・公表している平成27年度の年度計画に記載されている年度当初予算（法人単位）に基づく。
　　　　※　法人単位の年度予算を作成していない場合は、法定勘定の金額を合算して作成している。</t>
    <rPh sb="49" eb="50">
      <t>モト</t>
    </rPh>
    <rPh sb="93" eb="95">
      <t>サクセイ</t>
    </rPh>
    <phoneticPr fontId="1"/>
  </si>
  <si>
    <t>　　　　※　法人単位の年度予算を作成していない場合、法定勘定の金額を合算して作成している。</t>
    <rPh sb="38" eb="40">
      <t>サクセイ</t>
    </rPh>
    <phoneticPr fontId="1"/>
  </si>
  <si>
    <t>(注）１　平成25年度の各法人の損益計算書（法人単位）に基づく。
     ２  (参考)減価償却費は平成25年度の各法人の附属明細書に基づく。</t>
    <rPh sb="13" eb="15">
      <t>ホウジン</t>
    </rPh>
    <rPh sb="42" eb="44">
      <t>サンコウ</t>
    </rPh>
    <rPh sb="45" eb="47">
      <t>ゲンカ</t>
    </rPh>
    <rPh sb="47" eb="50">
      <t>ショウキャクヒ</t>
    </rPh>
    <rPh sb="51" eb="53">
      <t>ヘイセイ</t>
    </rPh>
    <rPh sb="55" eb="57">
      <t>ネンド</t>
    </rPh>
    <rPh sb="58" eb="61">
      <t>カクホウジン</t>
    </rPh>
    <rPh sb="62" eb="64">
      <t>フゾク</t>
    </rPh>
    <rPh sb="64" eb="67">
      <t>メイサイショ</t>
    </rPh>
    <rPh sb="68" eb="69">
      <t>モト</t>
    </rPh>
    <phoneticPr fontId="1"/>
  </si>
  <si>
    <t>(注）１　平成26年度の各独法の損益計算書（法人単位）に基づく。
     ２　(参考)減価償却費は平成26年度の各法人の附属明細書に基づく。</t>
    <rPh sb="65" eb="66">
      <t>カ</t>
    </rPh>
    <phoneticPr fontId="1"/>
  </si>
  <si>
    <t>-</t>
    <phoneticPr fontId="1"/>
  </si>
  <si>
    <t>（注）平成26年度『連結財務諸表』または『財務諸表』の「附属明細書」における
　　「特定関連会社、関連会社及び関連公益法人の概要」に基づく。</t>
    <rPh sb="1" eb="2">
      <t>チュウ</t>
    </rPh>
    <rPh sb="3" eb="5">
      <t>ヘイセイ</t>
    </rPh>
    <rPh sb="7" eb="9">
      <t>ネンド</t>
    </rPh>
    <rPh sb="21" eb="23">
      <t>ザイム</t>
    </rPh>
    <rPh sb="23" eb="25">
      <t>ショヒョウ</t>
    </rPh>
    <rPh sb="28" eb="30">
      <t>フゾク</t>
    </rPh>
    <rPh sb="30" eb="33">
      <t>メイサイショ</t>
    </rPh>
    <rPh sb="66" eb="67">
      <t>モト</t>
    </rPh>
    <phoneticPr fontId="1"/>
  </si>
  <si>
    <t>（注）平成25年度『連結財務諸表』または『財務諸表』の「附属明細書」における
　　「特定関連会社、関連会社及び関連公益法人の概要」に基づく。</t>
    <rPh sb="1" eb="2">
      <t>チュウ</t>
    </rPh>
    <rPh sb="3" eb="5">
      <t>ヘイセイ</t>
    </rPh>
    <rPh sb="7" eb="9">
      <t>ネンド</t>
    </rPh>
    <rPh sb="21" eb="23">
      <t>ザイム</t>
    </rPh>
    <rPh sb="23" eb="25">
      <t>ショヒョウ</t>
    </rPh>
    <rPh sb="28" eb="30">
      <t>フゾク</t>
    </rPh>
    <rPh sb="30" eb="33">
      <t>メイサイショ</t>
    </rPh>
    <rPh sb="66" eb="67">
      <t>モト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</si>
</sst>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quot;(&quot;0.00%&quot;)   &quot;;[Red]\-&quot;(&quot;0.00%&quot;)   &quot;;&quot;－    &quot;"/>
    <numFmt numFmtId="178" formatCode="&quot;(&quot;0%&quot;)   &quot;;[Red]\-&quot;(&quot;0%&quot;)   &quot;;&quot;－    &quot;"/>
    <numFmt numFmtId="179" formatCode="0.00%;[Red]\-0.00%;&quot;－&quot;"/>
    <numFmt numFmtId="180" formatCode="_ * #,##0,,_ ;_ * \△#,##0,,_ ;_ * &quot;-&quot;_ ;_ @_ "/>
    <numFmt numFmtId="181" formatCode="_ * #,##0.000,,_ ;_ * \△#,##0.000,,_ ;_ * &quot;-&quot;_ ;_ @_ "/>
    <numFmt numFmtId="182" formatCode="#,##0_ "/>
    <numFmt numFmtId="183" formatCode="#,##0.00_);[Red]\(#,##0.00\)"/>
  </numFmts>
  <fonts count="30">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Ｐゴシック"/>
      <family val="2"/>
      <charset val="128"/>
      <scheme val="minor"/>
    </font>
    <font>
      <sz val="10.5"/>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name val="ＭＳ ゴシック"/>
      <family val="3"/>
      <charset val="128"/>
    </font>
    <font>
      <sz val="10.5"/>
      <color theme="1"/>
      <name val="ＭＳ Ｐゴシック"/>
      <family val="2"/>
      <charset val="128"/>
      <scheme val="minor"/>
    </font>
    <font>
      <sz val="10.5"/>
      <color indexed="8"/>
      <name val="ＭＳ Ｐゴシック"/>
      <family val="3"/>
      <charset val="128"/>
    </font>
    <font>
      <b/>
      <sz val="14"/>
      <name val="ＭＳ Ｐゴシック"/>
      <family val="3"/>
      <charset val="128"/>
    </font>
    <font>
      <sz val="11"/>
      <name val="ＭＳ 明朝"/>
      <family val="1"/>
      <charset val="128"/>
    </font>
    <font>
      <sz val="10"/>
      <name val="ＭＳ Ｐゴシック"/>
      <family val="3"/>
      <charset val="128"/>
      <scheme val="minor"/>
    </font>
    <font>
      <sz val="10"/>
      <name val="ＭＳ Ｐゴシック"/>
      <family val="3"/>
      <charset val="128"/>
    </font>
    <font>
      <sz val="10"/>
      <name val="ＭＳ ゴシック"/>
      <family val="3"/>
      <charset val="128"/>
    </font>
    <font>
      <sz val="6"/>
      <name val="ｺﾞｼｯｸ"/>
      <family val="3"/>
      <charset val="128"/>
    </font>
    <font>
      <sz val="11"/>
      <name val="ＭＳ Ｐゴシック"/>
      <family val="3"/>
      <charset val="128"/>
      <scheme val="minor"/>
    </font>
    <font>
      <sz val="10"/>
      <name val="HGPｺﾞｼｯｸM"/>
      <family val="3"/>
      <charset val="128"/>
    </font>
    <font>
      <u/>
      <sz val="11"/>
      <color theme="10"/>
      <name val="ＭＳ Ｐゴシック"/>
      <family val="2"/>
      <charset val="128"/>
      <scheme val="minor"/>
    </font>
    <font>
      <b/>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color theme="1"/>
      <name val="ＭＳ ゴシック"/>
      <family val="3"/>
      <charset val="128"/>
    </font>
    <font>
      <b/>
      <sz val="16"/>
      <color theme="1"/>
      <name val="ＭＳ ゴシック"/>
      <family val="3"/>
      <charset val="128"/>
    </font>
    <font>
      <sz val="12"/>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medium">
        <color indexed="64"/>
      </left>
      <right style="thin">
        <color indexed="64"/>
      </right>
      <top/>
      <bottom style="hair">
        <color auto="1"/>
      </bottom>
      <diagonal/>
    </border>
    <border>
      <left style="thin">
        <color indexed="64"/>
      </left>
      <right style="medium">
        <color indexed="64"/>
      </right>
      <top/>
      <bottom style="hair">
        <color auto="1"/>
      </bottom>
      <diagonal/>
    </border>
    <border>
      <left style="medium">
        <color indexed="64"/>
      </left>
      <right style="thin">
        <color indexed="64"/>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style="thin">
        <color indexed="64"/>
      </right>
      <top style="hair">
        <color auto="1"/>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style="medium">
        <color indexed="64"/>
      </right>
      <top style="hair">
        <color auto="1"/>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46">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0" fontId="7" fillId="0" borderId="0"/>
    <xf numFmtId="9" fontId="7" fillId="0" borderId="0" applyFont="0" applyFill="0" applyBorder="0" applyAlignment="0" applyProtection="0"/>
    <xf numFmtId="0" fontId="9" fillId="0" borderId="0">
      <alignment vertical="center"/>
    </xf>
    <xf numFmtId="38" fontId="7"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9" fontId="7" fillId="0" borderId="0" applyFont="0" applyFill="0" applyBorder="0" applyAlignment="0" applyProtection="0">
      <alignment vertical="center"/>
    </xf>
    <xf numFmtId="9" fontId="9" fillId="0" borderId="0" applyFont="0" applyFill="0" applyBorder="0" applyAlignment="0" applyProtection="0">
      <alignment vertical="center"/>
    </xf>
    <xf numFmtId="178" fontId="12" fillId="0" borderId="0" applyFont="0" applyFill="0" applyBorder="0" applyAlignment="0" applyProtection="0"/>
    <xf numFmtId="177" fontId="12" fillId="0" borderId="0" applyFont="0" applyFill="0" applyBorder="0" applyAlignment="0" applyProtection="0">
      <alignment vertical="top"/>
    </xf>
    <xf numFmtId="179" fontId="12" fillId="0" borderId="0" applyFont="0" applyFill="0" applyBorder="0" applyAlignment="0" applyProtection="0"/>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7" fillId="0" borderId="0" applyFont="0" applyFill="0" applyBorder="0" applyAlignment="0" applyProtection="0"/>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38" fontId="9" fillId="0" borderId="0" applyFont="0" applyFill="0" applyBorder="0" applyAlignment="0" applyProtection="0">
      <alignment vertical="center"/>
    </xf>
    <xf numFmtId="38" fontId="11" fillId="0" borderId="0" applyFont="0" applyFill="0" applyBorder="0" applyAlignment="0" applyProtection="0">
      <alignment vertical="center"/>
    </xf>
    <xf numFmtId="176" fontId="7" fillId="0" borderId="0" applyFont="0" applyFill="0" applyBorder="0" applyAlignment="0" applyProtection="0">
      <alignment vertical="top"/>
    </xf>
    <xf numFmtId="38" fontId="9" fillId="0" borderId="0" applyFont="0" applyFill="0" applyBorder="0" applyAlignment="0" applyProtection="0">
      <alignment vertical="center"/>
    </xf>
    <xf numFmtId="38" fontId="6" fillId="0" borderId="0" applyFont="0" applyFill="0" applyBorder="0" applyAlignment="0" applyProtection="0">
      <alignment vertical="center"/>
    </xf>
    <xf numFmtId="0" fontId="15" fillId="0" borderId="0" applyFill="0" applyBorder="0" applyProtection="0"/>
    <xf numFmtId="0" fontId="16" fillId="0" borderId="0" applyNumberFormat="0" applyFont="0" applyFill="0" applyBorder="0">
      <alignment horizontal="left" vertical="top" wrapText="1"/>
    </xf>
    <xf numFmtId="0" fontId="7" fillId="0" borderId="0">
      <alignment vertical="center"/>
    </xf>
    <xf numFmtId="0" fontId="6" fillId="0" borderId="0">
      <alignment vertical="center"/>
    </xf>
    <xf numFmtId="176" fontId="12" fillId="0" borderId="0">
      <alignment vertical="top"/>
    </xf>
    <xf numFmtId="176" fontId="12" fillId="0" borderId="0">
      <alignment vertical="top"/>
    </xf>
    <xf numFmtId="0" fontId="9" fillId="0" borderId="0">
      <alignment vertical="center"/>
    </xf>
    <xf numFmtId="0" fontId="13" fillId="0" borderId="0">
      <alignment vertical="center"/>
    </xf>
    <xf numFmtId="0" fontId="5"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9" fillId="0" borderId="0">
      <alignment vertical="center"/>
    </xf>
    <xf numFmtId="0" fontId="5" fillId="0" borderId="0">
      <alignment vertical="center"/>
    </xf>
    <xf numFmtId="0" fontId="23" fillId="0" borderId="0" applyNumberFormat="0" applyFill="0" applyBorder="0" applyAlignment="0" applyProtection="0">
      <alignment vertical="center"/>
    </xf>
    <xf numFmtId="38" fontId="5" fillId="0" borderId="0" applyFont="0" applyFill="0" applyBorder="0" applyAlignment="0" applyProtection="0">
      <alignment vertical="center"/>
    </xf>
  </cellStyleXfs>
  <cellXfs count="200">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shrinkToFi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9" fillId="0" borderId="1" xfId="7" applyFont="1" applyFill="1" applyBorder="1" applyAlignment="1" applyProtection="1">
      <alignment horizontal="left" vertical="center"/>
    </xf>
    <xf numFmtId="0" fontId="19" fillId="0" borderId="1" xfId="7" applyFont="1" applyFill="1" applyBorder="1" applyAlignment="1" applyProtection="1">
      <alignment vertical="center"/>
    </xf>
    <xf numFmtId="0" fontId="18" fillId="0" borderId="1" xfId="3" applyFont="1" applyFill="1" applyBorder="1" applyAlignment="1" applyProtection="1">
      <alignment vertical="center" wrapText="1"/>
      <protection locked="0"/>
    </xf>
    <xf numFmtId="0" fontId="19" fillId="0" borderId="1" xfId="7" applyFont="1" applyFill="1" applyBorder="1" applyAlignment="1">
      <alignment vertical="center"/>
    </xf>
    <xf numFmtId="38" fontId="18" fillId="0" borderId="1" xfId="8" applyFont="1" applyFill="1" applyBorder="1" applyAlignment="1" applyProtection="1">
      <alignment horizontal="left" vertical="center"/>
      <protection locked="0"/>
    </xf>
    <xf numFmtId="0" fontId="17" fillId="0" borderId="1" xfId="3" applyFont="1" applyFill="1" applyBorder="1"/>
    <xf numFmtId="0" fontId="18" fillId="0" borderId="1" xfId="3" applyFont="1" applyFill="1" applyBorder="1" applyAlignment="1" applyProtection="1">
      <alignment horizontal="center" vertical="top" wrapText="1"/>
      <protection locked="0"/>
    </xf>
    <xf numFmtId="0" fontId="18" fillId="0" borderId="1" xfId="3" applyFont="1" applyFill="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180" fontId="2" fillId="0" borderId="1" xfId="0" applyNumberFormat="1" applyFont="1" applyBorder="1">
      <alignment vertical="center"/>
    </xf>
    <xf numFmtId="0" fontId="2" fillId="0" borderId="0" xfId="0" applyFont="1" applyAlignment="1">
      <alignment horizontal="right" vertical="center"/>
    </xf>
    <xf numFmtId="0" fontId="2" fillId="0" borderId="1" xfId="0" applyFont="1" applyFill="1" applyBorder="1" applyAlignment="1">
      <alignment horizontal="center" vertical="center" shrinkToFit="1"/>
    </xf>
    <xf numFmtId="0" fontId="2" fillId="0" borderId="1"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0" xfId="0" applyFont="1" applyBorder="1" applyAlignment="1">
      <alignment horizontal="center" vertical="center" wrapText="1"/>
    </xf>
    <xf numFmtId="180" fontId="2" fillId="0" borderId="0" xfId="0" applyNumberFormat="1" applyFont="1">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right" vertical="center"/>
    </xf>
    <xf numFmtId="0" fontId="2" fillId="0" borderId="0" xfId="0" applyFont="1" applyBorder="1" applyAlignment="1">
      <alignment horizontal="center" vertical="center"/>
    </xf>
    <xf numFmtId="180" fontId="2" fillId="0" borderId="0" xfId="0" applyNumberFormat="1" applyFont="1" applyBorder="1">
      <alignment vertical="center"/>
    </xf>
    <xf numFmtId="0" fontId="2" fillId="0" borderId="0" xfId="0" applyFont="1" applyBorder="1">
      <alignment vertical="center"/>
    </xf>
    <xf numFmtId="0" fontId="2"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80" fontId="2" fillId="0" borderId="1" xfId="0" applyNumberFormat="1" applyFont="1" applyFill="1" applyBorder="1">
      <alignment vertical="center"/>
    </xf>
    <xf numFmtId="0" fontId="2" fillId="0" borderId="1" xfId="0" applyFont="1" applyBorder="1" applyAlignment="1">
      <alignment horizontal="center" vertical="center"/>
    </xf>
    <xf numFmtId="0" fontId="2" fillId="0" borderId="0" xfId="0" applyFont="1" applyFill="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vertical="center" wrapText="1"/>
    </xf>
    <xf numFmtId="0" fontId="2" fillId="0" borderId="1" xfId="0" applyNumberFormat="1"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80" fontId="2" fillId="2" borderId="1" xfId="0" applyNumberFormat="1" applyFont="1" applyFill="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80" fontId="12" fillId="0" borderId="1" xfId="0" applyNumberFormat="1" applyFont="1" applyFill="1" applyBorder="1">
      <alignment vertical="center"/>
    </xf>
    <xf numFmtId="180" fontId="2" fillId="0" borderId="1" xfId="0" applyNumberFormat="1" applyFont="1" applyFill="1" applyBorder="1" applyAlignment="1">
      <alignment horizontal="right" vertical="center"/>
    </xf>
    <xf numFmtId="180" fontId="2" fillId="0" borderId="5" xfId="0" applyNumberFormat="1" applyFont="1" applyFill="1" applyBorder="1" applyAlignment="1">
      <alignment horizontal="right" vertical="center"/>
    </xf>
    <xf numFmtId="180" fontId="2" fillId="0" borderId="5" xfId="0" applyNumberFormat="1" applyFont="1" applyFill="1" applyBorder="1">
      <alignment vertical="center"/>
    </xf>
    <xf numFmtId="180" fontId="2" fillId="2" borderId="2" xfId="0" applyNumberFormat="1" applyFont="1" applyFill="1" applyBorder="1">
      <alignment vertical="center"/>
    </xf>
    <xf numFmtId="180" fontId="2" fillId="2" borderId="6" xfId="0" applyNumberFormat="1" applyFont="1" applyFill="1" applyBorder="1">
      <alignment vertical="center"/>
    </xf>
    <xf numFmtId="180" fontId="12" fillId="2" borderId="1" xfId="0" applyNumberFormat="1" applyFont="1" applyFill="1" applyBorder="1">
      <alignment vertical="center"/>
    </xf>
    <xf numFmtId="180" fontId="2" fillId="0" borderId="2" xfId="0" applyNumberFormat="1" applyFont="1" applyFill="1" applyBorder="1">
      <alignment vertical="center"/>
    </xf>
    <xf numFmtId="180" fontId="2" fillId="0" borderId="4" xfId="0" applyNumberFormat="1" applyFont="1" applyFill="1" applyBorder="1">
      <alignment vertical="center"/>
    </xf>
    <xf numFmtId="181" fontId="2" fillId="0" borderId="1" xfId="0" applyNumberFormat="1" applyFont="1" applyFill="1" applyBorder="1">
      <alignment vertical="center"/>
    </xf>
    <xf numFmtId="180" fontId="2" fillId="2" borderId="1" xfId="0" applyNumberFormat="1" applyFont="1" applyFill="1" applyBorder="1" applyAlignment="1">
      <alignment horizontal="righ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80" fontId="2" fillId="0" borderId="1" xfId="0" applyNumberFormat="1" applyFont="1" applyBorder="1" applyAlignment="1">
      <alignment horizontal="righ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Fill="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183" fontId="21" fillId="0" borderId="1" xfId="3" applyNumberFormat="1" applyFont="1" applyFill="1" applyBorder="1" applyAlignment="1">
      <alignment vertical="center" wrapText="1"/>
    </xf>
    <xf numFmtId="182" fontId="7" fillId="0" borderId="2" xfId="3" applyNumberFormat="1" applyFont="1" applyFill="1" applyBorder="1" applyAlignment="1">
      <alignment horizontal="center" vertical="center" wrapText="1"/>
    </xf>
    <xf numFmtId="183" fontId="7" fillId="0" borderId="1" xfId="3" applyNumberFormat="1" applyFont="1" applyFill="1" applyBorder="1" applyAlignment="1">
      <alignment vertical="center" wrapText="1"/>
    </xf>
    <xf numFmtId="183" fontId="21" fillId="0" borderId="1" xfId="3" applyNumberFormat="1" applyFont="1" applyFill="1" applyBorder="1" applyAlignment="1">
      <alignment vertical="top" wrapText="1"/>
    </xf>
    <xf numFmtId="183" fontId="7" fillId="0" borderId="1" xfId="3"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183" fontId="12" fillId="0" borderId="1" xfId="3" applyNumberFormat="1" applyFont="1" applyFill="1" applyBorder="1" applyAlignment="1">
      <alignment horizontal="left" vertical="center" wrapText="1"/>
    </xf>
    <xf numFmtId="182" fontId="12" fillId="0" borderId="2" xfId="3" applyNumberFormat="1" applyFont="1" applyFill="1" applyBorder="1" applyAlignment="1">
      <alignment horizontal="center" vertical="center" wrapText="1"/>
    </xf>
    <xf numFmtId="183" fontId="12" fillId="0" borderId="1" xfId="3" applyNumberFormat="1" applyFont="1" applyFill="1" applyBorder="1" applyAlignment="1">
      <alignment vertical="center" wrapText="1"/>
    </xf>
    <xf numFmtId="3" fontId="12" fillId="0" borderId="1" xfId="3" applyNumberFormat="1" applyFont="1" applyFill="1" applyBorder="1" applyAlignment="1">
      <alignment horizontal="center" vertical="center"/>
    </xf>
    <xf numFmtId="3" fontId="12" fillId="0" borderId="5" xfId="3" applyNumberFormat="1" applyFont="1" applyFill="1" applyBorder="1" applyAlignment="1">
      <alignment horizontal="center" vertical="center"/>
    </xf>
    <xf numFmtId="0" fontId="2" fillId="0" borderId="1" xfId="0" applyFont="1" applyFill="1" applyBorder="1" applyAlignment="1">
      <alignment horizontal="center" vertical="top" wrapText="1"/>
    </xf>
    <xf numFmtId="0" fontId="2" fillId="0" borderId="6" xfId="0" applyFont="1" applyBorder="1" applyAlignment="1">
      <alignment horizontal="center" vertical="center"/>
    </xf>
    <xf numFmtId="0" fontId="2" fillId="0" borderId="0" xfId="0" applyFont="1" applyFill="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Fill="1" applyBorder="1" applyAlignment="1">
      <alignment horizontal="center" vertical="center" wrapText="1"/>
    </xf>
    <xf numFmtId="180" fontId="2" fillId="0" borderId="1" xfId="0" applyNumberFormat="1"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38" fontId="2" fillId="0" borderId="1" xfId="0" applyNumberFormat="1" applyFont="1" applyFill="1" applyBorder="1">
      <alignment vertical="center"/>
    </xf>
    <xf numFmtId="180" fontId="2" fillId="0" borderId="1" xfId="0" applyNumberFormat="1" applyFont="1" applyFill="1" applyBorder="1" applyAlignment="1">
      <alignment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180" fontId="2" fillId="0" borderId="6" xfId="0" applyNumberFormat="1" applyFont="1" applyBorder="1">
      <alignment vertical="center"/>
    </xf>
    <xf numFmtId="0" fontId="2" fillId="0" borderId="14" xfId="0" applyFont="1" applyBorder="1" applyAlignment="1">
      <alignment horizontal="center" vertical="center"/>
    </xf>
    <xf numFmtId="0" fontId="2" fillId="0" borderId="14" xfId="0" applyFont="1" applyBorder="1">
      <alignment vertical="center"/>
    </xf>
    <xf numFmtId="180" fontId="2" fillId="0" borderId="14" xfId="0" applyNumberFormat="1" applyFont="1" applyBorder="1">
      <alignment vertical="center"/>
    </xf>
    <xf numFmtId="0" fontId="2" fillId="0" borderId="6" xfId="0" applyFont="1" applyBorder="1" applyAlignment="1">
      <alignment vertical="center" wrapText="1"/>
    </xf>
    <xf numFmtId="0" fontId="2" fillId="0" borderId="14" xfId="0" applyFont="1" applyBorder="1" applyAlignment="1">
      <alignment vertical="center"/>
    </xf>
    <xf numFmtId="0" fontId="2" fillId="0" borderId="14" xfId="0" applyFont="1" applyBorder="1" applyAlignment="1">
      <alignment vertical="center" wrapText="1"/>
    </xf>
    <xf numFmtId="180" fontId="2" fillId="0" borderId="14" xfId="0" applyNumberFormat="1" applyFont="1" applyFill="1" applyBorder="1">
      <alignment vertical="center"/>
    </xf>
    <xf numFmtId="0" fontId="0" fillId="0" borderId="18" xfId="0" applyBorder="1">
      <alignment vertical="center"/>
    </xf>
    <xf numFmtId="0" fontId="23" fillId="0" borderId="18" xfId="44" applyBorder="1" applyAlignment="1">
      <alignment horizontal="center" vertical="center"/>
    </xf>
    <xf numFmtId="0" fontId="0" fillId="0" borderId="19" xfId="0" applyBorder="1">
      <alignment vertical="center"/>
    </xf>
    <xf numFmtId="0" fontId="23" fillId="0" borderId="19" xfId="44" quotePrefix="1" applyBorder="1" applyAlignment="1">
      <alignment horizontal="center" vertical="center"/>
    </xf>
    <xf numFmtId="0" fontId="23" fillId="0" borderId="19" xfId="44" applyBorder="1" applyAlignment="1">
      <alignment horizontal="center" vertical="center"/>
    </xf>
    <xf numFmtId="0" fontId="0" fillId="3" borderId="18" xfId="0" applyFill="1" applyBorder="1" applyAlignment="1">
      <alignment horizontal="center" vertical="center"/>
    </xf>
    <xf numFmtId="0" fontId="0" fillId="0" borderId="20" xfId="0" applyBorder="1" applyAlignment="1">
      <alignment horizontal="center" vertical="center"/>
    </xf>
    <xf numFmtId="0" fontId="0" fillId="3" borderId="21" xfId="0" applyFill="1" applyBorder="1" applyAlignment="1">
      <alignment horizontal="center" vertical="center"/>
    </xf>
    <xf numFmtId="0" fontId="0" fillId="0" borderId="22" xfId="0" applyBorder="1" applyAlignment="1">
      <alignment horizontal="center" vertical="center"/>
    </xf>
    <xf numFmtId="0" fontId="0" fillId="3" borderId="23" xfId="0" applyFill="1" applyBorder="1" applyAlignment="1">
      <alignment horizontal="center" vertical="center"/>
    </xf>
    <xf numFmtId="0" fontId="23" fillId="0" borderId="23" xfId="44" applyBorder="1" applyAlignment="1">
      <alignment horizontal="center" vertical="center"/>
    </xf>
    <xf numFmtId="0" fontId="0" fillId="0" borderId="24" xfId="0" applyBorder="1" applyAlignment="1">
      <alignment horizontal="center" vertical="center"/>
    </xf>
    <xf numFmtId="0" fontId="0" fillId="0" borderId="25" xfId="0" applyBorder="1">
      <alignment vertical="center"/>
    </xf>
    <xf numFmtId="0" fontId="23" fillId="0" borderId="25" xfId="44" applyBorder="1" applyAlignment="1">
      <alignment horizontal="center" vertical="center"/>
    </xf>
    <xf numFmtId="0" fontId="0" fillId="3" borderId="26" xfId="0" applyFill="1" applyBorder="1" applyAlignment="1">
      <alignment horizontal="center" vertical="center"/>
    </xf>
    <xf numFmtId="0" fontId="24" fillId="4" borderId="27" xfId="0" applyFont="1" applyFill="1" applyBorder="1" applyAlignment="1">
      <alignment horizontal="center" vertical="center"/>
    </xf>
    <xf numFmtId="0" fontId="24" fillId="4" borderId="28" xfId="0" applyFont="1" applyFill="1" applyBorder="1" applyAlignment="1">
      <alignment horizontal="center" vertical="center"/>
    </xf>
    <xf numFmtId="0" fontId="24" fillId="4" borderId="28" xfId="0" applyFont="1" applyFill="1" applyBorder="1">
      <alignment vertical="center"/>
    </xf>
    <xf numFmtId="0" fontId="24" fillId="4" borderId="29" xfId="0" applyFont="1" applyFill="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7" fillId="0" borderId="0" xfId="0" applyFont="1">
      <alignment vertical="center"/>
    </xf>
    <xf numFmtId="0" fontId="24" fillId="0" borderId="0" xfId="0" applyFont="1" applyAlignment="1">
      <alignment horizontal="right" vertical="center"/>
    </xf>
    <xf numFmtId="38" fontId="2" fillId="0" borderId="0" xfId="45" applyFont="1">
      <alignment vertical="center"/>
    </xf>
    <xf numFmtId="38" fontId="2" fillId="0" borderId="1" xfId="45" applyFont="1" applyBorder="1">
      <alignment vertical="center"/>
    </xf>
    <xf numFmtId="38" fontId="2" fillId="0" borderId="1" xfId="45" applyFont="1" applyFill="1" applyBorder="1">
      <alignment vertical="center"/>
    </xf>
    <xf numFmtId="0" fontId="2" fillId="0" borderId="14" xfId="0" applyFont="1" applyFill="1" applyBorder="1" applyAlignment="1">
      <alignment horizontal="center" vertical="center"/>
    </xf>
    <xf numFmtId="0" fontId="2" fillId="0" borderId="14" xfId="0" applyFont="1" applyBorder="1" applyAlignment="1">
      <alignment horizontal="center" vertical="center" wrapText="1"/>
    </xf>
    <xf numFmtId="38" fontId="2" fillId="0" borderId="14" xfId="45" applyFont="1" applyBorder="1">
      <alignment vertical="center"/>
    </xf>
    <xf numFmtId="38" fontId="2" fillId="0" borderId="6" xfId="45" applyFont="1" applyBorder="1" applyAlignment="1">
      <alignment vertical="center" wrapText="1"/>
    </xf>
    <xf numFmtId="0" fontId="2" fillId="0" borderId="0" xfId="0" applyFont="1" applyBorder="1" applyAlignment="1">
      <alignment horizontal="center" vertical="center" wrapText="1"/>
    </xf>
    <xf numFmtId="38" fontId="2" fillId="0" borderId="0" xfId="45" applyFont="1" applyBorder="1" applyAlignment="1">
      <alignment horizontal="center" vertical="center" wrapText="1"/>
    </xf>
    <xf numFmtId="0" fontId="2" fillId="0" borderId="1" xfId="0" applyFont="1" applyBorder="1" applyAlignment="1">
      <alignment horizontal="center" vertical="center"/>
    </xf>
    <xf numFmtId="0" fontId="29" fillId="0" borderId="0" xfId="0" applyFont="1">
      <alignment vertical="center"/>
    </xf>
    <xf numFmtId="0" fontId="2" fillId="0" borderId="1" xfId="0" applyFont="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8"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Fill="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vertical="center" wrapText="1"/>
    </xf>
    <xf numFmtId="0" fontId="2" fillId="0" borderId="5" xfId="0" applyFont="1" applyBorder="1" applyAlignment="1">
      <alignment horizontal="center" vertical="center" wrapText="1"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vertical="top" wrapText="1"/>
    </xf>
    <xf numFmtId="0" fontId="2" fillId="0" borderId="0" xfId="0" applyFont="1" applyFill="1" applyAlignment="1">
      <alignment vertical="center" wrapText="1"/>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1" xfId="0" applyFont="1" applyBorder="1" applyAlignment="1">
      <alignment horizontal="center" vertical="center"/>
    </xf>
    <xf numFmtId="0" fontId="2" fillId="0" borderId="10"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2" fillId="0" borderId="12" xfId="0" applyFont="1" applyBorder="1" applyAlignment="1">
      <alignment horizontal="center" vertical="center"/>
    </xf>
    <xf numFmtId="0" fontId="2" fillId="0" borderId="0" xfId="0" applyFont="1" applyFill="1" applyBorder="1" applyAlignment="1">
      <alignment vertical="top" wrapText="1"/>
    </xf>
    <xf numFmtId="0" fontId="2" fillId="0" borderId="1" xfId="0" applyFont="1" applyBorder="1" applyAlignment="1">
      <alignment horizontal="center" vertical="center" wrapText="1"/>
    </xf>
    <xf numFmtId="0" fontId="2" fillId="0" borderId="0" xfId="0" applyFont="1" applyFill="1" applyAlignment="1">
      <alignment horizontal="left" vertical="center" wrapText="1"/>
    </xf>
    <xf numFmtId="38" fontId="2" fillId="0" borderId="5" xfId="45" applyFont="1" applyBorder="1" applyAlignment="1">
      <alignment horizontal="center" vertical="center"/>
    </xf>
    <xf numFmtId="38" fontId="2" fillId="0" borderId="6" xfId="45" applyFont="1" applyBorder="1" applyAlignment="1">
      <alignment horizontal="center" vertical="center"/>
    </xf>
  </cellXfs>
  <cellStyles count="46">
    <cellStyle name="パーセント 2" xfId="9"/>
    <cellStyle name="パーセント 2 2" xfId="4"/>
    <cellStyle name="パーセント 3" xfId="10"/>
    <cellStyle name="パーセント()" xfId="11"/>
    <cellStyle name="パーセント(0.00)" xfId="12"/>
    <cellStyle name="パーセント[0.00]" xfId="13"/>
    <cellStyle name="ハイパーリンク" xfId="44" builtinId="8"/>
    <cellStyle name="桁区切り" xfId="45" builtinId="6"/>
    <cellStyle name="桁区切り 10" xfId="14"/>
    <cellStyle name="桁区切り 10 2" xfId="15"/>
    <cellStyle name="桁区切り 11" xfId="2"/>
    <cellStyle name="桁区切り 2" xfId="16"/>
    <cellStyle name="桁区切り 2 2" xfId="6"/>
    <cellStyle name="桁区切り 3" xfId="17"/>
    <cellStyle name="桁区切り 4" xfId="18"/>
    <cellStyle name="桁区切り 5" xfId="8"/>
    <cellStyle name="桁区切り 6" xfId="19"/>
    <cellStyle name="桁区切り 6 2" xfId="20"/>
    <cellStyle name="桁区切り 7" xfId="21"/>
    <cellStyle name="桁区切り 8" xfId="22"/>
    <cellStyle name="桁区切り 9" xfId="23"/>
    <cellStyle name="見出し１" xfId="24"/>
    <cellStyle name="折り返し" xfId="25"/>
    <cellStyle name="標準" xfId="0" builtinId="0"/>
    <cellStyle name="標準 10" xfId="26"/>
    <cellStyle name="標準 11" xfId="27"/>
    <cellStyle name="標準 12" xfId="28"/>
    <cellStyle name="標準 13" xfId="29"/>
    <cellStyle name="標準 14" xfId="5"/>
    <cellStyle name="標準 15" xfId="30"/>
    <cellStyle name="標準 16" xfId="31"/>
    <cellStyle name="標準 17" xfId="32"/>
    <cellStyle name="標準 17 2" xfId="43"/>
    <cellStyle name="標準 18" xfId="1"/>
    <cellStyle name="標準 2" xfId="33"/>
    <cellStyle name="標準 2 2" xfId="3"/>
    <cellStyle name="標準 2 2 2" xfId="34"/>
    <cellStyle name="標準 3" xfId="35"/>
    <cellStyle name="標準 3 2" xfId="36"/>
    <cellStyle name="標準 4" xfId="37"/>
    <cellStyle name="標準 5" xfId="38"/>
    <cellStyle name="標準 6" xfId="39"/>
    <cellStyle name="標準 7" xfId="40"/>
    <cellStyle name="標準 8" xfId="7"/>
    <cellStyle name="標準 9" xfId="41"/>
    <cellStyle name="標準 9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26"/>
  <sheetViews>
    <sheetView zoomScaleNormal="100" workbookViewId="0">
      <selection activeCell="H10" sqref="H10"/>
    </sheetView>
  </sheetViews>
  <sheetFormatPr defaultRowHeight="13.2"/>
  <cols>
    <col min="1" max="1" width="4.6640625" customWidth="1"/>
    <col min="3" max="3" width="52.77734375" bestFit="1" customWidth="1"/>
    <col min="4" max="6" width="11.6640625" bestFit="1" customWidth="1"/>
  </cols>
  <sheetData>
    <row r="2" spans="2:6" ht="19.2">
      <c r="B2" s="160" t="s">
        <v>658</v>
      </c>
      <c r="C2" s="160"/>
      <c r="D2" s="160"/>
      <c r="E2" s="160"/>
      <c r="F2" s="160"/>
    </row>
    <row r="5" spans="2:6" ht="16.2">
      <c r="B5" s="158" t="s">
        <v>648</v>
      </c>
      <c r="C5" s="159"/>
      <c r="D5" s="159"/>
      <c r="E5" s="159"/>
      <c r="F5" s="159"/>
    </row>
    <row r="6" spans="2:6" ht="13.8" thickBot="1"/>
    <row r="7" spans="2:6" ht="20.399999999999999" customHeight="1" thickBot="1">
      <c r="B7" s="138" t="s">
        <v>604</v>
      </c>
      <c r="C7" s="139" t="s">
        <v>603</v>
      </c>
      <c r="D7" s="140" t="s">
        <v>605</v>
      </c>
      <c r="E7" s="140" t="s">
        <v>606</v>
      </c>
      <c r="F7" s="141" t="s">
        <v>637</v>
      </c>
    </row>
    <row r="8" spans="2:6" ht="20.399999999999999" customHeight="1" thickTop="1">
      <c r="B8" s="129" t="s">
        <v>288</v>
      </c>
      <c r="C8" s="125" t="s">
        <v>196</v>
      </c>
      <c r="D8" s="126" t="s">
        <v>607</v>
      </c>
      <c r="E8" s="127" t="s">
        <v>608</v>
      </c>
      <c r="F8" s="130" t="s">
        <v>288</v>
      </c>
    </row>
    <row r="9" spans="2:6" ht="20.399999999999999" customHeight="1">
      <c r="B9" s="131" t="s">
        <v>609</v>
      </c>
      <c r="C9" s="123" t="s">
        <v>610</v>
      </c>
      <c r="D9" s="124" t="s">
        <v>43</v>
      </c>
      <c r="E9" s="124" t="s">
        <v>44</v>
      </c>
      <c r="F9" s="132" t="s">
        <v>288</v>
      </c>
    </row>
    <row r="10" spans="2:6" ht="20.399999999999999" customHeight="1">
      <c r="B10" s="131" t="s">
        <v>611</v>
      </c>
      <c r="C10" s="123" t="s">
        <v>612</v>
      </c>
      <c r="D10" s="124" t="s">
        <v>43</v>
      </c>
      <c r="E10" s="124" t="s">
        <v>44</v>
      </c>
      <c r="F10" s="132" t="s">
        <v>288</v>
      </c>
    </row>
    <row r="11" spans="2:6" ht="20.399999999999999" customHeight="1">
      <c r="B11" s="131" t="s">
        <v>614</v>
      </c>
      <c r="C11" s="123" t="s">
        <v>615</v>
      </c>
      <c r="D11" s="124" t="s">
        <v>43</v>
      </c>
      <c r="E11" s="124" t="s">
        <v>44</v>
      </c>
      <c r="F11" s="132" t="s">
        <v>288</v>
      </c>
    </row>
    <row r="12" spans="2:6" ht="20.399999999999999" customHeight="1">
      <c r="B12" s="131" t="s">
        <v>616</v>
      </c>
      <c r="C12" s="123" t="s">
        <v>627</v>
      </c>
      <c r="D12" s="124" t="s">
        <v>43</v>
      </c>
      <c r="E12" s="124" t="s">
        <v>44</v>
      </c>
      <c r="F12" s="132" t="s">
        <v>288</v>
      </c>
    </row>
    <row r="13" spans="2:6" ht="20.399999999999999" customHeight="1">
      <c r="B13" s="131" t="s">
        <v>617</v>
      </c>
      <c r="C13" s="123" t="s">
        <v>628</v>
      </c>
      <c r="D13" s="124" t="s">
        <v>43</v>
      </c>
      <c r="E13" s="124" t="s">
        <v>44</v>
      </c>
      <c r="F13" s="132" t="s">
        <v>288</v>
      </c>
    </row>
    <row r="14" spans="2:6" ht="20.399999999999999" customHeight="1">
      <c r="B14" s="131" t="s">
        <v>618</v>
      </c>
      <c r="C14" s="123" t="s">
        <v>629</v>
      </c>
      <c r="D14" s="124" t="s">
        <v>43</v>
      </c>
      <c r="E14" s="124" t="s">
        <v>44</v>
      </c>
      <c r="F14" s="132" t="s">
        <v>288</v>
      </c>
    </row>
    <row r="15" spans="2:6" ht="20.399999999999999" customHeight="1">
      <c r="B15" s="131" t="s">
        <v>619</v>
      </c>
      <c r="C15" s="123" t="s">
        <v>630</v>
      </c>
      <c r="D15" s="124" t="s">
        <v>43</v>
      </c>
      <c r="E15" s="124" t="s">
        <v>44</v>
      </c>
      <c r="F15" s="132" t="s">
        <v>288</v>
      </c>
    </row>
    <row r="16" spans="2:6" ht="20.399999999999999" customHeight="1">
      <c r="B16" s="131" t="s">
        <v>620</v>
      </c>
      <c r="C16" s="123" t="s">
        <v>631</v>
      </c>
      <c r="D16" s="124" t="s">
        <v>43</v>
      </c>
      <c r="E16" s="124" t="s">
        <v>44</v>
      </c>
      <c r="F16" s="132" t="s">
        <v>288</v>
      </c>
    </row>
    <row r="17" spans="2:6" ht="20.399999999999999" customHeight="1">
      <c r="B17" s="131" t="s">
        <v>621</v>
      </c>
      <c r="C17" s="123" t="s">
        <v>634</v>
      </c>
      <c r="D17" s="124" t="s">
        <v>43</v>
      </c>
      <c r="E17" s="124" t="s">
        <v>44</v>
      </c>
      <c r="F17" s="132" t="s">
        <v>288</v>
      </c>
    </row>
    <row r="18" spans="2:6" ht="20.399999999999999" customHeight="1">
      <c r="B18" s="131" t="s">
        <v>622</v>
      </c>
      <c r="C18" s="123" t="s">
        <v>646</v>
      </c>
      <c r="D18" s="128" t="s">
        <v>288</v>
      </c>
      <c r="E18" s="128" t="s">
        <v>288</v>
      </c>
      <c r="F18" s="133" t="s">
        <v>638</v>
      </c>
    </row>
    <row r="19" spans="2:6" ht="20.399999999999999" customHeight="1">
      <c r="B19" s="131" t="s">
        <v>623</v>
      </c>
      <c r="C19" s="123" t="s">
        <v>645</v>
      </c>
      <c r="D19" s="128" t="s">
        <v>288</v>
      </c>
      <c r="E19" s="128" t="s">
        <v>288</v>
      </c>
      <c r="F19" s="133" t="s">
        <v>638</v>
      </c>
    </row>
    <row r="20" spans="2:6" ht="20.399999999999999" customHeight="1">
      <c r="B20" s="131" t="s">
        <v>624</v>
      </c>
      <c r="C20" s="123" t="s">
        <v>644</v>
      </c>
      <c r="D20" s="124" t="s">
        <v>43</v>
      </c>
      <c r="E20" s="124" t="s">
        <v>44</v>
      </c>
      <c r="F20" s="132" t="s">
        <v>288</v>
      </c>
    </row>
    <row r="21" spans="2:6" ht="20.399999999999999" customHeight="1">
      <c r="B21" s="131" t="s">
        <v>625</v>
      </c>
      <c r="C21" s="123" t="s">
        <v>643</v>
      </c>
      <c r="D21" s="124" t="s">
        <v>43</v>
      </c>
      <c r="E21" s="124" t="s">
        <v>44</v>
      </c>
      <c r="F21" s="132" t="s">
        <v>288</v>
      </c>
    </row>
    <row r="22" spans="2:6" ht="20.399999999999999" customHeight="1" thickBot="1">
      <c r="B22" s="134" t="s">
        <v>626</v>
      </c>
      <c r="C22" s="135" t="s">
        <v>647</v>
      </c>
      <c r="D22" s="136" t="s">
        <v>43</v>
      </c>
      <c r="E22" s="136" t="s">
        <v>44</v>
      </c>
      <c r="F22" s="137" t="s">
        <v>288</v>
      </c>
    </row>
    <row r="26" spans="2:6" ht="14.4">
      <c r="B26" s="156" t="s">
        <v>659</v>
      </c>
    </row>
  </sheetData>
  <mergeCells count="2">
    <mergeCell ref="B5:F5"/>
    <mergeCell ref="B2:F2"/>
  </mergeCells>
  <phoneticPr fontId="1"/>
  <hyperlinks>
    <hyperlink ref="D8" location="'法人一覧(25)'!A1" display="●"/>
    <hyperlink ref="E8" location="'法人一覧(26)'!A1" display="●"/>
    <hyperlink ref="D9" location="'１①貸借対照表(25)'!A1" display="①"/>
    <hyperlink ref="E9" location="'１②貸借対照表(26)'!A1" display="②"/>
    <hyperlink ref="E10" location="'２②損益計算書(26)'!A1" display="②"/>
    <hyperlink ref="D10" location="'２①損益計算書(25)'!A1" display="①"/>
    <hyperlink ref="D11" location="'３①CF計算書(25)'!A1" display="①"/>
    <hyperlink ref="E11" location="'３②CF計算書(26)'!A1" display="②"/>
    <hyperlink ref="E12" location="'４②利益剰余金等（26）'!A1" display="②"/>
    <hyperlink ref="D12" location="'４①利益剰余金等（25）'!A1" display="①"/>
    <hyperlink ref="D13" location="'５①行コス(25)'!A1" display="①"/>
    <hyperlink ref="E13" location="'５②行コス(26)'!A1" display="②"/>
    <hyperlink ref="E14" location="'６②国庫納付(26)'!A1" display="②"/>
    <hyperlink ref="D14" location="'６①国庫納付(25)'!A1" display="①"/>
    <hyperlink ref="D15" location="'７①勘定・セグメント(25)'!A1" display="①"/>
    <hyperlink ref="E15" location="'７②勘定・セグメント(26)'!A1" display="②"/>
    <hyperlink ref="E16" location="'８②収益化基準(26)'!A1" display="②"/>
    <hyperlink ref="D16" location="'８①収益化基準(25)'!A1" display="①"/>
    <hyperlink ref="D17" location="'9①関係法人（25）'!A1" display="①"/>
    <hyperlink ref="E17" location="'9②関係法人（26）'!A1" display="②"/>
    <hyperlink ref="F18" location="'10　収入予算(27)'!A1" display="●"/>
    <hyperlink ref="F19" location="'11　支出予算(27)'!A1" display="●"/>
    <hyperlink ref="D20" location="'12①収入決算(25)'!A1" display="①"/>
    <hyperlink ref="D21" location="'13①支出決算(25)'!A1" display="①"/>
    <hyperlink ref="D22" location="'14①役職員の状況(25)'!A1" display="①"/>
    <hyperlink ref="E22" location="'14②役職員の状況(26)'!A1" display="②"/>
    <hyperlink ref="E21" location="'13②支出決算(26)'!A1" display="②"/>
    <hyperlink ref="E20" location="'12②収入決算(26)'!A1" display="②"/>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zoomScale="80" zoomScaleNormal="80" workbookViewId="0">
      <pane xSplit="3" ySplit="4" topLeftCell="K86" activePane="bottomRight" state="frozen"/>
      <selection activeCell="B2" sqref="B2:B3"/>
      <selection pane="topRight" activeCell="B2" sqref="B2:B3"/>
      <selection pane="bottomLeft" activeCell="B2" sqref="B2:B3"/>
      <selection pane="bottomRight" activeCell="C112" sqref="C112"/>
    </sheetView>
  </sheetViews>
  <sheetFormatPr defaultColWidth="8.88671875" defaultRowHeight="13.2"/>
  <cols>
    <col min="1" max="1" width="5" style="1" bestFit="1" customWidth="1"/>
    <col min="2" max="2" width="20.6640625" style="1" customWidth="1"/>
    <col min="3" max="3" width="40.21875" style="1" bestFit="1" customWidth="1"/>
    <col min="4" max="7" width="14" style="1" customWidth="1"/>
    <col min="8" max="8" width="15.77734375" style="1" customWidth="1"/>
    <col min="9" max="10" width="14" style="1" customWidth="1"/>
    <col min="11" max="11" width="15.77734375" style="1" customWidth="1"/>
    <col min="12" max="12" width="15.44140625" style="1" customWidth="1"/>
    <col min="13" max="13" width="15.44140625" style="37" customWidth="1"/>
    <col min="14" max="14" width="14" style="1" customWidth="1"/>
    <col min="15" max="15" width="14" style="37" customWidth="1"/>
    <col min="16" max="16" width="16.33203125" style="1" customWidth="1"/>
    <col min="17" max="17" width="16.33203125" style="37" customWidth="1"/>
    <col min="18" max="18" width="25" style="1" customWidth="1"/>
    <col min="19" max="16384" width="8.88671875" style="1"/>
  </cols>
  <sheetData>
    <row r="1" spans="1:18" ht="19.95" customHeight="1">
      <c r="B1" s="144" t="s">
        <v>226</v>
      </c>
      <c r="R1" s="30" t="s">
        <v>204</v>
      </c>
    </row>
    <row r="2" spans="1:18">
      <c r="A2" s="161" t="s">
        <v>195</v>
      </c>
      <c r="B2" s="161" t="s">
        <v>0</v>
      </c>
      <c r="C2" s="161" t="s">
        <v>1</v>
      </c>
      <c r="D2" s="181" t="s">
        <v>72</v>
      </c>
      <c r="E2" s="181"/>
      <c r="F2" s="181"/>
      <c r="G2" s="181"/>
      <c r="H2" s="181"/>
      <c r="I2" s="181"/>
      <c r="J2" s="175" t="s">
        <v>77</v>
      </c>
      <c r="K2" s="176"/>
      <c r="L2" s="176"/>
      <c r="M2" s="176"/>
      <c r="N2" s="176"/>
      <c r="O2" s="176"/>
      <c r="P2" s="176"/>
      <c r="Q2" s="177"/>
      <c r="R2" s="161" t="s">
        <v>46</v>
      </c>
    </row>
    <row r="3" spans="1:18" ht="13.2" customHeight="1">
      <c r="A3" s="180"/>
      <c r="B3" s="180"/>
      <c r="C3" s="180"/>
      <c r="D3" s="3" t="s">
        <v>43</v>
      </c>
      <c r="E3" s="3" t="s">
        <v>44</v>
      </c>
      <c r="F3" s="3" t="s">
        <v>45</v>
      </c>
      <c r="G3" s="10" t="s">
        <v>73</v>
      </c>
      <c r="H3" s="3" t="s">
        <v>74</v>
      </c>
      <c r="I3" s="5" t="s">
        <v>75</v>
      </c>
      <c r="J3" s="26" t="s">
        <v>218</v>
      </c>
      <c r="K3" s="26" t="s">
        <v>219</v>
      </c>
      <c r="L3" s="26" t="s">
        <v>220</v>
      </c>
      <c r="M3" s="182" t="s">
        <v>416</v>
      </c>
      <c r="N3" s="184" t="s">
        <v>79</v>
      </c>
      <c r="O3" s="185"/>
      <c r="P3" s="185"/>
      <c r="Q3" s="186"/>
      <c r="R3" s="180"/>
    </row>
    <row r="4" spans="1:18" ht="34.200000000000003" customHeight="1">
      <c r="A4" s="162"/>
      <c r="B4" s="162"/>
      <c r="C4" s="162"/>
      <c r="D4" s="6" t="s">
        <v>71</v>
      </c>
      <c r="E4" s="3" t="s">
        <v>30</v>
      </c>
      <c r="F4" s="5" t="s">
        <v>41</v>
      </c>
      <c r="G4" s="5" t="s">
        <v>251</v>
      </c>
      <c r="H4" s="6" t="s">
        <v>42</v>
      </c>
      <c r="I4" s="11" t="s">
        <v>76</v>
      </c>
      <c r="J4" s="35" t="s">
        <v>78</v>
      </c>
      <c r="K4" s="27" t="s">
        <v>216</v>
      </c>
      <c r="L4" s="27" t="s">
        <v>217</v>
      </c>
      <c r="M4" s="183"/>
      <c r="N4" s="9" t="s">
        <v>81</v>
      </c>
      <c r="O4" s="28" t="s">
        <v>80</v>
      </c>
      <c r="P4" s="12" t="s">
        <v>252</v>
      </c>
      <c r="Q4" s="105" t="s">
        <v>438</v>
      </c>
      <c r="R4" s="162"/>
    </row>
    <row r="5" spans="1:18">
      <c r="A5" s="26">
        <f>'法人一覧(25)'!A4</f>
        <v>1</v>
      </c>
      <c r="B5" s="32" t="str">
        <f>'法人一覧(25)'!B4</f>
        <v>内閣府</v>
      </c>
      <c r="C5" s="32" t="str">
        <f>'法人一覧(25)'!C4</f>
        <v>国立公文書館</v>
      </c>
      <c r="D5" s="52">
        <v>0</v>
      </c>
      <c r="E5" s="52">
        <v>0</v>
      </c>
      <c r="F5" s="52">
        <v>0</v>
      </c>
      <c r="G5" s="52">
        <v>0</v>
      </c>
      <c r="H5" s="52">
        <v>-30436355</v>
      </c>
      <c r="I5" s="29">
        <f>IF('１①貸借対照表(25)'!T4=SUM(D5:H5),SUM(D5:H5),"NG")</f>
        <v>-30436355</v>
      </c>
      <c r="J5" s="29">
        <f>'２①損益計算書(25)'!V4</f>
        <v>9987914</v>
      </c>
      <c r="K5" s="52">
        <v>-40424269</v>
      </c>
      <c r="L5" s="52">
        <f>SUM(J5:K5)</f>
        <v>-30436355</v>
      </c>
      <c r="M5" s="29">
        <v>0</v>
      </c>
      <c r="N5" s="52">
        <v>0</v>
      </c>
      <c r="O5" s="52">
        <v>0</v>
      </c>
      <c r="P5" s="52">
        <v>0</v>
      </c>
      <c r="Q5" s="29">
        <v>0</v>
      </c>
      <c r="R5" s="4" t="s">
        <v>435</v>
      </c>
    </row>
    <row r="6" spans="1:18">
      <c r="A6" s="26">
        <f>'法人一覧(25)'!A5</f>
        <v>2</v>
      </c>
      <c r="B6" s="32" t="str">
        <f>'法人一覧(25)'!B5</f>
        <v>内閣府</v>
      </c>
      <c r="C6" s="32" t="str">
        <f>'法人一覧(25)'!C5</f>
        <v>北方領土問題対策協会</v>
      </c>
      <c r="D6" s="29">
        <v>0</v>
      </c>
      <c r="E6" s="29">
        <v>0</v>
      </c>
      <c r="F6" s="52">
        <v>705929691</v>
      </c>
      <c r="G6" s="52">
        <v>0</v>
      </c>
      <c r="H6" s="52">
        <v>850016</v>
      </c>
      <c r="I6" s="29">
        <f>IF('１①貸借対照表(25)'!T5=SUM(D6:H6),SUM(D6:H6),"NG")</f>
        <v>706779707</v>
      </c>
      <c r="J6" s="29">
        <f>'２①損益計算書(25)'!V5</f>
        <v>850016</v>
      </c>
      <c r="K6" s="52">
        <v>0</v>
      </c>
      <c r="L6" s="52">
        <f t="shared" ref="L6" si="0">SUM(J6:K6)</f>
        <v>850016</v>
      </c>
      <c r="M6" s="29">
        <v>0</v>
      </c>
      <c r="N6" s="52">
        <v>0</v>
      </c>
      <c r="O6" s="52">
        <v>850016</v>
      </c>
      <c r="P6" s="52">
        <v>0</v>
      </c>
      <c r="Q6" s="29">
        <v>0</v>
      </c>
      <c r="R6" s="4" t="s">
        <v>435</v>
      </c>
    </row>
    <row r="7" spans="1:18">
      <c r="A7" s="26">
        <f>'法人一覧(25)'!A6</f>
        <v>3</v>
      </c>
      <c r="B7" s="32" t="str">
        <f>'法人一覧(25)'!B6</f>
        <v>消費者庁</v>
      </c>
      <c r="C7" s="32" t="str">
        <f>'法人一覧(25)'!C6</f>
        <v>国民生活センター</v>
      </c>
      <c r="D7" s="29">
        <v>0</v>
      </c>
      <c r="E7" s="29">
        <v>0</v>
      </c>
      <c r="F7" s="29">
        <v>0</v>
      </c>
      <c r="G7" s="29">
        <v>0</v>
      </c>
      <c r="H7" s="29">
        <v>2180904</v>
      </c>
      <c r="I7" s="29">
        <f>IF('１①貸借対照表(25)'!T6=SUM(D7:H7),SUM(D7:H7),"NG")</f>
        <v>2180904</v>
      </c>
      <c r="J7" s="29">
        <f>'２①損益計算書(25)'!V6</f>
        <v>2180904</v>
      </c>
      <c r="K7" s="29">
        <v>0</v>
      </c>
      <c r="L7" s="29">
        <f t="shared" ref="L7:L69" si="1">SUM(J7:K7)</f>
        <v>2180904</v>
      </c>
      <c r="M7" s="29">
        <v>0</v>
      </c>
      <c r="N7" s="29">
        <v>0</v>
      </c>
      <c r="O7" s="29">
        <v>2180904</v>
      </c>
      <c r="P7" s="29">
        <v>0</v>
      </c>
      <c r="Q7" s="29">
        <v>0</v>
      </c>
      <c r="R7" s="4" t="s">
        <v>435</v>
      </c>
    </row>
    <row r="8" spans="1:18">
      <c r="A8" s="26">
        <f>'法人一覧(25)'!A7</f>
        <v>4</v>
      </c>
      <c r="B8" s="32" t="str">
        <f>'法人一覧(25)'!B7</f>
        <v>総務省</v>
      </c>
      <c r="C8" s="32" t="str">
        <f>'法人一覧(25)'!C7</f>
        <v>情報通信研究機構</v>
      </c>
      <c r="D8" s="65">
        <v>881485711</v>
      </c>
      <c r="E8" s="65">
        <v>0</v>
      </c>
      <c r="F8" s="65">
        <v>1194984764</v>
      </c>
      <c r="G8" s="65">
        <v>0</v>
      </c>
      <c r="H8" s="65">
        <v>-60000037369</v>
      </c>
      <c r="I8" s="29">
        <f>IF('１①貸借対照表(25)'!T7=SUM(D8:H8),SUM(D8:H8),"NG")</f>
        <v>-57923566894</v>
      </c>
      <c r="J8" s="29">
        <f>'２①損益計算書(25)'!V7</f>
        <v>224949125</v>
      </c>
      <c r="K8" s="65">
        <f>-60224986494</f>
        <v>-60224986494</v>
      </c>
      <c r="L8" s="65">
        <f t="shared" si="1"/>
        <v>-60000037369</v>
      </c>
      <c r="M8" s="29">
        <v>0</v>
      </c>
      <c r="N8" s="65">
        <v>0</v>
      </c>
      <c r="O8" s="65">
        <v>202989948</v>
      </c>
      <c r="P8" s="65">
        <v>0</v>
      </c>
      <c r="Q8" s="29">
        <v>0</v>
      </c>
      <c r="R8" s="4" t="s">
        <v>435</v>
      </c>
    </row>
    <row r="9" spans="1:18">
      <c r="A9" s="26">
        <f>'法人一覧(25)'!A8</f>
        <v>5</v>
      </c>
      <c r="B9" s="32" t="str">
        <f>'法人一覧(25)'!B8</f>
        <v>総務省</v>
      </c>
      <c r="C9" s="32" t="str">
        <f>'法人一覧(25)'!C8</f>
        <v>統計センター</v>
      </c>
      <c r="D9" s="65">
        <v>144053158</v>
      </c>
      <c r="E9" s="65">
        <v>0</v>
      </c>
      <c r="F9" s="65">
        <v>0</v>
      </c>
      <c r="G9" s="65">
        <v>0</v>
      </c>
      <c r="H9" s="65">
        <v>492019429</v>
      </c>
      <c r="I9" s="29">
        <f>IF('１①貸借対照表(25)'!T8=SUM(D9:H9),SUM(D9:H9),"NG")</f>
        <v>636072587</v>
      </c>
      <c r="J9" s="29">
        <f>'２①損益計算書(25)'!V8</f>
        <v>492019429</v>
      </c>
      <c r="K9" s="65">
        <v>0</v>
      </c>
      <c r="L9" s="65">
        <f t="shared" si="1"/>
        <v>492019429</v>
      </c>
      <c r="M9" s="29">
        <v>0</v>
      </c>
      <c r="N9" s="65">
        <v>0</v>
      </c>
      <c r="O9" s="65">
        <v>492019429</v>
      </c>
      <c r="P9" s="65">
        <v>0</v>
      </c>
      <c r="Q9" s="29">
        <v>0</v>
      </c>
      <c r="R9" s="4" t="s">
        <v>435</v>
      </c>
    </row>
    <row r="10" spans="1:18">
      <c r="A10" s="26">
        <f>'法人一覧(25)'!A9</f>
        <v>6</v>
      </c>
      <c r="B10" s="32" t="str">
        <f>'法人一覧(25)'!B9</f>
        <v>総務省</v>
      </c>
      <c r="C10" s="32" t="str">
        <f>'法人一覧(25)'!C9</f>
        <v>郵便貯金・簡易生命保険管理機構</v>
      </c>
      <c r="D10" s="65">
        <v>20781185583</v>
      </c>
      <c r="E10" s="65">
        <v>0</v>
      </c>
      <c r="F10" s="65">
        <v>8914148486</v>
      </c>
      <c r="G10" s="65">
        <v>0</v>
      </c>
      <c r="H10" s="65">
        <v>7901866081</v>
      </c>
      <c r="I10" s="29">
        <f>IF('１①貸借対照表(25)'!T9=SUM(D10:H10),SUM(D10:H10),"NG")</f>
        <v>37597200150</v>
      </c>
      <c r="J10" s="29">
        <f>'２①損益計算書(25)'!V9</f>
        <v>7901866081</v>
      </c>
      <c r="K10" s="65">
        <v>0</v>
      </c>
      <c r="L10" s="65">
        <f t="shared" si="1"/>
        <v>7901866081</v>
      </c>
      <c r="M10" s="29">
        <v>0</v>
      </c>
      <c r="N10" s="65">
        <v>0</v>
      </c>
      <c r="O10" s="65">
        <v>7901866081</v>
      </c>
      <c r="P10" s="65">
        <v>0</v>
      </c>
      <c r="Q10" s="29">
        <v>0</v>
      </c>
      <c r="R10" s="4" t="s">
        <v>435</v>
      </c>
    </row>
    <row r="11" spans="1:18">
      <c r="A11" s="26">
        <f>'法人一覧(25)'!A10</f>
        <v>7</v>
      </c>
      <c r="B11" s="32" t="str">
        <f>'法人一覧(25)'!B10</f>
        <v>外務省</v>
      </c>
      <c r="C11" s="32" t="str">
        <f>'法人一覧(25)'!C10</f>
        <v>国際協力機構</v>
      </c>
      <c r="D11" s="29">
        <v>2503237214</v>
      </c>
      <c r="E11" s="29">
        <v>0</v>
      </c>
      <c r="F11" s="29">
        <v>0</v>
      </c>
      <c r="G11" s="29">
        <v>1129788882032</v>
      </c>
      <c r="H11" s="29">
        <f>1681756203+125568625801</f>
        <v>127250382004</v>
      </c>
      <c r="I11" s="29">
        <f>IF('１①貸借対照表(25)'!T10=SUM(D11:H11),SUM(D11:H11),"NG")</f>
        <v>1259542501250</v>
      </c>
      <c r="J11" s="29">
        <f>'２①損益計算書(25)'!V10</f>
        <v>127511554607</v>
      </c>
      <c r="K11" s="29">
        <v>-261172603</v>
      </c>
      <c r="L11" s="29">
        <f t="shared" si="1"/>
        <v>127250382004</v>
      </c>
      <c r="M11" s="29">
        <v>0</v>
      </c>
      <c r="N11" s="29">
        <v>0</v>
      </c>
      <c r="O11" s="29">
        <v>1681756203</v>
      </c>
      <c r="P11" s="29">
        <v>125568625801</v>
      </c>
      <c r="Q11" s="29">
        <v>0</v>
      </c>
      <c r="R11" s="4" t="s">
        <v>435</v>
      </c>
    </row>
    <row r="12" spans="1:18">
      <c r="A12" s="26">
        <f>'法人一覧(25)'!A11</f>
        <v>8</v>
      </c>
      <c r="B12" s="32" t="str">
        <f>'法人一覧(25)'!B11</f>
        <v>外務省</v>
      </c>
      <c r="C12" s="32" t="str">
        <f>'法人一覧(25)'!C11</f>
        <v>国際交流基金</v>
      </c>
      <c r="D12" s="29">
        <v>0</v>
      </c>
      <c r="E12" s="29">
        <v>0</v>
      </c>
      <c r="F12" s="29">
        <v>0</v>
      </c>
      <c r="G12" s="29">
        <v>0</v>
      </c>
      <c r="H12" s="29">
        <v>-498521876</v>
      </c>
      <c r="I12" s="29">
        <f>IF('１①貸借対照表(25)'!T11=SUM(D12:H12),SUM(D12:H12),"NG")</f>
        <v>-498521876</v>
      </c>
      <c r="J12" s="29">
        <f>'２①損益計算書(25)'!V11</f>
        <v>762467844</v>
      </c>
      <c r="K12" s="29">
        <v>-1260989720</v>
      </c>
      <c r="L12" s="29">
        <f t="shared" si="1"/>
        <v>-498521876</v>
      </c>
      <c r="M12" s="29">
        <v>0</v>
      </c>
      <c r="N12" s="29">
        <v>0</v>
      </c>
      <c r="O12" s="29">
        <v>0</v>
      </c>
      <c r="P12" s="29">
        <v>0</v>
      </c>
      <c r="Q12" s="29">
        <v>0</v>
      </c>
      <c r="R12" s="4" t="s">
        <v>435</v>
      </c>
    </row>
    <row r="13" spans="1:18">
      <c r="A13" s="26">
        <f>'法人一覧(25)'!A12</f>
        <v>9</v>
      </c>
      <c r="B13" s="32" t="str">
        <f>'法人一覧(25)'!B12</f>
        <v>財務省</v>
      </c>
      <c r="C13" s="32" t="str">
        <f>'法人一覧(25)'!C12</f>
        <v>酒類総合研究所</v>
      </c>
      <c r="D13" s="29">
        <v>161375</v>
      </c>
      <c r="E13" s="29">
        <v>0</v>
      </c>
      <c r="F13" s="29">
        <v>2148861</v>
      </c>
      <c r="G13" s="29">
        <v>0</v>
      </c>
      <c r="H13" s="29">
        <v>147868</v>
      </c>
      <c r="I13" s="29">
        <f>IF('１①貸借対照表(25)'!T12=SUM(D13:H13),SUM(D13:H13),"NG")</f>
        <v>2458104</v>
      </c>
      <c r="J13" s="29">
        <f>'２①損益計算書(25)'!V12</f>
        <v>147868</v>
      </c>
      <c r="K13" s="29">
        <v>0</v>
      </c>
      <c r="L13" s="29">
        <f t="shared" si="1"/>
        <v>147868</v>
      </c>
      <c r="M13" s="29">
        <v>0</v>
      </c>
      <c r="N13" s="29">
        <v>0</v>
      </c>
      <c r="O13" s="29">
        <v>147868</v>
      </c>
      <c r="P13" s="29">
        <v>0</v>
      </c>
      <c r="Q13" s="29">
        <v>0</v>
      </c>
      <c r="R13" s="4" t="s">
        <v>435</v>
      </c>
    </row>
    <row r="14" spans="1:18">
      <c r="A14" s="26">
        <f>'法人一覧(25)'!A13</f>
        <v>10</v>
      </c>
      <c r="B14" s="32" t="str">
        <f>'法人一覧(25)'!B13</f>
        <v>財務省</v>
      </c>
      <c r="C14" s="32" t="str">
        <f>'法人一覧(25)'!C13</f>
        <v>造幣局</v>
      </c>
      <c r="D14" s="29">
        <v>13948435624</v>
      </c>
      <c r="E14" s="29">
        <v>0</v>
      </c>
      <c r="F14" s="29">
        <v>0</v>
      </c>
      <c r="G14" s="29">
        <v>0</v>
      </c>
      <c r="H14" s="29">
        <v>804647640</v>
      </c>
      <c r="I14" s="29">
        <f>IF('１①貸借対照表(25)'!T13=SUM(D14:H14),SUM(D14:H14),"NG")</f>
        <v>14753083264</v>
      </c>
      <c r="J14" s="29">
        <f>'２①損益計算書(25)'!V13</f>
        <v>804647640</v>
      </c>
      <c r="K14" s="29">
        <v>0</v>
      </c>
      <c r="L14" s="29">
        <f t="shared" si="1"/>
        <v>804647640</v>
      </c>
      <c r="M14" s="29">
        <v>0</v>
      </c>
      <c r="N14" s="29">
        <v>0</v>
      </c>
      <c r="O14" s="29">
        <v>804647640</v>
      </c>
      <c r="P14" s="29">
        <v>0</v>
      </c>
      <c r="Q14" s="29">
        <v>0</v>
      </c>
      <c r="R14" s="4" t="s">
        <v>435</v>
      </c>
    </row>
    <row r="15" spans="1:18">
      <c r="A15" s="26">
        <f>'法人一覧(25)'!A14</f>
        <v>11</v>
      </c>
      <c r="B15" s="32" t="str">
        <f>'法人一覧(25)'!B14</f>
        <v>財務省</v>
      </c>
      <c r="C15" s="32" t="str">
        <f>'法人一覧(25)'!C14</f>
        <v>国立印刷局</v>
      </c>
      <c r="D15" s="29">
        <v>46241935287</v>
      </c>
      <c r="E15" s="29">
        <v>0</v>
      </c>
      <c r="F15" s="29">
        <v>0</v>
      </c>
      <c r="G15" s="29">
        <v>0</v>
      </c>
      <c r="H15" s="29">
        <v>7129151962</v>
      </c>
      <c r="I15" s="29">
        <f>IF('１①貸借対照表(25)'!T14=SUM(D15:H15),SUM(D15:H15),"NG")</f>
        <v>53371087249</v>
      </c>
      <c r="J15" s="29">
        <f>'２①損益計算書(25)'!V14</f>
        <v>7129151962</v>
      </c>
      <c r="K15" s="29">
        <v>0</v>
      </c>
      <c r="L15" s="29">
        <f t="shared" si="1"/>
        <v>7129151962</v>
      </c>
      <c r="M15" s="29">
        <v>0</v>
      </c>
      <c r="N15" s="29">
        <v>0</v>
      </c>
      <c r="O15" s="29">
        <v>7129151962</v>
      </c>
      <c r="P15" s="29">
        <v>0</v>
      </c>
      <c r="Q15" s="29">
        <v>0</v>
      </c>
      <c r="R15" s="4" t="s">
        <v>435</v>
      </c>
    </row>
    <row r="16" spans="1:18">
      <c r="A16" s="26">
        <f>'法人一覧(25)'!A15</f>
        <v>12</v>
      </c>
      <c r="B16" s="32" t="str">
        <f>'法人一覧(25)'!B15</f>
        <v>財務省</v>
      </c>
      <c r="C16" s="32" t="str">
        <f>'法人一覧(25)'!C15</f>
        <v>日本万国博覧会記念機構</v>
      </c>
      <c r="D16" s="52">
        <v>0</v>
      </c>
      <c r="E16" s="52">
        <v>0</v>
      </c>
      <c r="F16" s="52">
        <v>703931031</v>
      </c>
      <c r="G16" s="52">
        <v>0</v>
      </c>
      <c r="H16" s="52">
        <v>1278433570</v>
      </c>
      <c r="I16" s="29">
        <f>IF('１①貸借対照表(25)'!T15=SUM(D16:H16),SUM(D16:H16),"NG")</f>
        <v>1982364601</v>
      </c>
      <c r="J16" s="29">
        <f>'２①損益計算書(25)'!V15</f>
        <v>1278433570</v>
      </c>
      <c r="K16" s="52">
        <v>0</v>
      </c>
      <c r="L16" s="52">
        <f t="shared" si="1"/>
        <v>1278433570</v>
      </c>
      <c r="M16" s="29">
        <v>0</v>
      </c>
      <c r="N16" s="52">
        <v>0</v>
      </c>
      <c r="O16" s="52">
        <v>1278433570</v>
      </c>
      <c r="P16" s="52">
        <v>0</v>
      </c>
      <c r="Q16" s="29">
        <v>0</v>
      </c>
      <c r="R16" s="4" t="s">
        <v>435</v>
      </c>
    </row>
    <row r="17" spans="1:18">
      <c r="A17" s="26">
        <f>'法人一覧(25)'!A16</f>
        <v>13</v>
      </c>
      <c r="B17" s="32" t="str">
        <f>'法人一覧(25)'!B16</f>
        <v>文部科学省</v>
      </c>
      <c r="C17" s="32" t="str">
        <f>'法人一覧(25)'!C16</f>
        <v>国立特別支援教育総合研究所</v>
      </c>
      <c r="D17" s="52">
        <v>0</v>
      </c>
      <c r="E17" s="52">
        <v>0</v>
      </c>
      <c r="F17" s="52">
        <v>3194534</v>
      </c>
      <c r="G17" s="52">
        <v>0</v>
      </c>
      <c r="H17" s="52">
        <v>3228086</v>
      </c>
      <c r="I17" s="29">
        <f>IF('１①貸借対照表(25)'!T16=SUM(D17:H17),SUM(D17:H17),"NG")</f>
        <v>6422620</v>
      </c>
      <c r="J17" s="29">
        <f>'２①損益計算書(25)'!V16</f>
        <v>3228086</v>
      </c>
      <c r="K17" s="52">
        <v>0</v>
      </c>
      <c r="L17" s="52">
        <f t="shared" si="1"/>
        <v>3228086</v>
      </c>
      <c r="M17" s="29">
        <v>0</v>
      </c>
      <c r="N17" s="52">
        <v>0</v>
      </c>
      <c r="O17" s="52">
        <v>3228086</v>
      </c>
      <c r="P17" s="52">
        <v>0</v>
      </c>
      <c r="Q17" s="29">
        <v>0</v>
      </c>
      <c r="R17" s="4" t="s">
        <v>435</v>
      </c>
    </row>
    <row r="18" spans="1:18">
      <c r="A18" s="26">
        <f>'法人一覧(25)'!A17</f>
        <v>14</v>
      </c>
      <c r="B18" s="32" t="str">
        <f>'法人一覧(25)'!B17</f>
        <v>文部科学省</v>
      </c>
      <c r="C18" s="32" t="str">
        <f>'法人一覧(25)'!C17</f>
        <v>大学入試センター</v>
      </c>
      <c r="D18" s="52">
        <v>890512906</v>
      </c>
      <c r="E18" s="52">
        <v>0</v>
      </c>
      <c r="F18" s="52">
        <v>1001800533</v>
      </c>
      <c r="G18" s="52">
        <v>0</v>
      </c>
      <c r="H18" s="52">
        <v>369270195</v>
      </c>
      <c r="I18" s="29">
        <f>IF('１①貸借対照表(25)'!T17=SUM(D18:H18),SUM(D18:H18),"NG")</f>
        <v>2261583634</v>
      </c>
      <c r="J18" s="29">
        <f>'２①損益計算書(25)'!V17</f>
        <v>369270195</v>
      </c>
      <c r="K18" s="52">
        <v>0</v>
      </c>
      <c r="L18" s="52">
        <f t="shared" si="1"/>
        <v>369270195</v>
      </c>
      <c r="M18" s="29">
        <v>0</v>
      </c>
      <c r="N18" s="52">
        <v>0</v>
      </c>
      <c r="O18" s="52">
        <v>369270195</v>
      </c>
      <c r="P18" s="52">
        <v>0</v>
      </c>
      <c r="Q18" s="29">
        <v>0</v>
      </c>
      <c r="R18" s="4" t="s">
        <v>435</v>
      </c>
    </row>
    <row r="19" spans="1:18">
      <c r="A19" s="26">
        <f>'法人一覧(25)'!A18</f>
        <v>15</v>
      </c>
      <c r="B19" s="32" t="str">
        <f>'法人一覧(25)'!B18</f>
        <v>文部科学省</v>
      </c>
      <c r="C19" s="32" t="str">
        <f>'法人一覧(25)'!C18</f>
        <v>国立青少年教育振興機構</v>
      </c>
      <c r="D19" s="52">
        <v>1266834</v>
      </c>
      <c r="E19" s="52">
        <v>0</v>
      </c>
      <c r="F19" s="52">
        <v>482688</v>
      </c>
      <c r="G19" s="52">
        <v>0</v>
      </c>
      <c r="H19" s="52">
        <v>16164</v>
      </c>
      <c r="I19" s="29">
        <f>IF('１①貸借対照表(25)'!T18=SUM(D19:H19),SUM(D19:H19),"NG")</f>
        <v>1765686</v>
      </c>
      <c r="J19" s="29">
        <f>'２①損益計算書(25)'!V18</f>
        <v>16164</v>
      </c>
      <c r="K19" s="52">
        <v>0</v>
      </c>
      <c r="L19" s="52">
        <f t="shared" si="1"/>
        <v>16164</v>
      </c>
      <c r="M19" s="29">
        <v>0</v>
      </c>
      <c r="N19" s="52">
        <v>0</v>
      </c>
      <c r="O19" s="52">
        <v>16164</v>
      </c>
      <c r="P19" s="52">
        <v>0</v>
      </c>
      <c r="Q19" s="29">
        <v>0</v>
      </c>
      <c r="R19" s="4" t="s">
        <v>435</v>
      </c>
    </row>
    <row r="20" spans="1:18">
      <c r="A20" s="26">
        <f>'法人一覧(25)'!A19</f>
        <v>16</v>
      </c>
      <c r="B20" s="32" t="str">
        <f>'法人一覧(25)'!B19</f>
        <v>文部科学省</v>
      </c>
      <c r="C20" s="32" t="str">
        <f>'法人一覧(25)'!C19</f>
        <v>国立女性教育会館</v>
      </c>
      <c r="D20" s="52">
        <v>0</v>
      </c>
      <c r="E20" s="52">
        <v>0</v>
      </c>
      <c r="F20" s="52">
        <v>14119930</v>
      </c>
      <c r="G20" s="52">
        <v>0</v>
      </c>
      <c r="H20" s="52">
        <v>33254624</v>
      </c>
      <c r="I20" s="29">
        <f>IF('１①貸借対照表(25)'!T19=SUM(D20:H20),SUM(D20:H20),"NG")</f>
        <v>47374554</v>
      </c>
      <c r="J20" s="29">
        <f>'２①損益計算書(25)'!V19</f>
        <v>33254624</v>
      </c>
      <c r="K20" s="52">
        <v>0</v>
      </c>
      <c r="L20" s="52">
        <f t="shared" si="1"/>
        <v>33254624</v>
      </c>
      <c r="M20" s="29">
        <v>0</v>
      </c>
      <c r="N20" s="52">
        <v>0</v>
      </c>
      <c r="O20" s="52">
        <v>33254624</v>
      </c>
      <c r="P20" s="52">
        <v>0</v>
      </c>
      <c r="Q20" s="29">
        <v>0</v>
      </c>
      <c r="R20" s="4" t="s">
        <v>435</v>
      </c>
    </row>
    <row r="21" spans="1:18">
      <c r="A21" s="26">
        <f>'法人一覧(25)'!A20</f>
        <v>17</v>
      </c>
      <c r="B21" s="32" t="str">
        <f>'法人一覧(25)'!B20</f>
        <v>文部科学省</v>
      </c>
      <c r="C21" s="32" t="str">
        <f>'法人一覧(25)'!C20</f>
        <v>国立科学博物館</v>
      </c>
      <c r="D21" s="52">
        <v>592429</v>
      </c>
      <c r="E21" s="52">
        <v>0</v>
      </c>
      <c r="F21" s="52">
        <v>50232790</v>
      </c>
      <c r="G21" s="52">
        <v>0</v>
      </c>
      <c r="H21" s="52">
        <v>13443236</v>
      </c>
      <c r="I21" s="29">
        <f>IF('１①貸借対照表(25)'!T20=SUM(D21:H21),SUM(D21:H21),"NG")</f>
        <v>64268455</v>
      </c>
      <c r="J21" s="29">
        <f>'２①損益計算書(25)'!V20</f>
        <v>13443236</v>
      </c>
      <c r="K21" s="52">
        <v>0</v>
      </c>
      <c r="L21" s="52">
        <f t="shared" si="1"/>
        <v>13443236</v>
      </c>
      <c r="M21" s="29">
        <v>0</v>
      </c>
      <c r="N21" s="52">
        <v>0</v>
      </c>
      <c r="O21" s="52">
        <v>13443236</v>
      </c>
      <c r="P21" s="52">
        <v>0</v>
      </c>
      <c r="Q21" s="29">
        <v>0</v>
      </c>
      <c r="R21" s="4" t="s">
        <v>435</v>
      </c>
    </row>
    <row r="22" spans="1:18" ht="16.2" customHeight="1">
      <c r="A22" s="26">
        <f>'法人一覧(25)'!A21</f>
        <v>18</v>
      </c>
      <c r="B22" s="32" t="str">
        <f>'法人一覧(25)'!B21</f>
        <v>文部科学省</v>
      </c>
      <c r="C22" s="32" t="str">
        <f>'法人一覧(25)'!C21</f>
        <v>物質・材料研究機構</v>
      </c>
      <c r="D22" s="52">
        <v>7308012</v>
      </c>
      <c r="E22" s="52">
        <v>88821013</v>
      </c>
      <c r="F22" s="52">
        <v>392656190</v>
      </c>
      <c r="G22" s="52">
        <v>0</v>
      </c>
      <c r="H22" s="52">
        <v>3053999295</v>
      </c>
      <c r="I22" s="29">
        <f>IF('１①貸借対照表(25)'!T21=SUM(D22:H22),SUM(D22:H22),"NG")</f>
        <v>3542784510</v>
      </c>
      <c r="J22" s="29">
        <f>'２①損益計算書(25)'!V21</f>
        <v>3053999295</v>
      </c>
      <c r="K22" s="52">
        <v>0</v>
      </c>
      <c r="L22" s="52">
        <f t="shared" si="1"/>
        <v>3053999295</v>
      </c>
      <c r="M22" s="29">
        <v>0</v>
      </c>
      <c r="N22" s="52">
        <v>133599166</v>
      </c>
      <c r="O22" s="52">
        <v>2920400129</v>
      </c>
      <c r="P22" s="52">
        <v>0</v>
      </c>
      <c r="Q22" s="29">
        <v>0</v>
      </c>
      <c r="R22" s="57" t="s">
        <v>348</v>
      </c>
    </row>
    <row r="23" spans="1:18">
      <c r="A23" s="26">
        <f>'法人一覧(25)'!A22</f>
        <v>19</v>
      </c>
      <c r="B23" s="32" t="str">
        <f>'法人一覧(25)'!B22</f>
        <v>文部科学省</v>
      </c>
      <c r="C23" s="32" t="str">
        <f>'法人一覧(25)'!C22</f>
        <v>防災科学技術研究所</v>
      </c>
      <c r="D23" s="52">
        <v>8722186</v>
      </c>
      <c r="E23" s="52">
        <v>0</v>
      </c>
      <c r="F23" s="52">
        <v>41208213</v>
      </c>
      <c r="G23" s="52">
        <v>0</v>
      </c>
      <c r="H23" s="52">
        <v>4809160</v>
      </c>
      <c r="I23" s="29">
        <f>IF('１①貸借対照表(25)'!T22=SUM(D23:H23),SUM(D23:H23),"NG")</f>
        <v>54739559</v>
      </c>
      <c r="J23" s="29">
        <f>'２①損益計算書(25)'!V22</f>
        <v>4809160</v>
      </c>
      <c r="K23" s="52">
        <v>0</v>
      </c>
      <c r="L23" s="52">
        <f t="shared" si="1"/>
        <v>4809160</v>
      </c>
      <c r="M23" s="29">
        <v>0</v>
      </c>
      <c r="N23" s="52">
        <v>0</v>
      </c>
      <c r="O23" s="52">
        <v>4809160</v>
      </c>
      <c r="P23" s="52">
        <v>0</v>
      </c>
      <c r="Q23" s="29">
        <v>0</v>
      </c>
      <c r="R23" s="4" t="s">
        <v>435</v>
      </c>
    </row>
    <row r="24" spans="1:18" ht="16.8" customHeight="1">
      <c r="A24" s="26">
        <f>'法人一覧(25)'!A23</f>
        <v>20</v>
      </c>
      <c r="B24" s="32" t="str">
        <f>'法人一覧(25)'!B23</f>
        <v>文部科学省</v>
      </c>
      <c r="C24" s="32" t="str">
        <f>'法人一覧(25)'!C23</f>
        <v>放射線医学総合研究所</v>
      </c>
      <c r="D24" s="52">
        <v>5421563</v>
      </c>
      <c r="E24" s="52">
        <v>6256663</v>
      </c>
      <c r="F24" s="52">
        <v>274000536</v>
      </c>
      <c r="G24" s="52">
        <v>0</v>
      </c>
      <c r="H24" s="52">
        <v>152228768</v>
      </c>
      <c r="I24" s="29">
        <f>IF('１①貸借対照表(25)'!T23=SUM(D24:H24),SUM(D24:H24),"NG")</f>
        <v>437907530</v>
      </c>
      <c r="J24" s="29">
        <f>'２①損益計算書(25)'!V23</f>
        <v>152228768</v>
      </c>
      <c r="K24" s="52">
        <v>0</v>
      </c>
      <c r="L24" s="52">
        <f t="shared" si="1"/>
        <v>152228768</v>
      </c>
      <c r="M24" s="29">
        <v>0</v>
      </c>
      <c r="N24" s="52">
        <v>36667237</v>
      </c>
      <c r="O24" s="52">
        <v>115561531</v>
      </c>
      <c r="P24" s="52">
        <v>0</v>
      </c>
      <c r="Q24" s="29">
        <v>0</v>
      </c>
      <c r="R24" s="57" t="s">
        <v>349</v>
      </c>
    </row>
    <row r="25" spans="1:18" ht="31.8" customHeight="1">
      <c r="A25" s="26">
        <f>'法人一覧(25)'!A24</f>
        <v>21</v>
      </c>
      <c r="B25" s="32" t="str">
        <f>'法人一覧(25)'!B24</f>
        <v>文部科学省</v>
      </c>
      <c r="C25" s="32" t="str">
        <f>'法人一覧(25)'!C24</f>
        <v>国立美術館</v>
      </c>
      <c r="D25" s="52">
        <v>377754257</v>
      </c>
      <c r="E25" s="52">
        <v>0</v>
      </c>
      <c r="F25" s="52">
        <v>100593497</v>
      </c>
      <c r="G25" s="52">
        <v>0</v>
      </c>
      <c r="H25" s="52">
        <v>69408939</v>
      </c>
      <c r="I25" s="29">
        <f>IF('１①貸借対照表(25)'!T24=SUM(D25:H25),SUM(D25:H25),"NG")</f>
        <v>547756693</v>
      </c>
      <c r="J25" s="29">
        <f>'２①損益計算書(25)'!V24</f>
        <v>69408939</v>
      </c>
      <c r="K25" s="52">
        <v>0</v>
      </c>
      <c r="L25" s="52">
        <f t="shared" si="1"/>
        <v>69408939</v>
      </c>
      <c r="M25" s="29">
        <v>0</v>
      </c>
      <c r="N25" s="52">
        <v>36237395</v>
      </c>
      <c r="O25" s="52">
        <v>33171544</v>
      </c>
      <c r="P25" s="52">
        <v>0</v>
      </c>
      <c r="Q25" s="29">
        <v>0</v>
      </c>
      <c r="R25" s="4" t="s">
        <v>551</v>
      </c>
    </row>
    <row r="26" spans="1:18">
      <c r="A26" s="26">
        <f>'法人一覧(25)'!A25</f>
        <v>22</v>
      </c>
      <c r="B26" s="32" t="str">
        <f>'法人一覧(25)'!B25</f>
        <v>文部科学省</v>
      </c>
      <c r="C26" s="32" t="str">
        <f>'法人一覧(25)'!C25</f>
        <v>国立文化財機構</v>
      </c>
      <c r="D26" s="52">
        <v>636280909</v>
      </c>
      <c r="E26" s="52">
        <v>0</v>
      </c>
      <c r="F26" s="52">
        <v>111098021</v>
      </c>
      <c r="G26" s="52">
        <v>0</v>
      </c>
      <c r="H26" s="52">
        <v>30687986</v>
      </c>
      <c r="I26" s="29">
        <f>IF('１①貸借対照表(25)'!T25=SUM(D26:H26),SUM(D26:H26),"NG")</f>
        <v>778066916</v>
      </c>
      <c r="J26" s="29">
        <f>'２①損益計算書(25)'!V25</f>
        <v>30687986</v>
      </c>
      <c r="K26" s="52">
        <v>0</v>
      </c>
      <c r="L26" s="52">
        <f t="shared" si="1"/>
        <v>30687986</v>
      </c>
      <c r="M26" s="29">
        <v>0</v>
      </c>
      <c r="N26" s="52">
        <v>0</v>
      </c>
      <c r="O26" s="52">
        <v>30687986</v>
      </c>
      <c r="P26" s="52">
        <v>0</v>
      </c>
      <c r="Q26" s="29">
        <v>0</v>
      </c>
      <c r="R26" s="4" t="s">
        <v>435</v>
      </c>
    </row>
    <row r="27" spans="1:18">
      <c r="A27" s="26">
        <f>'法人一覧(25)'!A26</f>
        <v>23</v>
      </c>
      <c r="B27" s="32" t="str">
        <f>'法人一覧(25)'!B26</f>
        <v>文部科学省</v>
      </c>
      <c r="C27" s="32" t="str">
        <f>'法人一覧(25)'!C26</f>
        <v>教員研修センター</v>
      </c>
      <c r="D27" s="52">
        <v>0</v>
      </c>
      <c r="E27" s="52">
        <v>0</v>
      </c>
      <c r="F27" s="52">
        <v>226988</v>
      </c>
      <c r="G27" s="52">
        <v>0</v>
      </c>
      <c r="H27" s="52">
        <v>927002</v>
      </c>
      <c r="I27" s="29">
        <f>IF('１①貸借対照表(25)'!T26=SUM(D27:H27),SUM(D27:H27),"NG")</f>
        <v>1153990</v>
      </c>
      <c r="J27" s="29">
        <f>'２①損益計算書(25)'!V26</f>
        <v>927002</v>
      </c>
      <c r="K27" s="52">
        <v>0</v>
      </c>
      <c r="L27" s="52">
        <f t="shared" si="1"/>
        <v>927002</v>
      </c>
      <c r="M27" s="29">
        <v>0</v>
      </c>
      <c r="N27" s="52">
        <v>0</v>
      </c>
      <c r="O27" s="52">
        <v>927002</v>
      </c>
      <c r="P27" s="52">
        <v>0</v>
      </c>
      <c r="Q27" s="29">
        <v>0</v>
      </c>
      <c r="R27" s="4" t="s">
        <v>435</v>
      </c>
    </row>
    <row r="28" spans="1:18" ht="31.8" customHeight="1">
      <c r="A28" s="26">
        <f>'法人一覧(25)'!A27</f>
        <v>24</v>
      </c>
      <c r="B28" s="32" t="str">
        <f>'法人一覧(25)'!B27</f>
        <v>文部科学省</v>
      </c>
      <c r="C28" s="32" t="str">
        <f>'法人一覧(25)'!C27</f>
        <v>科学技術振興機構</v>
      </c>
      <c r="D28" s="52">
        <v>8327740</v>
      </c>
      <c r="E28" s="52">
        <v>24022796</v>
      </c>
      <c r="F28" s="52">
        <v>1167079201</v>
      </c>
      <c r="G28" s="52">
        <v>0</v>
      </c>
      <c r="H28" s="52">
        <f>98854051-75113930596</f>
        <v>-75015076545</v>
      </c>
      <c r="I28" s="29">
        <f>IF('１①貸借対照表(25)'!T27=SUM(D28:H28),SUM(D28:H28),"NG")</f>
        <v>-73815646808</v>
      </c>
      <c r="J28" s="29">
        <f>'２①損益計算書(25)'!V27</f>
        <v>495116256</v>
      </c>
      <c r="K28" s="52">
        <v>-75510192801</v>
      </c>
      <c r="L28" s="52">
        <f t="shared" si="1"/>
        <v>-75015076545</v>
      </c>
      <c r="M28" s="29">
        <v>0</v>
      </c>
      <c r="N28" s="52">
        <v>33599668</v>
      </c>
      <c r="O28" s="52">
        <v>65254383</v>
      </c>
      <c r="P28" s="52">
        <v>0</v>
      </c>
      <c r="Q28" s="29">
        <v>-75113930596</v>
      </c>
      <c r="R28" s="57" t="s">
        <v>350</v>
      </c>
    </row>
    <row r="29" spans="1:18">
      <c r="A29" s="26">
        <f>'法人一覧(25)'!A28</f>
        <v>25</v>
      </c>
      <c r="B29" s="32" t="str">
        <f>'法人一覧(25)'!B28</f>
        <v>文部科学省</v>
      </c>
      <c r="C29" s="32" t="str">
        <f>'法人一覧(25)'!C28</f>
        <v>日本学術振興会</v>
      </c>
      <c r="D29" s="52">
        <v>0</v>
      </c>
      <c r="E29" s="52">
        <v>0</v>
      </c>
      <c r="F29" s="52">
        <v>457687</v>
      </c>
      <c r="G29" s="52">
        <v>0</v>
      </c>
      <c r="H29" s="52">
        <v>278921331</v>
      </c>
      <c r="I29" s="29">
        <f>IF('１①貸借対照表(25)'!T28=SUM(D29:H29),SUM(D29:H29),"NG")</f>
        <v>279379018</v>
      </c>
      <c r="J29" s="29">
        <f>'２①損益計算書(25)'!V28</f>
        <v>278921331</v>
      </c>
      <c r="K29" s="52">
        <v>0</v>
      </c>
      <c r="L29" s="52">
        <f t="shared" si="1"/>
        <v>278921331</v>
      </c>
      <c r="M29" s="29">
        <v>0</v>
      </c>
      <c r="N29" s="52">
        <v>0</v>
      </c>
      <c r="O29" s="52">
        <v>278921331</v>
      </c>
      <c r="P29" s="52">
        <v>0</v>
      </c>
      <c r="Q29" s="29">
        <v>0</v>
      </c>
      <c r="R29" s="4" t="s">
        <v>435</v>
      </c>
    </row>
    <row r="30" spans="1:18" ht="31.8" customHeight="1">
      <c r="A30" s="26">
        <f>'法人一覧(25)'!A29</f>
        <v>26</v>
      </c>
      <c r="B30" s="32" t="str">
        <f>'法人一覧(25)'!B29</f>
        <v>文部科学省</v>
      </c>
      <c r="C30" s="32" t="str">
        <f>'法人一覧(25)'!C29</f>
        <v>理化学研究所</v>
      </c>
      <c r="D30" s="52">
        <v>3317288092</v>
      </c>
      <c r="E30" s="52">
        <v>0</v>
      </c>
      <c r="F30" s="52">
        <v>0</v>
      </c>
      <c r="G30" s="52">
        <v>0</v>
      </c>
      <c r="H30" s="52">
        <v>1462250996</v>
      </c>
      <c r="I30" s="29">
        <f>IF('１①貸借対照表(25)'!T29=SUM(D30:H30),SUM(D30:H30),"NG")</f>
        <v>4779539088</v>
      </c>
      <c r="J30" s="29">
        <f>'２①損益計算書(25)'!V29</f>
        <v>1462250996</v>
      </c>
      <c r="K30" s="52">
        <v>0</v>
      </c>
      <c r="L30" s="52">
        <f t="shared" si="1"/>
        <v>1462250996</v>
      </c>
      <c r="M30" s="29">
        <v>0</v>
      </c>
      <c r="N30" s="52">
        <v>49943953</v>
      </c>
      <c r="O30" s="52">
        <v>1412307043</v>
      </c>
      <c r="P30" s="52">
        <v>0</v>
      </c>
      <c r="Q30" s="29">
        <v>0</v>
      </c>
      <c r="R30" s="57" t="s">
        <v>351</v>
      </c>
    </row>
    <row r="31" spans="1:18">
      <c r="A31" s="26">
        <f>'法人一覧(25)'!A30</f>
        <v>27</v>
      </c>
      <c r="B31" s="32" t="str">
        <f>'法人一覧(25)'!B30</f>
        <v>文部科学省</v>
      </c>
      <c r="C31" s="32" t="str">
        <f>'法人一覧(25)'!C30</f>
        <v>宇宙航空研究開発機構</v>
      </c>
      <c r="D31" s="52">
        <v>0</v>
      </c>
      <c r="E31" s="52">
        <v>0</v>
      </c>
      <c r="F31" s="52">
        <v>0</v>
      </c>
      <c r="G31" s="52">
        <v>0</v>
      </c>
      <c r="H31" s="52">
        <v>-16862153048</v>
      </c>
      <c r="I31" s="29">
        <f>IF('１①貸借対照表(25)'!T30=SUM(D31:H31),SUM(D31:H31),"NG")</f>
        <v>-16862153048</v>
      </c>
      <c r="J31" s="29">
        <f>'２①損益計算書(25)'!V30</f>
        <v>-11785780077</v>
      </c>
      <c r="K31" s="52">
        <v>-5076372971</v>
      </c>
      <c r="L31" s="52">
        <f t="shared" si="1"/>
        <v>-16862153048</v>
      </c>
      <c r="M31" s="29">
        <v>0</v>
      </c>
      <c r="N31" s="52">
        <v>0</v>
      </c>
      <c r="O31" s="52">
        <v>0</v>
      </c>
      <c r="P31" s="52">
        <v>0</v>
      </c>
      <c r="Q31" s="29">
        <v>-16862153048</v>
      </c>
      <c r="R31" s="4" t="s">
        <v>435</v>
      </c>
    </row>
    <row r="32" spans="1:18">
      <c r="A32" s="26">
        <f>'法人一覧(25)'!A31</f>
        <v>28</v>
      </c>
      <c r="B32" s="32" t="str">
        <f>'法人一覧(25)'!B31</f>
        <v>文部科学省</v>
      </c>
      <c r="C32" s="32" t="str">
        <f>'法人一覧(25)'!C31</f>
        <v>日本スポーツ振興センター</v>
      </c>
      <c r="D32" s="52">
        <v>2985629859</v>
      </c>
      <c r="E32" s="52">
        <v>0</v>
      </c>
      <c r="F32" s="52">
        <v>4899982679</v>
      </c>
      <c r="G32" s="52">
        <v>0</v>
      </c>
      <c r="H32" s="52">
        <v>1052392426</v>
      </c>
      <c r="I32" s="29">
        <f>IF('１①貸借対照表(25)'!T31=SUM(D32:H32),SUM(D32:H32),"NG")</f>
        <v>8938004964</v>
      </c>
      <c r="J32" s="29">
        <f>'２①損益計算書(25)'!V31</f>
        <v>1052392426</v>
      </c>
      <c r="K32" s="52">
        <v>0</v>
      </c>
      <c r="L32" s="52">
        <f t="shared" si="1"/>
        <v>1052392426</v>
      </c>
      <c r="M32" s="52">
        <v>0</v>
      </c>
      <c r="N32" s="29">
        <v>0</v>
      </c>
      <c r="O32" s="52">
        <f>1495579446-443187020</f>
        <v>1052392426</v>
      </c>
      <c r="P32" s="52">
        <v>0</v>
      </c>
      <c r="Q32" s="52">
        <v>0</v>
      </c>
      <c r="R32" s="4" t="s">
        <v>435</v>
      </c>
    </row>
    <row r="33" spans="1:18" ht="32.4" customHeight="1">
      <c r="A33" s="26">
        <f>'法人一覧(25)'!A32</f>
        <v>29</v>
      </c>
      <c r="B33" s="32" t="str">
        <f>'法人一覧(25)'!B32</f>
        <v>文部科学省</v>
      </c>
      <c r="C33" s="32" t="str">
        <f>'法人一覧(25)'!C32</f>
        <v>日本芸術文化振興会</v>
      </c>
      <c r="D33" s="52">
        <v>797500844</v>
      </c>
      <c r="E33" s="52">
        <v>0</v>
      </c>
      <c r="F33" s="52">
        <v>0</v>
      </c>
      <c r="G33" s="52">
        <v>0</v>
      </c>
      <c r="H33" s="52">
        <v>450545820</v>
      </c>
      <c r="I33" s="29">
        <f>IF('１①貸借対照表(25)'!T32=SUM(D33:H33),SUM(D33:H33),"NG")</f>
        <v>1248046664</v>
      </c>
      <c r="J33" s="29">
        <f>'２①損益計算書(25)'!V32</f>
        <v>450545820</v>
      </c>
      <c r="K33" s="52">
        <v>0</v>
      </c>
      <c r="L33" s="52">
        <f t="shared" si="1"/>
        <v>450545820</v>
      </c>
      <c r="M33" s="52">
        <v>0</v>
      </c>
      <c r="N33" s="52">
        <f>7130698+73350809</f>
        <v>80481507</v>
      </c>
      <c r="O33" s="52">
        <v>370064313</v>
      </c>
      <c r="P33" s="52">
        <v>0</v>
      </c>
      <c r="Q33" s="52">
        <v>0</v>
      </c>
      <c r="R33" s="57" t="s">
        <v>556</v>
      </c>
    </row>
    <row r="34" spans="1:18">
      <c r="A34" s="26">
        <f>'法人一覧(25)'!A33</f>
        <v>30</v>
      </c>
      <c r="B34" s="32" t="str">
        <f>'法人一覧(25)'!B33</f>
        <v>文部科学省</v>
      </c>
      <c r="C34" s="32" t="str">
        <f>'法人一覧(25)'!C33</f>
        <v>日本学生支援機構</v>
      </c>
      <c r="D34" s="52">
        <v>624125227</v>
      </c>
      <c r="E34" s="52">
        <v>0</v>
      </c>
      <c r="F34" s="52">
        <v>13665691694</v>
      </c>
      <c r="G34" s="52">
        <v>0</v>
      </c>
      <c r="H34" s="52">
        <v>5611360790</v>
      </c>
      <c r="I34" s="29">
        <f>IF('１①貸借対照表(25)'!T33=SUM(D34:H34),SUM(D34:H34),"NG")</f>
        <v>19901177711</v>
      </c>
      <c r="J34" s="29">
        <f>'２①損益計算書(25)'!V33</f>
        <v>5611360790</v>
      </c>
      <c r="K34" s="52">
        <v>0</v>
      </c>
      <c r="L34" s="52">
        <f t="shared" si="1"/>
        <v>5611360790</v>
      </c>
      <c r="M34" s="52">
        <v>624125227</v>
      </c>
      <c r="N34" s="52">
        <v>0</v>
      </c>
      <c r="O34" s="52">
        <f>6235486017</f>
        <v>6235486017</v>
      </c>
      <c r="P34" s="52">
        <v>0</v>
      </c>
      <c r="Q34" s="52">
        <v>0</v>
      </c>
      <c r="R34" s="4" t="s">
        <v>435</v>
      </c>
    </row>
    <row r="35" spans="1:18">
      <c r="A35" s="26">
        <f>'法人一覧(25)'!A34</f>
        <v>31</v>
      </c>
      <c r="B35" s="32" t="str">
        <f>'法人一覧(25)'!B34</f>
        <v>文部科学省</v>
      </c>
      <c r="C35" s="32" t="str">
        <f>'法人一覧(25)'!C34</f>
        <v>海洋研究開発機構</v>
      </c>
      <c r="D35" s="29">
        <v>53301152</v>
      </c>
      <c r="E35" s="29">
        <v>0</v>
      </c>
      <c r="F35" s="29">
        <v>207028115</v>
      </c>
      <c r="G35" s="29">
        <v>0</v>
      </c>
      <c r="H35" s="29">
        <v>6905662487</v>
      </c>
      <c r="I35" s="29">
        <f>IF('１①貸借対照表(25)'!T34=SUM(D35:H35),SUM(D35:H35),"NG")</f>
        <v>7165991754</v>
      </c>
      <c r="J35" s="29">
        <f>'２①損益計算書(25)'!V34</f>
        <v>6905662487</v>
      </c>
      <c r="K35" s="29">
        <v>0</v>
      </c>
      <c r="L35" s="29">
        <f t="shared" si="1"/>
        <v>6905662487</v>
      </c>
      <c r="M35" s="29">
        <v>53301152</v>
      </c>
      <c r="N35" s="29">
        <v>0</v>
      </c>
      <c r="O35" s="29">
        <v>6958963639</v>
      </c>
      <c r="P35" s="29">
        <v>0</v>
      </c>
      <c r="Q35" s="29">
        <v>0</v>
      </c>
      <c r="R35" s="4" t="s">
        <v>435</v>
      </c>
    </row>
    <row r="36" spans="1:18">
      <c r="A36" s="26">
        <f>'法人一覧(25)'!A35</f>
        <v>32</v>
      </c>
      <c r="B36" s="32" t="str">
        <f>'法人一覧(25)'!B35</f>
        <v>文部科学省</v>
      </c>
      <c r="C36" s="32" t="str">
        <f>'法人一覧(25)'!C35</f>
        <v>国立高等専門学校機構</v>
      </c>
      <c r="D36" s="52">
        <v>16255655</v>
      </c>
      <c r="E36" s="52">
        <v>0</v>
      </c>
      <c r="F36" s="52">
        <v>429573496</v>
      </c>
      <c r="G36" s="52">
        <v>0</v>
      </c>
      <c r="H36" s="52">
        <v>1224137112</v>
      </c>
      <c r="I36" s="29">
        <f>IF('１①貸借対照表(25)'!T35=SUM(D36:H36),SUM(D36:H36),"NG")</f>
        <v>1669966263</v>
      </c>
      <c r="J36" s="29">
        <f>'２①損益計算書(25)'!V35</f>
        <v>1224137112</v>
      </c>
      <c r="K36" s="52">
        <v>0</v>
      </c>
      <c r="L36" s="52">
        <f t="shared" si="1"/>
        <v>1224137112</v>
      </c>
      <c r="M36" s="52">
        <v>16255655</v>
      </c>
      <c r="N36" s="52">
        <v>0</v>
      </c>
      <c r="O36" s="52">
        <v>1240392767</v>
      </c>
      <c r="P36" s="52">
        <v>0</v>
      </c>
      <c r="Q36" s="52">
        <v>0</v>
      </c>
      <c r="R36" s="4" t="s">
        <v>435</v>
      </c>
    </row>
    <row r="37" spans="1:18">
      <c r="A37" s="26">
        <f>'法人一覧(25)'!A36</f>
        <v>33</v>
      </c>
      <c r="B37" s="32" t="str">
        <f>'法人一覧(25)'!B36</f>
        <v>文部科学省</v>
      </c>
      <c r="C37" s="32" t="str">
        <f>'法人一覧(25)'!C36</f>
        <v>大学評価・学位授与機構</v>
      </c>
      <c r="D37" s="29">
        <v>0</v>
      </c>
      <c r="E37" s="29">
        <v>0</v>
      </c>
      <c r="F37" s="29">
        <v>26400</v>
      </c>
      <c r="G37" s="29">
        <v>0</v>
      </c>
      <c r="H37" s="29">
        <v>116957331</v>
      </c>
      <c r="I37" s="29">
        <f>IF('１①貸借対照表(25)'!T36=SUM(D37:H37),SUM(D37:H37),"NG")</f>
        <v>116983731</v>
      </c>
      <c r="J37" s="29">
        <f>'２①損益計算書(25)'!V36</f>
        <v>116957331</v>
      </c>
      <c r="K37" s="29">
        <v>0</v>
      </c>
      <c r="L37" s="29">
        <f t="shared" si="1"/>
        <v>116957331</v>
      </c>
      <c r="M37" s="29">
        <v>0</v>
      </c>
      <c r="N37" s="29">
        <v>0</v>
      </c>
      <c r="O37" s="29">
        <v>116957331</v>
      </c>
      <c r="P37" s="29">
        <v>0</v>
      </c>
      <c r="Q37" s="29">
        <v>0</v>
      </c>
      <c r="R37" s="4" t="s">
        <v>435</v>
      </c>
    </row>
    <row r="38" spans="1:18">
      <c r="A38" s="26">
        <f>'法人一覧(25)'!A37</f>
        <v>34</v>
      </c>
      <c r="B38" s="32" t="str">
        <f>'法人一覧(25)'!B37</f>
        <v>文部科学省</v>
      </c>
      <c r="C38" s="32" t="str">
        <f>'法人一覧(25)'!C37</f>
        <v>国立大学財務・経営センター</v>
      </c>
      <c r="D38" s="52">
        <v>0</v>
      </c>
      <c r="E38" s="52">
        <v>0</v>
      </c>
      <c r="F38" s="52">
        <v>127106946</v>
      </c>
      <c r="G38" s="52">
        <v>25905921943</v>
      </c>
      <c r="H38" s="52">
        <v>1414069096</v>
      </c>
      <c r="I38" s="29">
        <f>IF('１①貸借対照表(25)'!T37=SUM(D38:H38),SUM(D38:H38),"NG")</f>
        <v>27447097985</v>
      </c>
      <c r="J38" s="29">
        <f>'２①損益計算書(25)'!V37</f>
        <v>1414069096</v>
      </c>
      <c r="K38" s="52">
        <v>0</v>
      </c>
      <c r="L38" s="52">
        <f t="shared" si="1"/>
        <v>1414069096</v>
      </c>
      <c r="M38" s="52">
        <v>0</v>
      </c>
      <c r="N38" s="52">
        <v>0</v>
      </c>
      <c r="O38" s="52">
        <v>367800534</v>
      </c>
      <c r="P38" s="52">
        <v>1046268562</v>
      </c>
      <c r="Q38" s="52">
        <v>0</v>
      </c>
      <c r="R38" s="4" t="s">
        <v>237</v>
      </c>
    </row>
    <row r="39" spans="1:18">
      <c r="A39" s="26">
        <f>'法人一覧(25)'!A38</f>
        <v>35</v>
      </c>
      <c r="B39" s="32" t="str">
        <f>'法人一覧(25)'!B38</f>
        <v>文部科学省</v>
      </c>
      <c r="C39" s="32" t="str">
        <f>'法人一覧(25)'!C38</f>
        <v>日本原子力研究開発機構</v>
      </c>
      <c r="D39" s="52">
        <f>886461937+1423196644</f>
        <v>2309658581</v>
      </c>
      <c r="E39" s="52">
        <v>0</v>
      </c>
      <c r="F39" s="52">
        <f>2262522419</f>
        <v>2262522419</v>
      </c>
      <c r="G39" s="52">
        <v>18770749197</v>
      </c>
      <c r="H39" s="52">
        <f>-164859155-1847945388+1881274506</f>
        <v>-131530037</v>
      </c>
      <c r="I39" s="29">
        <f>IF('１①貸借対照表(25)'!T38=SUM(D39:H39),SUM(D39:H39),"NG")</f>
        <v>23211400160</v>
      </c>
      <c r="J39" s="29">
        <f>'２①損益計算書(25)'!V38</f>
        <v>1567352577</v>
      </c>
      <c r="K39" s="52">
        <v>-1698882614</v>
      </c>
      <c r="L39" s="52">
        <f t="shared" si="1"/>
        <v>-131530037</v>
      </c>
      <c r="M39" s="52">
        <v>0</v>
      </c>
      <c r="N39" s="52">
        <v>0</v>
      </c>
      <c r="O39" s="52">
        <f>-164859155</f>
        <v>-164859155</v>
      </c>
      <c r="P39" s="52">
        <v>1881274506</v>
      </c>
      <c r="Q39" s="52">
        <v>-1847945388</v>
      </c>
      <c r="R39" s="4" t="s">
        <v>435</v>
      </c>
    </row>
    <row r="40" spans="1:18">
      <c r="A40" s="26">
        <f>'法人一覧(25)'!A39</f>
        <v>36</v>
      </c>
      <c r="B40" s="32" t="str">
        <f>'法人一覧(25)'!B39</f>
        <v>厚生労働省</v>
      </c>
      <c r="C40" s="32" t="str">
        <f>'法人一覧(25)'!C39</f>
        <v>国立健康・栄養研究所</v>
      </c>
      <c r="D40" s="52">
        <v>0</v>
      </c>
      <c r="E40" s="52">
        <v>0</v>
      </c>
      <c r="F40" s="52">
        <v>16842501</v>
      </c>
      <c r="G40" s="52">
        <v>0</v>
      </c>
      <c r="H40" s="52">
        <v>89015073</v>
      </c>
      <c r="I40" s="29">
        <f>IF('１①貸借対照表(25)'!T39=SUM(D40:H40),SUM(D40:H40),"NG")</f>
        <v>105857574</v>
      </c>
      <c r="J40" s="29">
        <f>'２①損益計算書(25)'!V39</f>
        <v>89015073</v>
      </c>
      <c r="K40" s="52">
        <v>0</v>
      </c>
      <c r="L40" s="52">
        <f t="shared" si="1"/>
        <v>89015073</v>
      </c>
      <c r="M40" s="52">
        <v>0</v>
      </c>
      <c r="N40" s="52">
        <v>0</v>
      </c>
      <c r="O40" s="52">
        <v>89015073</v>
      </c>
      <c r="P40" s="52">
        <v>0</v>
      </c>
      <c r="Q40" s="52">
        <v>0</v>
      </c>
      <c r="R40" s="4" t="s">
        <v>435</v>
      </c>
    </row>
    <row r="41" spans="1:18">
      <c r="A41" s="26">
        <f>'法人一覧(25)'!A40</f>
        <v>37</v>
      </c>
      <c r="B41" s="32" t="str">
        <f>'法人一覧(25)'!B40</f>
        <v>厚生労働省</v>
      </c>
      <c r="C41" s="32" t="str">
        <f>'法人一覧(25)'!C40</f>
        <v>労働安全衛生総合研究所</v>
      </c>
      <c r="D41" s="52">
        <v>0</v>
      </c>
      <c r="E41" s="52">
        <v>0</v>
      </c>
      <c r="F41" s="52">
        <v>58399434</v>
      </c>
      <c r="G41" s="52">
        <v>0</v>
      </c>
      <c r="H41" s="52">
        <v>14667929</v>
      </c>
      <c r="I41" s="29">
        <f>IF('１①貸借対照表(25)'!T40=SUM(D41:H41),SUM(D41:H41),"NG")</f>
        <v>73067363</v>
      </c>
      <c r="J41" s="29">
        <f>'２①損益計算書(25)'!V40</f>
        <v>15272329</v>
      </c>
      <c r="K41" s="52">
        <v>-604400</v>
      </c>
      <c r="L41" s="52">
        <f t="shared" si="1"/>
        <v>14667929</v>
      </c>
      <c r="M41" s="52">
        <v>0</v>
      </c>
      <c r="N41" s="52">
        <v>0</v>
      </c>
      <c r="O41" s="52">
        <f>14387263+280666</f>
        <v>14667929</v>
      </c>
      <c r="P41" s="52">
        <v>0</v>
      </c>
      <c r="Q41" s="52">
        <v>0</v>
      </c>
      <c r="R41" s="4" t="s">
        <v>435</v>
      </c>
    </row>
    <row r="42" spans="1:18">
      <c r="A42" s="26">
        <f>'法人一覧(25)'!A41</f>
        <v>38</v>
      </c>
      <c r="B42" s="32" t="str">
        <f>'法人一覧(25)'!B41</f>
        <v>厚生労働省</v>
      </c>
      <c r="C42" s="32" t="str">
        <f>'法人一覧(25)'!C41</f>
        <v>勤労者退職金共済機構</v>
      </c>
      <c r="D42" s="29">
        <v>142298224369</v>
      </c>
      <c r="E42" s="29">
        <v>0</v>
      </c>
      <c r="F42" s="29">
        <v>0</v>
      </c>
      <c r="G42" s="29">
        <v>0</v>
      </c>
      <c r="H42" s="29">
        <v>179319035651</v>
      </c>
      <c r="I42" s="29">
        <f>IF('１①貸借対照表(25)'!T41=SUM(D42:H42),SUM(D42:H42),"NG")</f>
        <v>321617260020</v>
      </c>
      <c r="J42" s="29">
        <f>'２①損益計算書(25)'!V41</f>
        <v>183408777912</v>
      </c>
      <c r="K42" s="29">
        <v>-4089742261</v>
      </c>
      <c r="L42" s="29">
        <f t="shared" si="1"/>
        <v>179319035651</v>
      </c>
      <c r="M42" s="29">
        <v>0</v>
      </c>
      <c r="N42" s="29">
        <v>0</v>
      </c>
      <c r="O42" s="29">
        <f>180481598366</f>
        <v>180481598366</v>
      </c>
      <c r="P42" s="29">
        <v>0</v>
      </c>
      <c r="Q42" s="29">
        <v>-1162562715</v>
      </c>
      <c r="R42" s="4" t="s">
        <v>435</v>
      </c>
    </row>
    <row r="43" spans="1:18">
      <c r="A43" s="26">
        <f>'法人一覧(25)'!A42</f>
        <v>39</v>
      </c>
      <c r="B43" s="32" t="str">
        <f>'法人一覧(25)'!B42</f>
        <v>厚生労働省</v>
      </c>
      <c r="C43" s="32" t="str">
        <f>'法人一覧(25)'!C42</f>
        <v>高齢・障害・求職者雇用支援機構</v>
      </c>
      <c r="D43" s="29">
        <v>21847670537</v>
      </c>
      <c r="E43" s="29">
        <v>0</v>
      </c>
      <c r="F43" s="29">
        <v>0</v>
      </c>
      <c r="G43" s="29">
        <v>0</v>
      </c>
      <c r="H43" s="29">
        <v>4409945030</v>
      </c>
      <c r="I43" s="29">
        <f>IF('１①貸借対照表(25)'!T42=SUM(D43:H43),SUM(D43:H43),"NG")</f>
        <v>26257615567</v>
      </c>
      <c r="J43" s="29">
        <f>'２①損益計算書(25)'!V42</f>
        <v>4409945030</v>
      </c>
      <c r="K43" s="29">
        <v>0</v>
      </c>
      <c r="L43" s="29">
        <f t="shared" si="1"/>
        <v>4409945030</v>
      </c>
      <c r="M43" s="29">
        <v>0</v>
      </c>
      <c r="N43" s="29">
        <v>0</v>
      </c>
      <c r="O43" s="29">
        <v>4409945030</v>
      </c>
      <c r="P43" s="29">
        <v>0</v>
      </c>
      <c r="Q43" s="29">
        <v>0</v>
      </c>
      <c r="R43" s="4" t="s">
        <v>435</v>
      </c>
    </row>
    <row r="44" spans="1:18">
      <c r="A44" s="26">
        <f>'法人一覧(25)'!A43</f>
        <v>40</v>
      </c>
      <c r="B44" s="32" t="str">
        <f>'法人一覧(25)'!B43</f>
        <v>厚生労働省</v>
      </c>
      <c r="C44" s="32" t="str">
        <f>'法人一覧(25)'!C43</f>
        <v>福祉医療機構</v>
      </c>
      <c r="D44" s="29">
        <v>261922345</v>
      </c>
      <c r="E44" s="29">
        <v>0</v>
      </c>
      <c r="F44" s="29">
        <v>0</v>
      </c>
      <c r="G44" s="29">
        <v>0</v>
      </c>
      <c r="H44" s="29">
        <v>31868426945</v>
      </c>
      <c r="I44" s="29">
        <f>IF('１①貸借対照表(25)'!T43=SUM(D44:H44),SUM(D44:H44),"NG")</f>
        <v>32130349290</v>
      </c>
      <c r="J44" s="29">
        <f>'２①損益計算書(25)'!V43</f>
        <v>43215827078</v>
      </c>
      <c r="K44" s="29">
        <v>-11347400133</v>
      </c>
      <c r="L44" s="29">
        <f t="shared" si="1"/>
        <v>31868426945</v>
      </c>
      <c r="M44" s="29">
        <v>0</v>
      </c>
      <c r="N44" s="29">
        <v>0</v>
      </c>
      <c r="O44" s="29">
        <v>41374475858</v>
      </c>
      <c r="P44" s="29">
        <v>0</v>
      </c>
      <c r="Q44" s="29">
        <v>-9506048913</v>
      </c>
      <c r="R44" s="4" t="s">
        <v>435</v>
      </c>
    </row>
    <row r="45" spans="1:18">
      <c r="A45" s="26">
        <f>'法人一覧(25)'!A44</f>
        <v>41</v>
      </c>
      <c r="B45" s="32" t="str">
        <f>'法人一覧(25)'!B44</f>
        <v>厚生労働省</v>
      </c>
      <c r="C45" s="32" t="str">
        <f>'法人一覧(25)'!C44</f>
        <v>国立重度知的障害者総合施設のぞみの園</v>
      </c>
      <c r="D45" s="52">
        <v>0</v>
      </c>
      <c r="E45" s="52">
        <v>0</v>
      </c>
      <c r="F45" s="52">
        <v>0</v>
      </c>
      <c r="G45" s="52">
        <v>0</v>
      </c>
      <c r="H45" s="52">
        <v>0</v>
      </c>
      <c r="I45" s="29">
        <f>IF('１①貸借対照表(25)'!T44=SUM(D45:H45),SUM(D45:H45),"NG")</f>
        <v>0</v>
      </c>
      <c r="J45" s="29">
        <f>'２①損益計算書(25)'!V44</f>
        <v>0</v>
      </c>
      <c r="K45" s="52">
        <v>0</v>
      </c>
      <c r="L45" s="52">
        <f t="shared" si="1"/>
        <v>0</v>
      </c>
      <c r="M45" s="52">
        <v>0</v>
      </c>
      <c r="N45" s="52">
        <v>0</v>
      </c>
      <c r="O45" s="52">
        <v>0</v>
      </c>
      <c r="P45" s="52">
        <v>0</v>
      </c>
      <c r="Q45" s="52">
        <v>0</v>
      </c>
      <c r="R45" s="4" t="s">
        <v>435</v>
      </c>
    </row>
    <row r="46" spans="1:18">
      <c r="A46" s="26">
        <f>'法人一覧(25)'!A45</f>
        <v>42</v>
      </c>
      <c r="B46" s="32" t="str">
        <f>'法人一覧(25)'!B45</f>
        <v>厚生労働省</v>
      </c>
      <c r="C46" s="32" t="str">
        <f>'法人一覧(25)'!C45</f>
        <v>労働政策研究・研修機構</v>
      </c>
      <c r="D46" s="52">
        <v>0</v>
      </c>
      <c r="E46" s="52">
        <v>0</v>
      </c>
      <c r="F46" s="52">
        <v>11772180</v>
      </c>
      <c r="G46" s="52">
        <v>0</v>
      </c>
      <c r="H46" s="52">
        <v>1448431</v>
      </c>
      <c r="I46" s="29">
        <f>IF('１①貸借対照表(25)'!T45=SUM(D46:H46),SUM(D46:H46),"NG")</f>
        <v>13220611</v>
      </c>
      <c r="J46" s="29">
        <f>'２①損益計算書(25)'!V45</f>
        <v>1448431</v>
      </c>
      <c r="K46" s="52">
        <v>0</v>
      </c>
      <c r="L46" s="52">
        <f t="shared" si="1"/>
        <v>1448431</v>
      </c>
      <c r="M46" s="52">
        <v>0</v>
      </c>
      <c r="N46" s="52">
        <v>0</v>
      </c>
      <c r="O46" s="52">
        <v>1448431</v>
      </c>
      <c r="P46" s="52">
        <v>0</v>
      </c>
      <c r="Q46" s="52">
        <v>0</v>
      </c>
      <c r="R46" s="4" t="s">
        <v>435</v>
      </c>
    </row>
    <row r="47" spans="1:18">
      <c r="A47" s="26">
        <f>'法人一覧(25)'!A46</f>
        <v>43</v>
      </c>
      <c r="B47" s="32" t="str">
        <f>'法人一覧(25)'!B46</f>
        <v>厚生労働省</v>
      </c>
      <c r="C47" s="32" t="str">
        <f>'法人一覧(25)'!C46</f>
        <v>労働者健康福祉機構</v>
      </c>
      <c r="D47" s="52">
        <v>0</v>
      </c>
      <c r="E47" s="52">
        <v>0</v>
      </c>
      <c r="F47" s="52">
        <v>0</v>
      </c>
      <c r="G47" s="52">
        <v>0</v>
      </c>
      <c r="H47" s="52">
        <v>-41395359874</v>
      </c>
      <c r="I47" s="29">
        <f>IF('１①貸借対照表(25)'!T46=SUM(D47:H47),SUM(D47:H47),"NG")</f>
        <v>-41395359874</v>
      </c>
      <c r="J47" s="29">
        <f>'２①損益計算書(25)'!V46</f>
        <v>-4013810094</v>
      </c>
      <c r="K47" s="52">
        <v>-37381549780</v>
      </c>
      <c r="L47" s="52">
        <f t="shared" si="1"/>
        <v>-41395359874</v>
      </c>
      <c r="M47" s="52">
        <v>0</v>
      </c>
      <c r="N47" s="52">
        <v>0</v>
      </c>
      <c r="O47" s="52">
        <v>0</v>
      </c>
      <c r="P47" s="52">
        <v>0</v>
      </c>
      <c r="Q47" s="52">
        <v>-41395359874</v>
      </c>
      <c r="R47" s="4" t="s">
        <v>435</v>
      </c>
    </row>
    <row r="48" spans="1:18">
      <c r="A48" s="26">
        <f>'法人一覧(25)'!A47</f>
        <v>44</v>
      </c>
      <c r="B48" s="32" t="str">
        <f>'法人一覧(25)'!B47</f>
        <v>厚生労働省</v>
      </c>
      <c r="C48" s="32" t="str">
        <f>'法人一覧(25)'!C47</f>
        <v>国立病院機構</v>
      </c>
      <c r="D48" s="52">
        <v>0</v>
      </c>
      <c r="E48" s="52">
        <v>0</v>
      </c>
      <c r="F48" s="52">
        <v>0</v>
      </c>
      <c r="G48" s="52">
        <v>0</v>
      </c>
      <c r="H48" s="52">
        <v>1816724669</v>
      </c>
      <c r="I48" s="29">
        <f>IF('１①貸借対照表(25)'!T47=SUM(D48:H48),SUM(D48:H48),"NG")</f>
        <v>1816724669</v>
      </c>
      <c r="J48" s="29">
        <f>'２①損益計算書(25)'!V47</f>
        <v>2053838731</v>
      </c>
      <c r="K48" s="52">
        <v>-237114062</v>
      </c>
      <c r="L48" s="52">
        <f t="shared" si="1"/>
        <v>1816724669</v>
      </c>
      <c r="M48" s="52">
        <v>0</v>
      </c>
      <c r="N48" s="52">
        <v>0</v>
      </c>
      <c r="O48" s="52">
        <v>1816724669</v>
      </c>
      <c r="P48" s="52">
        <v>0</v>
      </c>
      <c r="Q48" s="52">
        <v>0</v>
      </c>
      <c r="R48" s="4" t="s">
        <v>435</v>
      </c>
    </row>
    <row r="49" spans="1:18">
      <c r="A49" s="26">
        <f>'法人一覧(25)'!A48</f>
        <v>45</v>
      </c>
      <c r="B49" s="32" t="str">
        <f>'法人一覧(25)'!B48</f>
        <v>厚生労働省</v>
      </c>
      <c r="C49" s="32" t="str">
        <f>'法人一覧(25)'!C48</f>
        <v>医薬品医療機器総合機構</v>
      </c>
      <c r="D49" s="29">
        <v>7052348986</v>
      </c>
      <c r="E49" s="29">
        <v>95214378</v>
      </c>
      <c r="F49" s="29">
        <v>18852424926</v>
      </c>
      <c r="G49" s="29">
        <v>0</v>
      </c>
      <c r="H49" s="29">
        <v>4671733371</v>
      </c>
      <c r="I49" s="29">
        <f>IF('１①貸借対照表(25)'!T48=SUM(D49:H49),SUM(D49:H49),"NG")</f>
        <v>30671721661</v>
      </c>
      <c r="J49" s="29">
        <f>'２①損益計算書(25)'!V48</f>
        <v>4671733371</v>
      </c>
      <c r="K49" s="29">
        <v>0</v>
      </c>
      <c r="L49" s="29">
        <f t="shared" si="1"/>
        <v>4671733371</v>
      </c>
      <c r="M49" s="52">
        <f>7051259792+95214378</f>
        <v>7146474170</v>
      </c>
      <c r="N49" s="29">
        <v>0</v>
      </c>
      <c r="O49" s="29">
        <v>11819306376</v>
      </c>
      <c r="P49" s="52">
        <f>-1089194</f>
        <v>-1089194</v>
      </c>
      <c r="Q49" s="52">
        <v>-9641</v>
      </c>
      <c r="R49" s="4"/>
    </row>
    <row r="50" spans="1:18">
      <c r="A50" s="26">
        <f>'法人一覧(25)'!A49</f>
        <v>46</v>
      </c>
      <c r="B50" s="32" t="str">
        <f>'法人一覧(25)'!B49</f>
        <v>厚生労働省</v>
      </c>
      <c r="C50" s="32" t="str">
        <f>'法人一覧(25)'!C49</f>
        <v>医薬基盤研究所</v>
      </c>
      <c r="D50" s="52">
        <v>104639500</v>
      </c>
      <c r="E50" s="52">
        <v>0</v>
      </c>
      <c r="F50" s="52">
        <v>833886149</v>
      </c>
      <c r="G50" s="52">
        <v>0</v>
      </c>
      <c r="H50" s="52">
        <v>-31731465720</v>
      </c>
      <c r="I50" s="29">
        <f>IF('１①貸借対照表(25)'!T49=SUM(D50:H50),SUM(D50:H50),"NG")</f>
        <v>-30792940071</v>
      </c>
      <c r="J50" s="29">
        <f>'２①損益計算書(25)'!V49</f>
        <v>214366488</v>
      </c>
      <c r="K50" s="52">
        <v>-31945832208</v>
      </c>
      <c r="L50" s="52">
        <f t="shared" si="1"/>
        <v>-31731465720</v>
      </c>
      <c r="M50" s="52">
        <v>0</v>
      </c>
      <c r="N50" s="52">
        <v>0</v>
      </c>
      <c r="O50" s="52">
        <v>211697009</v>
      </c>
      <c r="P50" s="52">
        <v>0</v>
      </c>
      <c r="Q50" s="52">
        <v>-31943162729</v>
      </c>
      <c r="R50" s="4" t="s">
        <v>435</v>
      </c>
    </row>
    <row r="51" spans="1:18">
      <c r="A51" s="26">
        <f>'法人一覧(25)'!A50</f>
        <v>47</v>
      </c>
      <c r="B51" s="32" t="str">
        <f>'法人一覧(25)'!B50</f>
        <v>厚生労働省</v>
      </c>
      <c r="C51" s="32" t="str">
        <f>'法人一覧(25)'!C50</f>
        <v>年金・健康保険福祉施設整理機構</v>
      </c>
      <c r="D51" s="52">
        <v>0</v>
      </c>
      <c r="E51" s="52">
        <v>0</v>
      </c>
      <c r="F51" s="52">
        <v>0</v>
      </c>
      <c r="G51" s="52">
        <v>0</v>
      </c>
      <c r="H51" s="52">
        <v>198880838292</v>
      </c>
      <c r="I51" s="29">
        <f>IF('１①貸借対照表(25)'!T50=SUM(D51:H51),SUM(D51:H51),"NG")</f>
        <v>198880838292</v>
      </c>
      <c r="J51" s="29">
        <f>'２①損益計算書(25)'!V50</f>
        <v>86652249361</v>
      </c>
      <c r="K51" s="52">
        <v>112228588931</v>
      </c>
      <c r="L51" s="52">
        <f t="shared" si="1"/>
        <v>198880838292</v>
      </c>
      <c r="M51" s="52">
        <v>0</v>
      </c>
      <c r="N51" s="52">
        <v>0</v>
      </c>
      <c r="O51" s="52">
        <v>0</v>
      </c>
      <c r="P51" s="52">
        <v>0</v>
      </c>
      <c r="Q51" s="52">
        <v>198880838292</v>
      </c>
      <c r="R51" s="4" t="s">
        <v>435</v>
      </c>
    </row>
    <row r="52" spans="1:18">
      <c r="A52" s="26">
        <f>'法人一覧(25)'!A51</f>
        <v>48</v>
      </c>
      <c r="B52" s="32" t="str">
        <f>'法人一覧(25)'!B51</f>
        <v>厚生労働省</v>
      </c>
      <c r="C52" s="32" t="str">
        <f>'法人一覧(25)'!C51</f>
        <v>年金積立金管理運用</v>
      </c>
      <c r="D52" s="52">
        <v>0</v>
      </c>
      <c r="E52" s="52">
        <v>0</v>
      </c>
      <c r="F52" s="52">
        <v>11600975554501</v>
      </c>
      <c r="G52" s="52">
        <v>0</v>
      </c>
      <c r="H52" s="52">
        <v>10193828992012</v>
      </c>
      <c r="I52" s="29">
        <f>IF('１①貸借対照表(25)'!T51=SUM(D52:H52),SUM(D52:H52),"NG")</f>
        <v>21794804546513</v>
      </c>
      <c r="J52" s="29">
        <f>'２①損益計算書(25)'!V51</f>
        <v>10193828992012</v>
      </c>
      <c r="K52" s="52">
        <v>0</v>
      </c>
      <c r="L52" s="52">
        <f t="shared" si="1"/>
        <v>10193828992012</v>
      </c>
      <c r="M52" s="52">
        <v>0</v>
      </c>
      <c r="N52" s="52">
        <v>0</v>
      </c>
      <c r="O52" s="52">
        <v>10193828992012</v>
      </c>
      <c r="P52" s="52">
        <v>0</v>
      </c>
      <c r="Q52" s="52">
        <v>0</v>
      </c>
      <c r="R52" s="4" t="s">
        <v>435</v>
      </c>
    </row>
    <row r="53" spans="1:18">
      <c r="A53" s="26">
        <f>'法人一覧(25)'!A52</f>
        <v>49</v>
      </c>
      <c r="B53" s="32" t="str">
        <f>'法人一覧(25)'!B52</f>
        <v>厚生労働省</v>
      </c>
      <c r="C53" s="32" t="str">
        <f>'法人一覧(25)'!C52</f>
        <v>国立がん研究センター</v>
      </c>
      <c r="D53" s="52">
        <v>0</v>
      </c>
      <c r="E53" s="52">
        <v>0</v>
      </c>
      <c r="F53" s="52">
        <v>3707444461</v>
      </c>
      <c r="G53" s="52">
        <v>0</v>
      </c>
      <c r="H53" s="52">
        <v>-1751998802</v>
      </c>
      <c r="I53" s="29">
        <f>IF('１①貸借対照表(25)'!T52=SUM(D53:H53),SUM(D53:H53),"NG")</f>
        <v>1955445659</v>
      </c>
      <c r="J53" s="29">
        <f>'２①損益計算書(25)'!V52</f>
        <v>-1751998802</v>
      </c>
      <c r="K53" s="52">
        <v>0</v>
      </c>
      <c r="L53" s="52">
        <f t="shared" si="1"/>
        <v>-1751998802</v>
      </c>
      <c r="M53" s="52">
        <v>0</v>
      </c>
      <c r="N53" s="52">
        <v>0</v>
      </c>
      <c r="O53" s="52">
        <v>-1751998802</v>
      </c>
      <c r="P53" s="52">
        <v>0</v>
      </c>
      <c r="Q53" s="52">
        <v>0</v>
      </c>
      <c r="R53" s="4" t="s">
        <v>435</v>
      </c>
    </row>
    <row r="54" spans="1:18">
      <c r="A54" s="26">
        <f>'法人一覧(25)'!A53</f>
        <v>50</v>
      </c>
      <c r="B54" s="32" t="str">
        <f>'法人一覧(25)'!B53</f>
        <v>厚生労働省</v>
      </c>
      <c r="C54" s="32" t="str">
        <f>'法人一覧(25)'!C53</f>
        <v>国立循環器病研究センター</v>
      </c>
      <c r="D54" s="52">
        <v>0</v>
      </c>
      <c r="E54" s="52">
        <v>0</v>
      </c>
      <c r="F54" s="52">
        <v>246206841</v>
      </c>
      <c r="G54" s="52">
        <v>0</v>
      </c>
      <c r="H54" s="52">
        <v>-219385182</v>
      </c>
      <c r="I54" s="29">
        <f>IF('１①貸借対照表(25)'!T53=SUM(D54:H54),SUM(D54:H54),"NG")</f>
        <v>26821659</v>
      </c>
      <c r="J54" s="29">
        <f>'２①損益計算書(25)'!V53</f>
        <v>-219385182</v>
      </c>
      <c r="K54" s="52">
        <v>0</v>
      </c>
      <c r="L54" s="52">
        <f t="shared" si="1"/>
        <v>-219385182</v>
      </c>
      <c r="M54" s="52">
        <v>0</v>
      </c>
      <c r="N54" s="52">
        <v>0</v>
      </c>
      <c r="O54" s="52">
        <v>-219385182</v>
      </c>
      <c r="P54" s="52">
        <v>0</v>
      </c>
      <c r="Q54" s="52">
        <v>0</v>
      </c>
      <c r="R54" s="4" t="s">
        <v>435</v>
      </c>
    </row>
    <row r="55" spans="1:18">
      <c r="A55" s="26">
        <f>'法人一覧(25)'!A54</f>
        <v>51</v>
      </c>
      <c r="B55" s="32" t="str">
        <f>'法人一覧(25)'!B54</f>
        <v>厚生労働省</v>
      </c>
      <c r="C55" s="32" t="str">
        <f>'法人一覧(25)'!C54</f>
        <v>国立精神・神経医療研究センター</v>
      </c>
      <c r="D55" s="52">
        <v>0</v>
      </c>
      <c r="E55" s="52">
        <v>0</v>
      </c>
      <c r="F55" s="52">
        <v>0</v>
      </c>
      <c r="G55" s="52">
        <v>0</v>
      </c>
      <c r="H55" s="52">
        <v>-1618208654</v>
      </c>
      <c r="I55" s="29">
        <f>IF('１①貸借対照表(25)'!T54=SUM(D55:H55),SUM(D55:H55),"NG")</f>
        <v>-1618208654</v>
      </c>
      <c r="J55" s="29">
        <f>'２①損益計算書(25)'!V54</f>
        <v>-229176391</v>
      </c>
      <c r="K55" s="52">
        <v>-1389032263</v>
      </c>
      <c r="L55" s="52">
        <f t="shared" si="1"/>
        <v>-1618208654</v>
      </c>
      <c r="M55" s="52">
        <v>0</v>
      </c>
      <c r="N55" s="52">
        <v>0</v>
      </c>
      <c r="O55" s="52">
        <v>0</v>
      </c>
      <c r="P55" s="52">
        <v>0</v>
      </c>
      <c r="Q55" s="52">
        <v>-1618208654</v>
      </c>
      <c r="R55" s="4" t="s">
        <v>435</v>
      </c>
    </row>
    <row r="56" spans="1:18">
      <c r="A56" s="26">
        <f>'法人一覧(25)'!A55</f>
        <v>52</v>
      </c>
      <c r="B56" s="32" t="str">
        <f>'法人一覧(25)'!B55</f>
        <v>厚生労働省</v>
      </c>
      <c r="C56" s="32" t="str">
        <f>'法人一覧(25)'!C55</f>
        <v>国立国際医療研究センター</v>
      </c>
      <c r="D56" s="52">
        <v>0</v>
      </c>
      <c r="E56" s="52">
        <v>0</v>
      </c>
      <c r="F56" s="52">
        <v>0</v>
      </c>
      <c r="G56" s="52">
        <v>0</v>
      </c>
      <c r="H56" s="52">
        <v>-3867639833</v>
      </c>
      <c r="I56" s="29">
        <f>IF('１①貸借対照表(25)'!T55=SUM(D56:H56),SUM(D56:H56),"NG")</f>
        <v>-3867639833</v>
      </c>
      <c r="J56" s="29">
        <f>'２①損益計算書(25)'!V55</f>
        <v>481013110</v>
      </c>
      <c r="K56" s="52">
        <v>-4348652943</v>
      </c>
      <c r="L56" s="52">
        <f t="shared" si="1"/>
        <v>-3867639833</v>
      </c>
      <c r="M56" s="52">
        <v>0</v>
      </c>
      <c r="N56" s="52">
        <v>0</v>
      </c>
      <c r="O56" s="52">
        <v>0</v>
      </c>
      <c r="P56" s="52">
        <v>0</v>
      </c>
      <c r="Q56" s="52">
        <v>-3867639833</v>
      </c>
      <c r="R56" s="4" t="s">
        <v>435</v>
      </c>
    </row>
    <row r="57" spans="1:18">
      <c r="A57" s="26">
        <f>'法人一覧(25)'!A56</f>
        <v>53</v>
      </c>
      <c r="B57" s="32" t="str">
        <f>'法人一覧(25)'!B56</f>
        <v>厚生労働省</v>
      </c>
      <c r="C57" s="32" t="str">
        <f>'法人一覧(25)'!C56</f>
        <v>国立成育医療研究センター</v>
      </c>
      <c r="D57" s="52">
        <v>0</v>
      </c>
      <c r="E57" s="52">
        <v>0</v>
      </c>
      <c r="F57" s="52">
        <v>2494508232</v>
      </c>
      <c r="G57" s="52">
        <v>0</v>
      </c>
      <c r="H57" s="52">
        <v>-538642100</v>
      </c>
      <c r="I57" s="29">
        <f>IF('１①貸借対照表(25)'!T56=SUM(D57:H57),SUM(D57:H57),"NG")</f>
        <v>1955866132</v>
      </c>
      <c r="J57" s="29">
        <f>'２①損益計算書(25)'!V56</f>
        <v>-538642100</v>
      </c>
      <c r="K57" s="52">
        <v>0</v>
      </c>
      <c r="L57" s="52">
        <f t="shared" si="1"/>
        <v>-538642100</v>
      </c>
      <c r="M57" s="52">
        <v>0</v>
      </c>
      <c r="N57" s="52">
        <v>0</v>
      </c>
      <c r="O57" s="52">
        <v>-538642100</v>
      </c>
      <c r="P57" s="52">
        <v>0</v>
      </c>
      <c r="Q57" s="52">
        <v>0</v>
      </c>
      <c r="R57" s="4" t="s">
        <v>435</v>
      </c>
    </row>
    <row r="58" spans="1:18">
      <c r="A58" s="26">
        <f>'法人一覧(25)'!A57</f>
        <v>54</v>
      </c>
      <c r="B58" s="32" t="str">
        <f>'法人一覧(25)'!B57</f>
        <v>厚生労働省</v>
      </c>
      <c r="C58" s="32" t="str">
        <f>'法人一覧(25)'!C57</f>
        <v>国立長寿医療研究センター</v>
      </c>
      <c r="D58" s="52">
        <v>0</v>
      </c>
      <c r="E58" s="52">
        <v>0</v>
      </c>
      <c r="F58" s="52">
        <v>598490455</v>
      </c>
      <c r="G58" s="52">
        <v>0</v>
      </c>
      <c r="H58" s="52">
        <v>577627154</v>
      </c>
      <c r="I58" s="29">
        <f>IF('１①貸借対照表(25)'!T57=SUM(D58:H58),SUM(D58:H58),"NG")</f>
        <v>1176117609</v>
      </c>
      <c r="J58" s="29">
        <f>'２①損益計算書(25)'!V57</f>
        <v>577627154</v>
      </c>
      <c r="K58" s="52">
        <v>0</v>
      </c>
      <c r="L58" s="52">
        <f t="shared" si="1"/>
        <v>577627154</v>
      </c>
      <c r="M58" s="52">
        <v>0</v>
      </c>
      <c r="N58" s="52">
        <v>0</v>
      </c>
      <c r="O58" s="52">
        <v>577627154</v>
      </c>
      <c r="P58" s="52">
        <v>0</v>
      </c>
      <c r="Q58" s="52">
        <v>0</v>
      </c>
      <c r="R58" s="4" t="s">
        <v>435</v>
      </c>
    </row>
    <row r="59" spans="1:18">
      <c r="A59" s="26">
        <f>'法人一覧(25)'!A58</f>
        <v>55</v>
      </c>
      <c r="B59" s="32" t="str">
        <f>'法人一覧(25)'!B58</f>
        <v>農林水産省</v>
      </c>
      <c r="C59" s="32" t="str">
        <f>'法人一覧(25)'!C58</f>
        <v>農林水産消費安全技術センター</v>
      </c>
      <c r="D59" s="52">
        <v>12</v>
      </c>
      <c r="E59" s="52">
        <v>0</v>
      </c>
      <c r="F59" s="52">
        <v>52727920</v>
      </c>
      <c r="G59" s="52">
        <v>0</v>
      </c>
      <c r="H59" s="52">
        <v>28944000</v>
      </c>
      <c r="I59" s="29">
        <f>IF('１①貸借対照表(25)'!T58=SUM(D59:H59),SUM(D59:H59),"NG")</f>
        <v>81671932</v>
      </c>
      <c r="J59" s="29">
        <f>'２①損益計算書(25)'!V58</f>
        <v>28944000</v>
      </c>
      <c r="K59" s="52">
        <v>0</v>
      </c>
      <c r="L59" s="52">
        <f t="shared" si="1"/>
        <v>28944000</v>
      </c>
      <c r="M59" s="52">
        <v>0</v>
      </c>
      <c r="N59" s="52">
        <v>0</v>
      </c>
      <c r="O59" s="52">
        <v>28944000</v>
      </c>
      <c r="P59" s="52">
        <v>0</v>
      </c>
      <c r="Q59" s="52"/>
      <c r="R59" s="4" t="s">
        <v>435</v>
      </c>
    </row>
    <row r="60" spans="1:18">
      <c r="A60" s="26">
        <f>'法人一覧(25)'!A59</f>
        <v>56</v>
      </c>
      <c r="B60" s="32" t="str">
        <f>'法人一覧(25)'!B59</f>
        <v>農林水産省</v>
      </c>
      <c r="C60" s="32" t="str">
        <f>'法人一覧(25)'!C59</f>
        <v>種苗管理センター</v>
      </c>
      <c r="D60" s="29">
        <v>0</v>
      </c>
      <c r="E60" s="29">
        <v>0</v>
      </c>
      <c r="F60" s="29">
        <v>2208337</v>
      </c>
      <c r="G60" s="29">
        <v>0</v>
      </c>
      <c r="H60" s="29">
        <v>491103</v>
      </c>
      <c r="I60" s="29">
        <f>IF('１①貸借対照表(25)'!T59=SUM(D60:H60),SUM(D60:H60),"NG")</f>
        <v>2699440</v>
      </c>
      <c r="J60" s="29">
        <f>'２①損益計算書(25)'!V59</f>
        <v>491103</v>
      </c>
      <c r="K60" s="29">
        <v>0</v>
      </c>
      <c r="L60" s="29">
        <f t="shared" si="1"/>
        <v>491103</v>
      </c>
      <c r="M60" s="29">
        <v>0</v>
      </c>
      <c r="N60" s="29">
        <v>0</v>
      </c>
      <c r="O60" s="29">
        <v>491103</v>
      </c>
      <c r="P60" s="29">
        <v>0</v>
      </c>
      <c r="Q60" s="29">
        <v>0</v>
      </c>
      <c r="R60" s="4" t="s">
        <v>435</v>
      </c>
    </row>
    <row r="61" spans="1:18">
      <c r="A61" s="26">
        <f>'法人一覧(25)'!A60</f>
        <v>57</v>
      </c>
      <c r="B61" s="32" t="str">
        <f>'法人一覧(25)'!B60</f>
        <v>農林水産省</v>
      </c>
      <c r="C61" s="32" t="str">
        <f>'法人一覧(25)'!C60</f>
        <v>家畜改良センター</v>
      </c>
      <c r="D61" s="29">
        <v>9323336</v>
      </c>
      <c r="E61" s="29">
        <v>0</v>
      </c>
      <c r="F61" s="29">
        <v>25171565</v>
      </c>
      <c r="G61" s="29">
        <v>0</v>
      </c>
      <c r="H61" s="29">
        <v>10341355</v>
      </c>
      <c r="I61" s="29">
        <f>IF('１①貸借対照表(25)'!T60=SUM(D61:H61),SUM(D61:H61),"NG")</f>
        <v>44836256</v>
      </c>
      <c r="J61" s="29">
        <f>'２①損益計算書(25)'!V60</f>
        <v>10341355</v>
      </c>
      <c r="K61" s="29">
        <v>0</v>
      </c>
      <c r="L61" s="29">
        <f t="shared" si="1"/>
        <v>10341355</v>
      </c>
      <c r="M61" s="29">
        <v>0</v>
      </c>
      <c r="N61" s="29">
        <v>0</v>
      </c>
      <c r="O61" s="29">
        <v>10341355</v>
      </c>
      <c r="P61" s="29">
        <v>0</v>
      </c>
      <c r="Q61" s="29">
        <v>0</v>
      </c>
      <c r="R61" s="4" t="s">
        <v>435</v>
      </c>
    </row>
    <row r="62" spans="1:18">
      <c r="A62" s="26">
        <f>'法人一覧(25)'!A61</f>
        <v>58</v>
      </c>
      <c r="B62" s="32" t="str">
        <f>'法人一覧(25)'!B61</f>
        <v>農林水産省</v>
      </c>
      <c r="C62" s="32" t="str">
        <f>'法人一覧(25)'!C61</f>
        <v>水産大学校</v>
      </c>
      <c r="D62" s="29">
        <v>7468069</v>
      </c>
      <c r="E62" s="29">
        <v>0</v>
      </c>
      <c r="F62" s="29">
        <v>19700199</v>
      </c>
      <c r="G62" s="29">
        <v>0</v>
      </c>
      <c r="H62" s="29">
        <v>4219437</v>
      </c>
      <c r="I62" s="29">
        <f>IF('１①貸借対照表(25)'!T61=SUM(D62:H62),SUM(D62:H62),"NG")</f>
        <v>31387705</v>
      </c>
      <c r="J62" s="29">
        <f>'２①損益計算書(25)'!V61</f>
        <v>4219437</v>
      </c>
      <c r="K62" s="29">
        <v>0</v>
      </c>
      <c r="L62" s="29">
        <f t="shared" si="1"/>
        <v>4219437</v>
      </c>
      <c r="M62" s="29">
        <v>0</v>
      </c>
      <c r="N62" s="29">
        <v>0</v>
      </c>
      <c r="O62" s="29">
        <v>4219437</v>
      </c>
      <c r="P62" s="29">
        <v>0</v>
      </c>
      <c r="Q62" s="29">
        <v>0</v>
      </c>
      <c r="R62" s="4" t="s">
        <v>435</v>
      </c>
    </row>
    <row r="63" spans="1:18">
      <c r="A63" s="26">
        <f>'法人一覧(25)'!A62</f>
        <v>59</v>
      </c>
      <c r="B63" s="32" t="str">
        <f>'法人一覧(25)'!B62</f>
        <v>農林水産省</v>
      </c>
      <c r="C63" s="32" t="str">
        <f>'法人一覧(25)'!C62</f>
        <v>農業・食品産業技術総合研究機構</v>
      </c>
      <c r="D63" s="29">
        <v>625055913</v>
      </c>
      <c r="E63" s="29">
        <v>0</v>
      </c>
      <c r="F63" s="29">
        <v>597278178</v>
      </c>
      <c r="G63" s="29">
        <v>0</v>
      </c>
      <c r="H63" s="29">
        <v>-29503150425</v>
      </c>
      <c r="I63" s="29">
        <f>IF('１①貸借対照表(25)'!T62=SUM(D63:H63),SUM(D63:H63),"NG")</f>
        <v>-28280816334</v>
      </c>
      <c r="J63" s="29">
        <f>'２①損益計算書(25)'!V62</f>
        <v>366318145</v>
      </c>
      <c r="K63" s="29">
        <v>-29869468570</v>
      </c>
      <c r="L63" s="29">
        <f t="shared" si="1"/>
        <v>-29503150425</v>
      </c>
      <c r="M63" s="29">
        <v>0</v>
      </c>
      <c r="N63" s="29">
        <v>0</v>
      </c>
      <c r="O63" s="29">
        <v>237539601</v>
      </c>
      <c r="P63" s="29">
        <v>0</v>
      </c>
      <c r="Q63" s="29">
        <v>-29740690026</v>
      </c>
      <c r="R63" s="4" t="s">
        <v>435</v>
      </c>
    </row>
    <row r="64" spans="1:18">
      <c r="A64" s="26">
        <f>'法人一覧(25)'!A63</f>
        <v>60</v>
      </c>
      <c r="B64" s="32" t="str">
        <f>'法人一覧(25)'!B63</f>
        <v>農林水産省</v>
      </c>
      <c r="C64" s="32" t="str">
        <f>'法人一覧(25)'!C63</f>
        <v>農業生物資源研究所</v>
      </c>
      <c r="D64" s="29">
        <v>44036554</v>
      </c>
      <c r="E64" s="29">
        <v>0</v>
      </c>
      <c r="F64" s="29">
        <v>253163489</v>
      </c>
      <c r="G64" s="29">
        <v>0</v>
      </c>
      <c r="H64" s="29">
        <v>57792038</v>
      </c>
      <c r="I64" s="29">
        <f>IF('１①貸借対照表(25)'!T63=SUM(D64:H64),SUM(D64:H64),"NG")</f>
        <v>354992081</v>
      </c>
      <c r="J64" s="29">
        <f>'２①損益計算書(25)'!V63</f>
        <v>57792038</v>
      </c>
      <c r="K64" s="29">
        <v>0</v>
      </c>
      <c r="L64" s="29">
        <f t="shared" si="1"/>
        <v>57792038</v>
      </c>
      <c r="M64" s="29">
        <v>0</v>
      </c>
      <c r="N64" s="29">
        <v>0</v>
      </c>
      <c r="O64" s="29">
        <v>57792038</v>
      </c>
      <c r="P64" s="29">
        <v>0</v>
      </c>
      <c r="Q64" s="29">
        <v>0</v>
      </c>
      <c r="R64" s="4" t="s">
        <v>435</v>
      </c>
    </row>
    <row r="65" spans="1:18">
      <c r="A65" s="26">
        <f>'法人一覧(25)'!A64</f>
        <v>61</v>
      </c>
      <c r="B65" s="32" t="str">
        <f>'法人一覧(25)'!B64</f>
        <v>農林水産省</v>
      </c>
      <c r="C65" s="32" t="str">
        <f>'法人一覧(25)'!C64</f>
        <v>農業環境技術研究所</v>
      </c>
      <c r="D65" s="29">
        <v>17746593</v>
      </c>
      <c r="E65" s="29">
        <v>0</v>
      </c>
      <c r="F65" s="29">
        <v>46250380</v>
      </c>
      <c r="G65" s="29">
        <v>0</v>
      </c>
      <c r="H65" s="29">
        <v>39796045</v>
      </c>
      <c r="I65" s="29">
        <f>IF('１①貸借対照表(25)'!T64=SUM(D65:H65),SUM(D65:H65),"NG")</f>
        <v>103793018</v>
      </c>
      <c r="J65" s="29">
        <f>'２①損益計算書(25)'!V64</f>
        <v>39796045</v>
      </c>
      <c r="K65" s="29">
        <v>0</v>
      </c>
      <c r="L65" s="29">
        <f t="shared" si="1"/>
        <v>39796045</v>
      </c>
      <c r="M65" s="29">
        <v>0</v>
      </c>
      <c r="N65" s="29">
        <v>0</v>
      </c>
      <c r="O65" s="29">
        <v>39796045</v>
      </c>
      <c r="P65" s="29">
        <v>0</v>
      </c>
      <c r="Q65" s="29">
        <v>0</v>
      </c>
      <c r="R65" s="4" t="s">
        <v>435</v>
      </c>
    </row>
    <row r="66" spans="1:18">
      <c r="A66" s="26">
        <f>'法人一覧(25)'!A65</f>
        <v>62</v>
      </c>
      <c r="B66" s="32" t="str">
        <f>'法人一覧(25)'!B65</f>
        <v>農林水産省</v>
      </c>
      <c r="C66" s="32" t="str">
        <f>'法人一覧(25)'!C65</f>
        <v>国際農林水産業研究センター</v>
      </c>
      <c r="D66" s="29">
        <v>5095211</v>
      </c>
      <c r="E66" s="29">
        <v>0</v>
      </c>
      <c r="F66" s="29">
        <v>41001789</v>
      </c>
      <c r="G66" s="29">
        <v>0</v>
      </c>
      <c r="H66" s="29">
        <v>23887273</v>
      </c>
      <c r="I66" s="29">
        <f>IF('１①貸借対照表(25)'!T65=SUM(D66:H66),SUM(D66:H66),"NG")</f>
        <v>69984273</v>
      </c>
      <c r="J66" s="29">
        <f>'２①損益計算書(25)'!V65</f>
        <v>23887273</v>
      </c>
      <c r="K66" s="29">
        <v>0</v>
      </c>
      <c r="L66" s="29">
        <f t="shared" si="1"/>
        <v>23887273</v>
      </c>
      <c r="M66" s="29">
        <v>0</v>
      </c>
      <c r="N66" s="29">
        <v>0</v>
      </c>
      <c r="O66" s="29">
        <v>23887273</v>
      </c>
      <c r="P66" s="29">
        <v>0</v>
      </c>
      <c r="Q66" s="29">
        <v>0</v>
      </c>
      <c r="R66" s="4" t="s">
        <v>435</v>
      </c>
    </row>
    <row r="67" spans="1:18">
      <c r="A67" s="26">
        <f>'法人一覧(25)'!A66</f>
        <v>63</v>
      </c>
      <c r="B67" s="32" t="str">
        <f>'法人一覧(25)'!B66</f>
        <v>農林水産省</v>
      </c>
      <c r="C67" s="32" t="str">
        <f>'法人一覧(25)'!C66</f>
        <v>森林総合研究所</v>
      </c>
      <c r="D67" s="52">
        <v>4304570878</v>
      </c>
      <c r="E67" s="52">
        <v>0</v>
      </c>
      <c r="F67" s="52">
        <v>1345657817</v>
      </c>
      <c r="G67" s="52">
        <v>0</v>
      </c>
      <c r="H67" s="52">
        <v>637798842</v>
      </c>
      <c r="I67" s="29">
        <f>IF('１①貸借対照表(25)'!T66=SUM(D67:H67),SUM(D67:H67),"NG")</f>
        <v>6288027537</v>
      </c>
      <c r="J67" s="29">
        <f>'２①損益計算書(25)'!V66</f>
        <v>637798842</v>
      </c>
      <c r="K67" s="29">
        <v>0</v>
      </c>
      <c r="L67" s="52">
        <f t="shared" si="1"/>
        <v>637798842</v>
      </c>
      <c r="M67" s="29">
        <v>0</v>
      </c>
      <c r="N67" s="52">
        <v>0</v>
      </c>
      <c r="O67" s="52">
        <v>637798872</v>
      </c>
      <c r="P67" s="52">
        <v>0</v>
      </c>
      <c r="Q67" s="29">
        <v>0</v>
      </c>
      <c r="R67" s="4" t="s">
        <v>435</v>
      </c>
    </row>
    <row r="68" spans="1:18">
      <c r="A68" s="26">
        <f>'法人一覧(25)'!A67</f>
        <v>64</v>
      </c>
      <c r="B68" s="32" t="str">
        <f>'法人一覧(25)'!B67</f>
        <v>農林水産省</v>
      </c>
      <c r="C68" s="32" t="str">
        <f>'法人一覧(25)'!C67</f>
        <v>水産総合研究センター</v>
      </c>
      <c r="D68" s="65">
        <v>33985613</v>
      </c>
      <c r="E68" s="65">
        <v>0</v>
      </c>
      <c r="F68" s="65">
        <v>292934664</v>
      </c>
      <c r="G68" s="65">
        <v>0</v>
      </c>
      <c r="H68" s="29">
        <v>54804428</v>
      </c>
      <c r="I68" s="29">
        <f>IF('１①貸借対照表(25)'!T67=SUM(D68:H68),SUM(D68:H68),"NG")</f>
        <v>381724705</v>
      </c>
      <c r="J68" s="29">
        <f>'２①損益計算書(25)'!V67</f>
        <v>54804428</v>
      </c>
      <c r="K68" s="29">
        <v>0</v>
      </c>
      <c r="L68" s="29">
        <f t="shared" si="1"/>
        <v>54804428</v>
      </c>
      <c r="M68" s="29">
        <v>0</v>
      </c>
      <c r="N68" s="29">
        <v>0</v>
      </c>
      <c r="O68" s="29">
        <v>54804428</v>
      </c>
      <c r="P68" s="29">
        <v>0</v>
      </c>
      <c r="Q68" s="29">
        <v>0</v>
      </c>
      <c r="R68" s="4" t="s">
        <v>435</v>
      </c>
    </row>
    <row r="69" spans="1:18">
      <c r="A69" s="26">
        <f>'法人一覧(25)'!A68</f>
        <v>65</v>
      </c>
      <c r="B69" s="32" t="str">
        <f>'法人一覧(25)'!B68</f>
        <v>農林水産省</v>
      </c>
      <c r="C69" s="32" t="str">
        <f>'法人一覧(25)'!C68</f>
        <v>農畜産業振興機構</v>
      </c>
      <c r="D69" s="29">
        <v>20707196989</v>
      </c>
      <c r="E69" s="29">
        <v>0</v>
      </c>
      <c r="F69" s="29">
        <v>0</v>
      </c>
      <c r="G69" s="29">
        <v>0</v>
      </c>
      <c r="H69" s="29">
        <v>-26560791050</v>
      </c>
      <c r="I69" s="29">
        <f>IF('１①貸借対照表(25)'!T68=SUM(D69:H69),SUM(D69:H69),"NG")</f>
        <v>-5853594061</v>
      </c>
      <c r="J69" s="29">
        <f>'２①損益計算書(25)'!V68</f>
        <v>3252410305</v>
      </c>
      <c r="K69" s="29">
        <v>-29813201355</v>
      </c>
      <c r="L69" s="29">
        <f t="shared" si="1"/>
        <v>-26560791050</v>
      </c>
      <c r="M69" s="29">
        <v>0</v>
      </c>
      <c r="N69" s="29">
        <v>0</v>
      </c>
      <c r="O69" s="29">
        <f>314950491+2433172</f>
        <v>317383663</v>
      </c>
      <c r="P69" s="29">
        <v>0</v>
      </c>
      <c r="Q69" s="29">
        <v>0</v>
      </c>
      <c r="R69" s="4" t="s">
        <v>435</v>
      </c>
    </row>
    <row r="70" spans="1:18">
      <c r="A70" s="26">
        <f>'法人一覧(25)'!A69</f>
        <v>66</v>
      </c>
      <c r="B70" s="32" t="str">
        <f>'法人一覧(25)'!B69</f>
        <v>農林水産省</v>
      </c>
      <c r="C70" s="32" t="str">
        <f>'法人一覧(25)'!C69</f>
        <v>農業者年金基金</v>
      </c>
      <c r="D70" s="29">
        <v>914804022</v>
      </c>
      <c r="E70" s="29">
        <v>0</v>
      </c>
      <c r="F70" s="29">
        <v>0</v>
      </c>
      <c r="G70" s="29">
        <v>0</v>
      </c>
      <c r="H70" s="29">
        <v>126553479</v>
      </c>
      <c r="I70" s="29">
        <f>IF('１①貸借対照表(25)'!T69=SUM(D70:H70),SUM(D70:H70),"NG")</f>
        <v>1041357501</v>
      </c>
      <c r="J70" s="29">
        <f>'２①損益計算書(25)'!V69</f>
        <v>126553479</v>
      </c>
      <c r="K70" s="29">
        <v>0</v>
      </c>
      <c r="L70" s="29">
        <f t="shared" ref="L70:L105" si="2">SUM(J70:K70)</f>
        <v>126553479</v>
      </c>
      <c r="M70" s="29">
        <v>0</v>
      </c>
      <c r="N70" s="29">
        <v>0</v>
      </c>
      <c r="O70" s="29">
        <f>4602371+140007078</f>
        <v>144609449</v>
      </c>
      <c r="P70" s="29">
        <v>0</v>
      </c>
      <c r="Q70" s="29">
        <v>0</v>
      </c>
      <c r="R70" s="4" t="s">
        <v>435</v>
      </c>
    </row>
    <row r="71" spans="1:18">
      <c r="A71" s="26">
        <f>'法人一覧(25)'!A70</f>
        <v>67</v>
      </c>
      <c r="B71" s="32" t="str">
        <f>'法人一覧(25)'!B70</f>
        <v>農林水産省</v>
      </c>
      <c r="C71" s="32" t="str">
        <f>'法人一覧(25)'!C70</f>
        <v>農林漁業信用基金</v>
      </c>
      <c r="D71" s="29">
        <v>14349670599</v>
      </c>
      <c r="E71" s="29">
        <v>0</v>
      </c>
      <c r="F71" s="29">
        <v>0</v>
      </c>
      <c r="G71" s="29">
        <v>0</v>
      </c>
      <c r="H71" s="29">
        <v>1416302574</v>
      </c>
      <c r="I71" s="29">
        <f>IF('１①貸借対照表(25)'!T70=SUM(D71:H71),SUM(D71:H71),"NG")</f>
        <v>15765973173</v>
      </c>
      <c r="J71" s="29">
        <f>'２①損益計算書(25)'!V70</f>
        <v>1782152764</v>
      </c>
      <c r="K71" s="29">
        <v>-365850190</v>
      </c>
      <c r="L71" s="29">
        <f t="shared" si="2"/>
        <v>1416302574</v>
      </c>
      <c r="M71" s="29">
        <v>0</v>
      </c>
      <c r="N71" s="29">
        <v>0</v>
      </c>
      <c r="O71" s="29">
        <v>1416302574</v>
      </c>
      <c r="P71" s="29">
        <v>0</v>
      </c>
      <c r="Q71" s="29">
        <v>0</v>
      </c>
      <c r="R71" s="4" t="s">
        <v>435</v>
      </c>
    </row>
    <row r="72" spans="1:18">
      <c r="A72" s="26">
        <f>'法人一覧(25)'!A71</f>
        <v>68</v>
      </c>
      <c r="B72" s="32" t="str">
        <f>'法人一覧(25)'!B71</f>
        <v>経済産業省</v>
      </c>
      <c r="C72" s="32" t="str">
        <f>'法人一覧(25)'!C71</f>
        <v>経済産業研究所</v>
      </c>
      <c r="D72" s="29">
        <v>0</v>
      </c>
      <c r="E72" s="29">
        <v>0</v>
      </c>
      <c r="F72" s="29">
        <v>22136875</v>
      </c>
      <c r="G72" s="29">
        <v>0</v>
      </c>
      <c r="H72" s="29">
        <v>3508382</v>
      </c>
      <c r="I72" s="29">
        <f>IF('１①貸借対照表(25)'!T71=SUM(D72:H72),SUM(D72:H72),"NG")</f>
        <v>25645257</v>
      </c>
      <c r="J72" s="29">
        <f>'２①損益計算書(25)'!V71</f>
        <v>3508382</v>
      </c>
      <c r="K72" s="29">
        <v>0</v>
      </c>
      <c r="L72" s="29">
        <f t="shared" si="2"/>
        <v>3508382</v>
      </c>
      <c r="M72" s="29">
        <v>0</v>
      </c>
      <c r="N72" s="29">
        <v>0</v>
      </c>
      <c r="O72" s="29">
        <v>3508382</v>
      </c>
      <c r="P72" s="29">
        <v>0</v>
      </c>
      <c r="Q72" s="29">
        <v>0</v>
      </c>
      <c r="R72" s="4" t="s">
        <v>435</v>
      </c>
    </row>
    <row r="73" spans="1:18">
      <c r="A73" s="26">
        <f>'法人一覧(25)'!A72</f>
        <v>69</v>
      </c>
      <c r="B73" s="32" t="str">
        <f>'法人一覧(25)'!B72</f>
        <v>経済産業省</v>
      </c>
      <c r="C73" s="32" t="str">
        <f>'法人一覧(25)'!C72</f>
        <v>工業所有権情報・研修館</v>
      </c>
      <c r="D73" s="29">
        <v>0</v>
      </c>
      <c r="E73" s="29">
        <v>0</v>
      </c>
      <c r="F73" s="29">
        <v>0</v>
      </c>
      <c r="G73" s="29">
        <v>0</v>
      </c>
      <c r="H73" s="29">
        <v>-19548622</v>
      </c>
      <c r="I73" s="29">
        <f>IF('１①貸借対照表(25)'!T72=SUM(D73:H73),SUM(D73:H73),"NG")</f>
        <v>-19548622</v>
      </c>
      <c r="J73" s="29">
        <f>'２①損益計算書(25)'!V72</f>
        <v>-2680200</v>
      </c>
      <c r="K73" s="29">
        <v>-16868422</v>
      </c>
      <c r="L73" s="29">
        <f t="shared" si="2"/>
        <v>-19548622</v>
      </c>
      <c r="M73" s="29">
        <v>0</v>
      </c>
      <c r="N73" s="29">
        <v>0</v>
      </c>
      <c r="O73" s="29">
        <v>0</v>
      </c>
      <c r="P73" s="29">
        <v>0</v>
      </c>
      <c r="Q73" s="29">
        <v>0</v>
      </c>
      <c r="R73" s="4" t="s">
        <v>435</v>
      </c>
    </row>
    <row r="74" spans="1:18">
      <c r="A74" s="26">
        <f>'法人一覧(25)'!A73</f>
        <v>70</v>
      </c>
      <c r="B74" s="32" t="str">
        <f>'法人一覧(25)'!B73</f>
        <v>経済産業省</v>
      </c>
      <c r="C74" s="32" t="str">
        <f>'法人一覧(25)'!C73</f>
        <v>日本貿易保険</v>
      </c>
      <c r="D74" s="29">
        <v>52822000000</v>
      </c>
      <c r="E74" s="29">
        <v>0</v>
      </c>
      <c r="F74" s="29">
        <v>20426000000</v>
      </c>
      <c r="G74" s="29">
        <v>0</v>
      </c>
      <c r="H74" s="29">
        <v>15432000000</v>
      </c>
      <c r="I74" s="29">
        <f>IF('１①貸借対照表(25)'!T73=SUM(D74:H74)-1000000,SUM(D74:H74)-1000000,"NG")</f>
        <v>88679000000</v>
      </c>
      <c r="J74" s="29">
        <f>'２①損益計算書(25)'!V73</f>
        <v>15432000000</v>
      </c>
      <c r="K74" s="29">
        <v>0</v>
      </c>
      <c r="L74" s="29">
        <f t="shared" si="2"/>
        <v>15432000000</v>
      </c>
      <c r="M74" s="29">
        <v>0</v>
      </c>
      <c r="N74" s="29">
        <v>0</v>
      </c>
      <c r="O74" s="29">
        <v>15431631702</v>
      </c>
      <c r="P74" s="29">
        <v>0</v>
      </c>
      <c r="Q74" s="29">
        <v>0</v>
      </c>
      <c r="R74" s="4" t="s">
        <v>435</v>
      </c>
    </row>
    <row r="75" spans="1:18">
      <c r="A75" s="26">
        <f>'法人一覧(25)'!A74</f>
        <v>71</v>
      </c>
      <c r="B75" s="32" t="str">
        <f>'法人一覧(25)'!B74</f>
        <v>経済産業省</v>
      </c>
      <c r="C75" s="32" t="str">
        <f>'法人一覧(25)'!C74</f>
        <v>産業技術総合研究所</v>
      </c>
      <c r="D75" s="29">
        <v>3035419352</v>
      </c>
      <c r="E75" s="29">
        <v>0</v>
      </c>
      <c r="F75" s="29">
        <v>7902370915</v>
      </c>
      <c r="G75" s="29">
        <v>0</v>
      </c>
      <c r="H75" s="29">
        <v>658346221</v>
      </c>
      <c r="I75" s="29">
        <f>IF('１①貸借対照表(25)'!T74=SUM(D75:H75),SUM(D75:H75),"NG")</f>
        <v>11596136488</v>
      </c>
      <c r="J75" s="29">
        <f>'２①損益計算書(25)'!V74</f>
        <v>658346221</v>
      </c>
      <c r="K75" s="29">
        <v>0</v>
      </c>
      <c r="L75" s="29">
        <f>SUM(J75:K75)</f>
        <v>658346221</v>
      </c>
      <c r="M75" s="29">
        <v>0</v>
      </c>
      <c r="N75" s="29">
        <v>0</v>
      </c>
      <c r="O75" s="29">
        <v>658346221</v>
      </c>
      <c r="P75" s="29">
        <v>0</v>
      </c>
      <c r="Q75" s="29">
        <v>0</v>
      </c>
      <c r="R75" s="4" t="s">
        <v>435</v>
      </c>
    </row>
    <row r="76" spans="1:18">
      <c r="A76" s="26">
        <f>'法人一覧(25)'!A75</f>
        <v>72</v>
      </c>
      <c r="B76" s="32" t="str">
        <f>'法人一覧(25)'!B75</f>
        <v>経済産業省</v>
      </c>
      <c r="C76" s="32" t="str">
        <f>'法人一覧(25)'!C75</f>
        <v>製品評価技術基盤機構</v>
      </c>
      <c r="D76" s="29">
        <v>356654568</v>
      </c>
      <c r="E76" s="29">
        <v>0</v>
      </c>
      <c r="F76" s="29">
        <v>149370663</v>
      </c>
      <c r="G76" s="29">
        <v>0</v>
      </c>
      <c r="H76" s="29">
        <v>14786563</v>
      </c>
      <c r="I76" s="29">
        <f>IF('１①貸借対照表(25)'!T75=SUM(D76:H76),SUM(D76:H76),"NG")</f>
        <v>520811794</v>
      </c>
      <c r="J76" s="29">
        <f>'２①損益計算書(25)'!V75</f>
        <v>14786563</v>
      </c>
      <c r="K76" s="29">
        <v>0</v>
      </c>
      <c r="L76" s="29">
        <f t="shared" si="2"/>
        <v>14786563</v>
      </c>
      <c r="M76" s="29">
        <v>0</v>
      </c>
      <c r="N76" s="29">
        <v>0</v>
      </c>
      <c r="O76" s="29">
        <v>14786563</v>
      </c>
      <c r="P76" s="29">
        <v>0</v>
      </c>
      <c r="Q76" s="29">
        <v>0</v>
      </c>
      <c r="R76" s="4" t="s">
        <v>435</v>
      </c>
    </row>
    <row r="77" spans="1:18">
      <c r="A77" s="26">
        <f>'法人一覧(25)'!A76</f>
        <v>73</v>
      </c>
      <c r="B77" s="32" t="str">
        <f>'法人一覧(25)'!B76</f>
        <v>経済産業省</v>
      </c>
      <c r="C77" s="32" t="str">
        <f>'法人一覧(25)'!C76</f>
        <v>新エネルギー・産業技術総合開発機構</v>
      </c>
      <c r="D77" s="52">
        <v>308574</v>
      </c>
      <c r="E77" s="29">
        <v>0</v>
      </c>
      <c r="F77" s="29">
        <v>0</v>
      </c>
      <c r="G77" s="29">
        <v>0</v>
      </c>
      <c r="H77" s="52">
        <v>-58442209785</v>
      </c>
      <c r="I77" s="29">
        <f>IF('１①貸借対照表(25)'!T76=SUM(D77:H77),SUM(D77:H77),"NG")</f>
        <v>-58441901211</v>
      </c>
      <c r="J77" s="29">
        <f>'２①損益計算書(25)'!V76</f>
        <v>3838952358</v>
      </c>
      <c r="K77" s="52">
        <v>-62281162143</v>
      </c>
      <c r="L77" s="52">
        <f t="shared" si="2"/>
        <v>-58442209785</v>
      </c>
      <c r="M77" s="29">
        <v>0</v>
      </c>
      <c r="N77" s="29">
        <v>0</v>
      </c>
      <c r="O77" s="52">
        <v>4342414088</v>
      </c>
      <c r="P77" s="29">
        <v>0</v>
      </c>
      <c r="Q77" s="29">
        <v>0</v>
      </c>
      <c r="R77" s="4" t="s">
        <v>435</v>
      </c>
    </row>
    <row r="78" spans="1:18">
      <c r="A78" s="26">
        <f>'法人一覧(25)'!A77</f>
        <v>74</v>
      </c>
      <c r="B78" s="32" t="str">
        <f>'法人一覧(25)'!B77</f>
        <v>経済産業省</v>
      </c>
      <c r="C78" s="32" t="str">
        <f>'法人一覧(25)'!C77</f>
        <v>日本貿易振興機構</v>
      </c>
      <c r="D78" s="52">
        <v>103712481</v>
      </c>
      <c r="E78" s="29">
        <v>0</v>
      </c>
      <c r="F78" s="52">
        <v>797796201</v>
      </c>
      <c r="G78" s="29">
        <v>0</v>
      </c>
      <c r="H78" s="52">
        <v>418051352</v>
      </c>
      <c r="I78" s="29">
        <f>IF('１①貸借対照表(25)'!T77=SUM(D78:H78),SUM(D78:H78),"NG")</f>
        <v>1319560034</v>
      </c>
      <c r="J78" s="29">
        <f>'２①損益計算書(25)'!V77</f>
        <v>418051352</v>
      </c>
      <c r="K78" s="52">
        <v>0</v>
      </c>
      <c r="L78" s="52">
        <f t="shared" si="2"/>
        <v>418051352</v>
      </c>
      <c r="M78" s="29">
        <v>0</v>
      </c>
      <c r="N78" s="29">
        <v>0</v>
      </c>
      <c r="O78" s="52">
        <v>418051352</v>
      </c>
      <c r="P78" s="29">
        <v>0</v>
      </c>
      <c r="Q78" s="29">
        <v>0</v>
      </c>
      <c r="R78" s="4" t="s">
        <v>435</v>
      </c>
    </row>
    <row r="79" spans="1:18">
      <c r="A79" s="26">
        <f>'法人一覧(25)'!A78</f>
        <v>75</v>
      </c>
      <c r="B79" s="32" t="str">
        <f>'法人一覧(25)'!B78</f>
        <v>経済産業省</v>
      </c>
      <c r="C79" s="32" t="str">
        <f>'法人一覧(25)'!C78</f>
        <v>情報処理推進機構</v>
      </c>
      <c r="D79" s="52">
        <v>3806635</v>
      </c>
      <c r="E79" s="29">
        <v>0</v>
      </c>
      <c r="F79" s="29">
        <v>0</v>
      </c>
      <c r="G79" s="29">
        <v>0</v>
      </c>
      <c r="H79" s="52">
        <v>-2743130127</v>
      </c>
      <c r="I79" s="29">
        <f>IF('１①貸借対照表(25)'!T78=SUM(D79:H79),SUM(D79:H79),"NG")</f>
        <v>-2739323492</v>
      </c>
      <c r="J79" s="29">
        <f>'２①損益計算書(25)'!V78</f>
        <v>54532521</v>
      </c>
      <c r="K79" s="52">
        <v>-2797662648</v>
      </c>
      <c r="L79" s="52">
        <f t="shared" si="2"/>
        <v>-2743130127</v>
      </c>
      <c r="M79" s="29">
        <v>0</v>
      </c>
      <c r="N79" s="29">
        <v>0</v>
      </c>
      <c r="O79" s="52">
        <v>119356559</v>
      </c>
      <c r="P79" s="29">
        <v>0</v>
      </c>
      <c r="Q79" s="29">
        <v>0</v>
      </c>
      <c r="R79" s="4" t="s">
        <v>435</v>
      </c>
    </row>
    <row r="80" spans="1:18">
      <c r="A80" s="26">
        <f>'法人一覧(25)'!A79</f>
        <v>76</v>
      </c>
      <c r="B80" s="32" t="str">
        <f>'法人一覧(25)'!B79</f>
        <v>経済産業省</v>
      </c>
      <c r="C80" s="32" t="str">
        <f>'法人一覧(25)'!C79</f>
        <v>石油天然ガス・金属鉱物資源機構</v>
      </c>
      <c r="D80" s="29">
        <v>2183379313</v>
      </c>
      <c r="E80" s="29">
        <v>0</v>
      </c>
      <c r="F80" s="29">
        <v>0</v>
      </c>
      <c r="G80" s="29">
        <v>0</v>
      </c>
      <c r="H80" s="29">
        <v>-56051692897</v>
      </c>
      <c r="I80" s="29">
        <f>IF('１①貸借対照表(25)'!T79=SUM(D80:H80),SUM(D80:H80),"NG")</f>
        <v>-53868313584</v>
      </c>
      <c r="J80" s="29">
        <f>'２①損益計算書(25)'!V79</f>
        <v>-28463291969</v>
      </c>
      <c r="K80" s="29">
        <v>-27588400928</v>
      </c>
      <c r="L80" s="29">
        <f t="shared" si="2"/>
        <v>-56051692897</v>
      </c>
      <c r="M80" s="29">
        <v>0</v>
      </c>
      <c r="N80" s="29">
        <v>0</v>
      </c>
      <c r="O80" s="29">
        <v>2744168939</v>
      </c>
      <c r="P80" s="29">
        <v>-51993923</v>
      </c>
      <c r="Q80" s="29">
        <v>-58743867913</v>
      </c>
      <c r="R80" s="4" t="s">
        <v>435</v>
      </c>
    </row>
    <row r="81" spans="1:18">
      <c r="A81" s="26">
        <f>'法人一覧(25)'!A80</f>
        <v>77</v>
      </c>
      <c r="B81" s="32" t="str">
        <f>'法人一覧(25)'!B80</f>
        <v>経済産業省</v>
      </c>
      <c r="C81" s="32" t="str">
        <f>'法人一覧(25)'!C80</f>
        <v>中小企業基盤整備機構</v>
      </c>
      <c r="D81" s="29">
        <v>7695695803</v>
      </c>
      <c r="E81" s="29">
        <v>0</v>
      </c>
      <c r="F81" s="29">
        <v>12763279709</v>
      </c>
      <c r="G81" s="29">
        <v>0</v>
      </c>
      <c r="H81" s="29">
        <v>-199817759308</v>
      </c>
      <c r="I81" s="29">
        <f>IF('１①貸借対照表(25)'!T80=SUM(D81:H81),SUM(D81:H81),"NG")</f>
        <v>-179358783796</v>
      </c>
      <c r="J81" s="29">
        <f>'２①損益計算書(25)'!V80</f>
        <v>282316665210</v>
      </c>
      <c r="K81" s="29">
        <v>-482134424518</v>
      </c>
      <c r="L81" s="29">
        <f t="shared" si="2"/>
        <v>-199817759308</v>
      </c>
      <c r="M81" s="29">
        <v>7695695803</v>
      </c>
      <c r="N81" s="29">
        <v>0</v>
      </c>
      <c r="O81" s="29">
        <v>27687558894</v>
      </c>
      <c r="P81" s="29">
        <v>0</v>
      </c>
      <c r="Q81" s="29">
        <v>-219809622399</v>
      </c>
      <c r="R81" s="4" t="s">
        <v>435</v>
      </c>
    </row>
    <row r="82" spans="1:18">
      <c r="A82" s="26">
        <f>'法人一覧(25)'!A81</f>
        <v>78</v>
      </c>
      <c r="B82" s="32" t="str">
        <f>'法人一覧(25)'!B81</f>
        <v>国土交通省</v>
      </c>
      <c r="C82" s="32" t="str">
        <f>'法人一覧(25)'!C81</f>
        <v>土木研究所</v>
      </c>
      <c r="D82" s="65">
        <v>3422311</v>
      </c>
      <c r="E82" s="65">
        <v>0</v>
      </c>
      <c r="F82" s="65">
        <v>27117010</v>
      </c>
      <c r="G82" s="65">
        <v>0</v>
      </c>
      <c r="H82" s="65">
        <v>44942363</v>
      </c>
      <c r="I82" s="29">
        <f>IF('１①貸借対照表(25)'!T81=SUM(D82:H82),SUM(D82:H82),"NG")</f>
        <v>75481684</v>
      </c>
      <c r="J82" s="29">
        <f>'２①損益計算書(25)'!V81</f>
        <v>44942363</v>
      </c>
      <c r="K82" s="65">
        <v>0</v>
      </c>
      <c r="L82" s="65">
        <f t="shared" si="2"/>
        <v>44942363</v>
      </c>
      <c r="M82" s="29">
        <v>0</v>
      </c>
      <c r="N82" s="78" t="s">
        <v>311</v>
      </c>
      <c r="O82" s="65">
        <v>44942363</v>
      </c>
      <c r="P82" s="78" t="s">
        <v>311</v>
      </c>
      <c r="Q82" s="29">
        <v>0</v>
      </c>
      <c r="R82" s="4" t="s">
        <v>435</v>
      </c>
    </row>
    <row r="83" spans="1:18">
      <c r="A83" s="26">
        <f>'法人一覧(25)'!A82</f>
        <v>79</v>
      </c>
      <c r="B83" s="32" t="str">
        <f>'法人一覧(25)'!B82</f>
        <v>国土交通省</v>
      </c>
      <c r="C83" s="32" t="str">
        <f>'法人一覧(25)'!C82</f>
        <v>建築研究所</v>
      </c>
      <c r="D83" s="65">
        <v>0</v>
      </c>
      <c r="E83" s="65">
        <v>0</v>
      </c>
      <c r="F83" s="65">
        <v>20249592</v>
      </c>
      <c r="G83" s="65">
        <v>0</v>
      </c>
      <c r="H83" s="65">
        <v>8489869</v>
      </c>
      <c r="I83" s="29">
        <f>IF('１①貸借対照表(25)'!T82=SUM(D83:H83),SUM(D83:H83),"NG")</f>
        <v>28739461</v>
      </c>
      <c r="J83" s="29">
        <f>'２①損益計算書(25)'!V82</f>
        <v>8489869</v>
      </c>
      <c r="K83" s="65">
        <v>0</v>
      </c>
      <c r="L83" s="65">
        <f t="shared" si="2"/>
        <v>8489869</v>
      </c>
      <c r="M83" s="29">
        <v>0</v>
      </c>
      <c r="N83" s="78" t="s">
        <v>311</v>
      </c>
      <c r="O83" s="65">
        <v>8489869</v>
      </c>
      <c r="P83" s="78" t="s">
        <v>311</v>
      </c>
      <c r="Q83" s="29">
        <v>0</v>
      </c>
      <c r="R83" s="4" t="s">
        <v>435</v>
      </c>
    </row>
    <row r="84" spans="1:18">
      <c r="A84" s="26">
        <f>'法人一覧(25)'!A83</f>
        <v>80</v>
      </c>
      <c r="B84" s="32" t="str">
        <f>'法人一覧(25)'!B83</f>
        <v>国土交通省</v>
      </c>
      <c r="C84" s="32" t="str">
        <f>'法人一覧(25)'!C83</f>
        <v>交通安全環境研究所</v>
      </c>
      <c r="D84" s="65">
        <v>21276360</v>
      </c>
      <c r="E84" s="65">
        <v>0</v>
      </c>
      <c r="F84" s="65">
        <v>141043301</v>
      </c>
      <c r="G84" s="65">
        <v>0</v>
      </c>
      <c r="H84" s="65">
        <v>84580252</v>
      </c>
      <c r="I84" s="29">
        <f>IF('１①貸借対照表(25)'!T83=SUM(D84:H84),SUM(D84:H84),"NG")</f>
        <v>246899913</v>
      </c>
      <c r="J84" s="29">
        <f>'２①損益計算書(25)'!V83</f>
        <v>84580252</v>
      </c>
      <c r="K84" s="65">
        <v>0</v>
      </c>
      <c r="L84" s="65">
        <f t="shared" si="2"/>
        <v>84580252</v>
      </c>
      <c r="M84" s="29">
        <v>0</v>
      </c>
      <c r="N84" s="65">
        <v>0</v>
      </c>
      <c r="O84" s="65">
        <v>84580252</v>
      </c>
      <c r="P84" s="65">
        <v>0</v>
      </c>
      <c r="Q84" s="29">
        <v>0</v>
      </c>
      <c r="R84" s="4" t="s">
        <v>435</v>
      </c>
    </row>
    <row r="85" spans="1:18">
      <c r="A85" s="26">
        <f>'法人一覧(25)'!A84</f>
        <v>81</v>
      </c>
      <c r="B85" s="32" t="str">
        <f>'法人一覧(25)'!B84</f>
        <v>国土交通省</v>
      </c>
      <c r="C85" s="32" t="str">
        <f>'法人一覧(25)'!C84</f>
        <v>海上技術安全研究所</v>
      </c>
      <c r="D85" s="65">
        <v>8125618</v>
      </c>
      <c r="E85" s="65">
        <v>0</v>
      </c>
      <c r="F85" s="65">
        <v>77744729</v>
      </c>
      <c r="G85" s="65">
        <v>0</v>
      </c>
      <c r="H85" s="65">
        <v>169059598</v>
      </c>
      <c r="I85" s="29">
        <f>IF('１①貸借対照表(25)'!T84=SUM(D85:H85),SUM(D85:H85),"NG")</f>
        <v>254929945</v>
      </c>
      <c r="J85" s="29">
        <f>'２①損益計算書(25)'!V84</f>
        <v>169059598</v>
      </c>
      <c r="K85" s="65">
        <v>0</v>
      </c>
      <c r="L85" s="65">
        <f t="shared" si="2"/>
        <v>169059598</v>
      </c>
      <c r="M85" s="29">
        <v>0</v>
      </c>
      <c r="N85" s="65">
        <v>0</v>
      </c>
      <c r="O85" s="65">
        <v>169059598</v>
      </c>
      <c r="P85" s="65">
        <v>0</v>
      </c>
      <c r="Q85" s="29">
        <v>0</v>
      </c>
      <c r="R85" s="4" t="s">
        <v>435</v>
      </c>
    </row>
    <row r="86" spans="1:18">
      <c r="A86" s="26">
        <f>'法人一覧(25)'!A85</f>
        <v>82</v>
      </c>
      <c r="B86" s="32" t="str">
        <f>'法人一覧(25)'!B85</f>
        <v>国土交通省</v>
      </c>
      <c r="C86" s="32" t="str">
        <f>'法人一覧(25)'!C85</f>
        <v>港湾空港技術研究所</v>
      </c>
      <c r="D86" s="65">
        <v>109324946</v>
      </c>
      <c r="E86" s="65">
        <v>0</v>
      </c>
      <c r="F86" s="65">
        <v>126146483</v>
      </c>
      <c r="G86" s="65">
        <v>0</v>
      </c>
      <c r="H86" s="65">
        <v>85404691</v>
      </c>
      <c r="I86" s="29">
        <f>IF('１①貸借対照表(25)'!T85=SUM(D86:H86),SUM(D86:H86),"NG")</f>
        <v>320876120</v>
      </c>
      <c r="J86" s="29">
        <f>'２①損益計算書(25)'!V85</f>
        <v>85404691</v>
      </c>
      <c r="K86" s="65">
        <v>0</v>
      </c>
      <c r="L86" s="65">
        <f t="shared" si="2"/>
        <v>85404691</v>
      </c>
      <c r="M86" s="29">
        <v>0</v>
      </c>
      <c r="N86" s="65">
        <v>0</v>
      </c>
      <c r="O86" s="65">
        <v>85404691</v>
      </c>
      <c r="P86" s="65">
        <v>0</v>
      </c>
      <c r="Q86" s="29">
        <v>0</v>
      </c>
      <c r="R86" s="4" t="s">
        <v>435</v>
      </c>
    </row>
    <row r="87" spans="1:18">
      <c r="A87" s="26">
        <f>'法人一覧(25)'!A86</f>
        <v>83</v>
      </c>
      <c r="B87" s="32" t="str">
        <f>'法人一覧(25)'!B86</f>
        <v>国土交通省</v>
      </c>
      <c r="C87" s="32" t="str">
        <f>'法人一覧(25)'!C86</f>
        <v>電子航法研究所</v>
      </c>
      <c r="D87" s="65">
        <v>0</v>
      </c>
      <c r="E87" s="65">
        <v>0</v>
      </c>
      <c r="F87" s="65">
        <v>294487</v>
      </c>
      <c r="G87" s="65">
        <v>0</v>
      </c>
      <c r="H87" s="65">
        <v>12320041</v>
      </c>
      <c r="I87" s="29">
        <f>IF('１①貸借対照表(25)'!T86=SUM(D87:H87),SUM(D87:H87),"NG")</f>
        <v>12614528</v>
      </c>
      <c r="J87" s="29">
        <f>'２①損益計算書(25)'!V86</f>
        <v>12320041</v>
      </c>
      <c r="K87" s="65">
        <v>0</v>
      </c>
      <c r="L87" s="65">
        <f t="shared" si="2"/>
        <v>12320041</v>
      </c>
      <c r="M87" s="29">
        <v>0</v>
      </c>
      <c r="N87" s="65">
        <v>0</v>
      </c>
      <c r="O87" s="65">
        <v>12320041</v>
      </c>
      <c r="P87" s="65">
        <v>0</v>
      </c>
      <c r="Q87" s="29">
        <v>0</v>
      </c>
      <c r="R87" s="4" t="s">
        <v>435</v>
      </c>
    </row>
    <row r="88" spans="1:18">
      <c r="A88" s="26">
        <f>'法人一覧(25)'!A87</f>
        <v>84</v>
      </c>
      <c r="B88" s="32" t="str">
        <f>'法人一覧(25)'!B87</f>
        <v>国土交通省</v>
      </c>
      <c r="C88" s="32" t="str">
        <f>'法人一覧(25)'!C87</f>
        <v>航海訓練所</v>
      </c>
      <c r="D88" s="65">
        <v>0</v>
      </c>
      <c r="E88" s="65">
        <v>0</v>
      </c>
      <c r="F88" s="65">
        <v>2804314</v>
      </c>
      <c r="G88" s="65">
        <v>0</v>
      </c>
      <c r="H88" s="65">
        <v>1178059</v>
      </c>
      <c r="I88" s="29">
        <f>IF('１①貸借対照表(25)'!T87=SUM(D88:H88),SUM(D88:H88),"NG")</f>
        <v>3982373</v>
      </c>
      <c r="J88" s="29">
        <f>'２①損益計算書(25)'!V87</f>
        <v>1178059</v>
      </c>
      <c r="K88" s="65">
        <v>0</v>
      </c>
      <c r="L88" s="65">
        <f t="shared" si="2"/>
        <v>1178059</v>
      </c>
      <c r="M88" s="29">
        <v>0</v>
      </c>
      <c r="N88" s="65">
        <v>0</v>
      </c>
      <c r="O88" s="65">
        <v>1178059</v>
      </c>
      <c r="P88" s="65">
        <v>0</v>
      </c>
      <c r="Q88" s="29">
        <v>0</v>
      </c>
      <c r="R88" s="4" t="s">
        <v>435</v>
      </c>
    </row>
    <row r="89" spans="1:18">
      <c r="A89" s="26">
        <f>'法人一覧(25)'!A88</f>
        <v>85</v>
      </c>
      <c r="B89" s="32" t="str">
        <f>'法人一覧(25)'!B88</f>
        <v>国土交通省</v>
      </c>
      <c r="C89" s="32" t="str">
        <f>'法人一覧(25)'!C88</f>
        <v>海技教育機構</v>
      </c>
      <c r="D89" s="52">
        <v>1424391</v>
      </c>
      <c r="E89" s="52">
        <v>0</v>
      </c>
      <c r="F89" s="52">
        <v>5791781</v>
      </c>
      <c r="G89" s="52">
        <v>0</v>
      </c>
      <c r="H89" s="52">
        <v>3566252</v>
      </c>
      <c r="I89" s="29">
        <f>IF('１①貸借対照表(25)'!T88=SUM(D89:H89),SUM(D89:H89),"NG")</f>
        <v>10782424</v>
      </c>
      <c r="J89" s="29">
        <f>'２①損益計算書(25)'!V88</f>
        <v>3566252</v>
      </c>
      <c r="K89" s="52">
        <v>0</v>
      </c>
      <c r="L89" s="52">
        <f t="shared" si="2"/>
        <v>3566252</v>
      </c>
      <c r="M89" s="29">
        <v>0</v>
      </c>
      <c r="N89" s="52">
        <v>0</v>
      </c>
      <c r="O89" s="52">
        <v>3566252</v>
      </c>
      <c r="P89" s="52">
        <v>0</v>
      </c>
      <c r="Q89" s="29">
        <v>0</v>
      </c>
      <c r="R89" s="4" t="s">
        <v>435</v>
      </c>
    </row>
    <row r="90" spans="1:18">
      <c r="A90" s="26">
        <f>'法人一覧(25)'!A89</f>
        <v>86</v>
      </c>
      <c r="B90" s="32" t="str">
        <f>'法人一覧(25)'!B89</f>
        <v>国土交通省</v>
      </c>
      <c r="C90" s="32" t="str">
        <f>'法人一覧(25)'!C89</f>
        <v>航空大学校</v>
      </c>
      <c r="D90" s="29">
        <v>0</v>
      </c>
      <c r="E90" s="29">
        <v>0</v>
      </c>
      <c r="F90" s="29">
        <v>0</v>
      </c>
      <c r="G90" s="29">
        <v>0</v>
      </c>
      <c r="H90" s="29">
        <v>-65229108</v>
      </c>
      <c r="I90" s="29">
        <f>IF('１①貸借対照表(25)'!T89=SUM(D90:H90),SUM(D90:H90),"NG")</f>
        <v>-65229108</v>
      </c>
      <c r="J90" s="29">
        <f>'２①損益計算書(25)'!V89</f>
        <v>-17322100</v>
      </c>
      <c r="K90" s="29">
        <v>-47907008</v>
      </c>
      <c r="L90" s="29">
        <f t="shared" si="2"/>
        <v>-65229108</v>
      </c>
      <c r="M90" s="29">
        <v>0</v>
      </c>
      <c r="N90" s="29">
        <v>0</v>
      </c>
      <c r="O90" s="29">
        <v>0</v>
      </c>
      <c r="P90" s="29">
        <v>0</v>
      </c>
      <c r="Q90" s="29">
        <v>0</v>
      </c>
      <c r="R90" s="4" t="s">
        <v>435</v>
      </c>
    </row>
    <row r="91" spans="1:18">
      <c r="A91" s="26">
        <f>'法人一覧(25)'!A90</f>
        <v>87</v>
      </c>
      <c r="B91" s="32" t="str">
        <f>'法人一覧(25)'!B90</f>
        <v>国土交通省</v>
      </c>
      <c r="C91" s="32" t="str">
        <f>'法人一覧(25)'!C90</f>
        <v>自動車検査</v>
      </c>
      <c r="D91" s="65">
        <v>384156435</v>
      </c>
      <c r="E91" s="65">
        <v>0</v>
      </c>
      <c r="F91" s="65">
        <v>1224408845</v>
      </c>
      <c r="G91" s="65">
        <v>0</v>
      </c>
      <c r="H91" s="65">
        <v>475259510</v>
      </c>
      <c r="I91" s="29">
        <f>IF('１①貸借対照表(25)'!T90=SUM(D91:H91),SUM(D91:H91),"NG")</f>
        <v>2083824790</v>
      </c>
      <c r="J91" s="29">
        <f>'２①損益計算書(25)'!V90</f>
        <v>475259510</v>
      </c>
      <c r="K91" s="65">
        <v>0</v>
      </c>
      <c r="L91" s="65">
        <f t="shared" si="2"/>
        <v>475259510</v>
      </c>
      <c r="M91" s="29">
        <v>0</v>
      </c>
      <c r="N91" s="65">
        <v>0</v>
      </c>
      <c r="O91" s="65">
        <v>475259510</v>
      </c>
      <c r="P91" s="65">
        <v>0</v>
      </c>
      <c r="Q91" s="29">
        <v>0</v>
      </c>
      <c r="R91" s="4" t="s">
        <v>435</v>
      </c>
    </row>
    <row r="92" spans="1:18">
      <c r="A92" s="26">
        <f>'法人一覧(25)'!A91</f>
        <v>88</v>
      </c>
      <c r="B92" s="32" t="str">
        <f>'法人一覧(25)'!B91</f>
        <v>国土交通省</v>
      </c>
      <c r="C92" s="32" t="str">
        <f>'法人一覧(25)'!C91</f>
        <v>鉄道建設・運輸施設整備支援機構</v>
      </c>
      <c r="D92" s="65">
        <v>715491122167</v>
      </c>
      <c r="E92" s="65">
        <v>0</v>
      </c>
      <c r="F92" s="65">
        <v>0</v>
      </c>
      <c r="G92" s="65">
        <v>160279591310</v>
      </c>
      <c r="H92" s="52">
        <f>26896786812-6963785</f>
        <v>26889823027</v>
      </c>
      <c r="I92" s="29">
        <f>IF('１①貸借対照表(25)'!T91=SUM(D92:H92),SUM(D92:H92),"NG")</f>
        <v>902660536504</v>
      </c>
      <c r="J92" s="29">
        <f>'２①損益計算書(25)'!V91</f>
        <v>77273504755</v>
      </c>
      <c r="K92" s="65">
        <v>-50376717943</v>
      </c>
      <c r="L92" s="65">
        <f t="shared" si="2"/>
        <v>26896786812</v>
      </c>
      <c r="M92" s="29">
        <v>0</v>
      </c>
      <c r="N92" s="65">
        <v>0</v>
      </c>
      <c r="O92" s="65">
        <v>74813891447</v>
      </c>
      <c r="P92" s="65">
        <v>0</v>
      </c>
      <c r="Q92" s="29">
        <v>0</v>
      </c>
      <c r="R92" s="4" t="s">
        <v>435</v>
      </c>
    </row>
    <row r="93" spans="1:18">
      <c r="A93" s="26">
        <f>'法人一覧(25)'!A92</f>
        <v>89</v>
      </c>
      <c r="B93" s="32" t="str">
        <f>'法人一覧(25)'!B92</f>
        <v>国土交通省</v>
      </c>
      <c r="C93" s="32" t="str">
        <f>'法人一覧(25)'!C92</f>
        <v>国際観光振興機構</v>
      </c>
      <c r="D93" s="65">
        <f>SUM(141186,0)</f>
        <v>141186</v>
      </c>
      <c r="E93" s="65">
        <v>0</v>
      </c>
      <c r="F93" s="65">
        <f>SUM(0,49148926)</f>
        <v>49148926</v>
      </c>
      <c r="G93" s="65">
        <v>0</v>
      </c>
      <c r="H93" s="65">
        <f>SUM(6939049,-11048570)</f>
        <v>-4109521</v>
      </c>
      <c r="I93" s="29">
        <f>IF('１①貸借対照表(25)'!T92=SUM(D93:H93),SUM(D93:H93),"NG")</f>
        <v>45180591</v>
      </c>
      <c r="J93" s="29">
        <f>'２①損益計算書(25)'!V92</f>
        <v>-4109521</v>
      </c>
      <c r="K93" s="65">
        <v>0</v>
      </c>
      <c r="L93" s="65">
        <f t="shared" si="2"/>
        <v>-4109521</v>
      </c>
      <c r="M93" s="29">
        <v>0</v>
      </c>
      <c r="N93" s="65">
        <v>0</v>
      </c>
      <c r="O93" s="65">
        <f>SUM(6939049,-11048570)</f>
        <v>-4109521</v>
      </c>
      <c r="P93" s="65">
        <v>0</v>
      </c>
      <c r="Q93" s="29">
        <v>0</v>
      </c>
      <c r="R93" s="4" t="s">
        <v>435</v>
      </c>
    </row>
    <row r="94" spans="1:18">
      <c r="A94" s="26">
        <f>'法人一覧(25)'!A93</f>
        <v>90</v>
      </c>
      <c r="B94" s="32" t="str">
        <f>'法人一覧(25)'!B93</f>
        <v>国土交通省</v>
      </c>
      <c r="C94" s="32" t="str">
        <f>'法人一覧(25)'!C93</f>
        <v>水資源機構</v>
      </c>
      <c r="D94" s="65">
        <v>84768390429</v>
      </c>
      <c r="E94" s="65">
        <v>0</v>
      </c>
      <c r="F94" s="65">
        <v>0</v>
      </c>
      <c r="G94" s="65">
        <v>0</v>
      </c>
      <c r="H94" s="65">
        <v>5977947510</v>
      </c>
      <c r="I94" s="29">
        <f>IF('１①貸借対照表(25)'!T93=SUM(D94:H94),SUM(D94:H94),"NG")</f>
        <v>90746337939</v>
      </c>
      <c r="J94" s="29">
        <f>'２①損益計算書(25)'!V93</f>
        <v>5977947510</v>
      </c>
      <c r="K94" s="65">
        <v>0</v>
      </c>
      <c r="L94" s="65">
        <f t="shared" si="2"/>
        <v>5977947510</v>
      </c>
      <c r="M94" s="29">
        <v>0</v>
      </c>
      <c r="N94" s="65">
        <v>0</v>
      </c>
      <c r="O94" s="65">
        <v>5977947510</v>
      </c>
      <c r="P94" s="65">
        <v>0</v>
      </c>
      <c r="Q94" s="29">
        <v>0</v>
      </c>
      <c r="R94" s="4" t="s">
        <v>435</v>
      </c>
    </row>
    <row r="95" spans="1:18">
      <c r="A95" s="26">
        <f>'法人一覧(25)'!A94</f>
        <v>91</v>
      </c>
      <c r="B95" s="32" t="str">
        <f>'法人一覧(25)'!B94</f>
        <v>国土交通省</v>
      </c>
      <c r="C95" s="32" t="str">
        <f>'法人一覧(25)'!C94</f>
        <v>自動車事故対策機構</v>
      </c>
      <c r="D95" s="65">
        <v>252443</v>
      </c>
      <c r="E95" s="65">
        <v>0</v>
      </c>
      <c r="F95" s="65">
        <v>38599738</v>
      </c>
      <c r="G95" s="65">
        <v>0</v>
      </c>
      <c r="H95" s="65">
        <v>-4234601</v>
      </c>
      <c r="I95" s="29">
        <f>IF('１①貸借対照表(25)'!T94=SUM(D95:H95),SUM(D95:H95),"NG")</f>
        <v>34617580</v>
      </c>
      <c r="J95" s="29">
        <f>'２①損益計算書(25)'!V94</f>
        <v>-4234601</v>
      </c>
      <c r="K95" s="65">
        <v>0</v>
      </c>
      <c r="L95" s="65">
        <f t="shared" si="2"/>
        <v>-4234601</v>
      </c>
      <c r="M95" s="29">
        <v>0</v>
      </c>
      <c r="N95" s="65">
        <v>0</v>
      </c>
      <c r="O95" s="65">
        <v>-4234601</v>
      </c>
      <c r="P95" s="65">
        <v>0</v>
      </c>
      <c r="Q95" s="29">
        <v>0</v>
      </c>
      <c r="R95" s="4" t="s">
        <v>435</v>
      </c>
    </row>
    <row r="96" spans="1:18">
      <c r="A96" s="26">
        <f>'法人一覧(25)'!A95</f>
        <v>92</v>
      </c>
      <c r="B96" s="32" t="str">
        <f>'法人一覧(25)'!B95</f>
        <v>国土交通省</v>
      </c>
      <c r="C96" s="32" t="str">
        <f>'法人一覧(25)'!C95</f>
        <v>空港周辺整備機構</v>
      </c>
      <c r="D96" s="65">
        <v>857382982</v>
      </c>
      <c r="E96" s="65">
        <v>0</v>
      </c>
      <c r="F96" s="65">
        <v>0</v>
      </c>
      <c r="G96" s="65">
        <v>0</v>
      </c>
      <c r="H96" s="65">
        <v>150885092</v>
      </c>
      <c r="I96" s="29">
        <f>IF('１①貸借対照表(25)'!T95=SUM(D96:H96),SUM(D96:H96),"NG")</f>
        <v>1008268074</v>
      </c>
      <c r="J96" s="29">
        <f>'２①損益計算書(25)'!V95</f>
        <v>150885092</v>
      </c>
      <c r="K96" s="65">
        <v>0</v>
      </c>
      <c r="L96" s="65">
        <f t="shared" si="2"/>
        <v>150885092</v>
      </c>
      <c r="M96" s="29">
        <v>0</v>
      </c>
      <c r="N96" s="65">
        <v>0</v>
      </c>
      <c r="O96" s="65">
        <v>150885092</v>
      </c>
      <c r="P96" s="65">
        <v>0</v>
      </c>
      <c r="Q96" s="29">
        <v>0</v>
      </c>
      <c r="R96" s="4" t="s">
        <v>435</v>
      </c>
    </row>
    <row r="97" spans="1:18">
      <c r="A97" s="26">
        <f>'法人一覧(25)'!A96</f>
        <v>93</v>
      </c>
      <c r="B97" s="32" t="str">
        <f>'法人一覧(25)'!B96</f>
        <v>国土交通省</v>
      </c>
      <c r="C97" s="32" t="str">
        <f>'法人一覧(25)'!C96</f>
        <v>海上災害防止センター</v>
      </c>
      <c r="D97" s="52">
        <v>0</v>
      </c>
      <c r="E97" s="52">
        <v>0</v>
      </c>
      <c r="F97" s="52">
        <v>3023709898</v>
      </c>
      <c r="G97" s="52">
        <v>0</v>
      </c>
      <c r="H97" s="52">
        <v>-28170750</v>
      </c>
      <c r="I97" s="29">
        <f>IF('１①貸借対照表(25)'!T96=SUM(D97:H97),SUM(D97:H97),"NG")</f>
        <v>2995539148</v>
      </c>
      <c r="J97" s="29">
        <f>'２①損益計算書(25)'!V96</f>
        <v>-28170750</v>
      </c>
      <c r="K97" s="52">
        <v>0</v>
      </c>
      <c r="L97" s="52">
        <f t="shared" si="2"/>
        <v>-28170750</v>
      </c>
      <c r="M97" s="29">
        <v>0</v>
      </c>
      <c r="N97" s="52">
        <v>0</v>
      </c>
      <c r="O97" s="52">
        <v>-28170750</v>
      </c>
      <c r="P97" s="52">
        <v>0</v>
      </c>
      <c r="Q97" s="29">
        <v>0</v>
      </c>
      <c r="R97" s="4" t="s">
        <v>435</v>
      </c>
    </row>
    <row r="98" spans="1:18">
      <c r="A98" s="26">
        <f>'法人一覧(25)'!A97</f>
        <v>94</v>
      </c>
      <c r="B98" s="32" t="str">
        <f>'法人一覧(25)'!B97</f>
        <v>国土交通省</v>
      </c>
      <c r="C98" s="32" t="str">
        <f>'法人一覧(25)'!C97</f>
        <v>都市再生機構</v>
      </c>
      <c r="D98" s="65">
        <v>0</v>
      </c>
      <c r="E98" s="65">
        <v>0</v>
      </c>
      <c r="F98" s="65">
        <v>0</v>
      </c>
      <c r="G98" s="65">
        <v>0</v>
      </c>
      <c r="H98" s="65">
        <v>-158529401618</v>
      </c>
      <c r="I98" s="29">
        <f>IF('１①貸借対照表(25)'!T97=SUM(D98:H98),SUM(D98:H98),"NG")</f>
        <v>-158529401618</v>
      </c>
      <c r="J98" s="29">
        <f>'２①損益計算書(25)'!V97</f>
        <v>52470848360</v>
      </c>
      <c r="K98" s="65">
        <v>-211000249978</v>
      </c>
      <c r="L98" s="65">
        <f t="shared" si="2"/>
        <v>-158529401618</v>
      </c>
      <c r="M98" s="29">
        <v>0</v>
      </c>
      <c r="N98" s="65">
        <v>0</v>
      </c>
      <c r="O98" s="65">
        <v>0</v>
      </c>
      <c r="P98" s="65">
        <v>0</v>
      </c>
      <c r="Q98" s="29">
        <v>0</v>
      </c>
      <c r="R98" s="4" t="s">
        <v>435</v>
      </c>
    </row>
    <row r="99" spans="1:18">
      <c r="A99" s="26">
        <f>'法人一覧(25)'!A98</f>
        <v>95</v>
      </c>
      <c r="B99" s="32" t="str">
        <f>'法人一覧(25)'!B98</f>
        <v>国土交通省</v>
      </c>
      <c r="C99" s="32" t="str">
        <f>'法人一覧(25)'!C98</f>
        <v>奄美群島振興開発基金</v>
      </c>
      <c r="D99" s="29">
        <v>0</v>
      </c>
      <c r="E99" s="29">
        <v>0</v>
      </c>
      <c r="F99" s="29">
        <v>0</v>
      </c>
      <c r="G99" s="29">
        <v>0</v>
      </c>
      <c r="H99" s="52">
        <v>-5702270164</v>
      </c>
      <c r="I99" s="29">
        <f>IF('１①貸借対照表(25)'!T98=SUM(D99:H99),SUM(D99:H99),"NG")</f>
        <v>-5702270164</v>
      </c>
      <c r="J99" s="29">
        <f>'２①損益計算書(25)'!V98</f>
        <v>34309702</v>
      </c>
      <c r="K99" s="29">
        <v>-5736579866</v>
      </c>
      <c r="L99" s="29">
        <f t="shared" si="2"/>
        <v>-5702270164</v>
      </c>
      <c r="M99" s="29">
        <v>0</v>
      </c>
      <c r="N99" s="29">
        <v>0</v>
      </c>
      <c r="O99" s="29">
        <v>0</v>
      </c>
      <c r="P99" s="29">
        <v>0</v>
      </c>
      <c r="Q99" s="29">
        <v>0</v>
      </c>
      <c r="R99" s="4" t="s">
        <v>435</v>
      </c>
    </row>
    <row r="100" spans="1:18">
      <c r="A100" s="26">
        <f>'法人一覧(25)'!A99</f>
        <v>96</v>
      </c>
      <c r="B100" s="32" t="str">
        <f>'法人一覧(25)'!B99</f>
        <v>国土交通省</v>
      </c>
      <c r="C100" s="32" t="str">
        <f>'法人一覧(25)'!C99</f>
        <v>日本高速道路保有・債務返済機構</v>
      </c>
      <c r="D100" s="65">
        <v>2602135384</v>
      </c>
      <c r="E100" s="65">
        <v>0</v>
      </c>
      <c r="F100" s="65">
        <v>2806209000437</v>
      </c>
      <c r="G100" s="65">
        <v>0</v>
      </c>
      <c r="H100" s="65">
        <f>591606087985+672838781</f>
        <v>592278926766</v>
      </c>
      <c r="I100" s="29">
        <f>IF('１①貸借対照表(25)'!T99=SUM(D100:H100),SUM(D100:H100),"NG")</f>
        <v>3401090062587</v>
      </c>
      <c r="J100" s="29">
        <f>'２①損益計算書(25)'!V99</f>
        <v>592278926766</v>
      </c>
      <c r="K100" s="65">
        <v>0</v>
      </c>
      <c r="L100" s="65">
        <f t="shared" si="2"/>
        <v>592278926766</v>
      </c>
      <c r="M100" s="29">
        <v>0</v>
      </c>
      <c r="N100" s="65">
        <v>0</v>
      </c>
      <c r="O100" s="65">
        <v>592278926766</v>
      </c>
      <c r="P100" s="65">
        <v>0</v>
      </c>
      <c r="Q100" s="29">
        <v>0</v>
      </c>
      <c r="R100" s="4" t="s">
        <v>435</v>
      </c>
    </row>
    <row r="101" spans="1:18">
      <c r="A101" s="26">
        <f>'法人一覧(25)'!A100</f>
        <v>97</v>
      </c>
      <c r="B101" s="32" t="str">
        <f>'法人一覧(25)'!B100</f>
        <v>国土交通省</v>
      </c>
      <c r="C101" s="32" t="str">
        <f>'法人一覧(25)'!C100</f>
        <v>住宅金融支援機構</v>
      </c>
      <c r="D101" s="29">
        <v>312731080225</v>
      </c>
      <c r="E101" s="29">
        <v>22576170342</v>
      </c>
      <c r="F101" s="29">
        <v>26238973697</v>
      </c>
      <c r="G101" s="29">
        <v>0</v>
      </c>
      <c r="H101" s="29">
        <v>-203982165942</v>
      </c>
      <c r="I101" s="29">
        <f>IF('１①貸借対照表(25)'!T100=SUM(D101:H101),SUM(D101:H101),"NG")</f>
        <v>157564058322</v>
      </c>
      <c r="J101" s="29">
        <f>'２①損益計算書(25)'!V100</f>
        <v>245905640813</v>
      </c>
      <c r="K101" s="29">
        <v>-449887806755</v>
      </c>
      <c r="L101" s="29">
        <f t="shared" si="2"/>
        <v>-203982165942</v>
      </c>
      <c r="M101" s="29">
        <v>0</v>
      </c>
      <c r="N101" s="29">
        <v>0</v>
      </c>
      <c r="O101" s="29">
        <v>80431709264</v>
      </c>
      <c r="P101" s="29">
        <v>0</v>
      </c>
      <c r="Q101" s="29">
        <v>0</v>
      </c>
      <c r="R101" s="4" t="s">
        <v>435</v>
      </c>
    </row>
    <row r="102" spans="1:18">
      <c r="A102" s="26">
        <f>'法人一覧(25)'!A101</f>
        <v>98</v>
      </c>
      <c r="B102" s="32" t="str">
        <f>'法人一覧(25)'!B101</f>
        <v>環境省</v>
      </c>
      <c r="C102" s="32" t="str">
        <f>'法人一覧(25)'!C101</f>
        <v>国立環境研究所</v>
      </c>
      <c r="D102" s="29">
        <v>28998098</v>
      </c>
      <c r="E102" s="29">
        <v>0</v>
      </c>
      <c r="F102" s="29">
        <v>95249239</v>
      </c>
      <c r="G102" s="29">
        <v>0</v>
      </c>
      <c r="H102" s="29">
        <v>47748093</v>
      </c>
      <c r="I102" s="29">
        <f>IF('１①貸借対照表(25)'!T101=SUM(D102:H102),SUM(D102:H102),"NG")</f>
        <v>171995430</v>
      </c>
      <c r="J102" s="29">
        <f>'２①損益計算書(25)'!V101</f>
        <v>47748093</v>
      </c>
      <c r="K102" s="29">
        <v>0</v>
      </c>
      <c r="L102" s="29">
        <f t="shared" si="2"/>
        <v>47748093</v>
      </c>
      <c r="M102" s="29">
        <v>0</v>
      </c>
      <c r="N102" s="29">
        <v>0</v>
      </c>
      <c r="O102" s="29">
        <v>47748093</v>
      </c>
      <c r="P102" s="29">
        <v>0</v>
      </c>
      <c r="Q102" s="29">
        <v>0</v>
      </c>
      <c r="R102" s="4" t="s">
        <v>435</v>
      </c>
    </row>
    <row r="103" spans="1:18">
      <c r="A103" s="26">
        <f>'法人一覧(25)'!A102</f>
        <v>99</v>
      </c>
      <c r="B103" s="32" t="str">
        <f>'法人一覧(25)'!B102</f>
        <v>環境省</v>
      </c>
      <c r="C103" s="32" t="str">
        <f>'法人一覧(25)'!C102</f>
        <v>環境再生保全機構</v>
      </c>
      <c r="D103" s="29">
        <v>7676145863</v>
      </c>
      <c r="E103" s="29">
        <v>0</v>
      </c>
      <c r="F103" s="29">
        <v>8196806727</v>
      </c>
      <c r="G103" s="29">
        <v>0</v>
      </c>
      <c r="H103" s="29">
        <v>4039455137</v>
      </c>
      <c r="I103" s="29">
        <f>IF('１①貸借対照表(25)'!T102=SUM(D103:H103),SUM(D103:H103),"NG")</f>
        <v>19912407727</v>
      </c>
      <c r="J103" s="29">
        <f>'２①損益計算書(25)'!V102</f>
        <v>4039455137</v>
      </c>
      <c r="K103" s="29">
        <v>0</v>
      </c>
      <c r="L103" s="29">
        <f t="shared" si="2"/>
        <v>4039455137</v>
      </c>
      <c r="M103" s="29">
        <v>0</v>
      </c>
      <c r="N103" s="29">
        <v>0</v>
      </c>
      <c r="O103" s="29">
        <f>-686707517+916823571+460117368-6989438346+10338660061</f>
        <v>4039455137</v>
      </c>
      <c r="P103" s="29">
        <v>0</v>
      </c>
      <c r="Q103" s="29">
        <v>0</v>
      </c>
      <c r="R103" s="4" t="s">
        <v>435</v>
      </c>
    </row>
    <row r="104" spans="1:18">
      <c r="A104" s="26">
        <f>'法人一覧(25)'!A103</f>
        <v>100</v>
      </c>
      <c r="B104" s="32" t="str">
        <f>'法人一覧(25)'!B103</f>
        <v>原子力規制委員会</v>
      </c>
      <c r="C104" s="32" t="str">
        <f>'法人一覧(25)'!C103</f>
        <v>原子力安全基盤機構</v>
      </c>
      <c r="D104" s="29">
        <v>278198512</v>
      </c>
      <c r="E104" s="29">
        <v>0</v>
      </c>
      <c r="F104" s="29">
        <v>171393123</v>
      </c>
      <c r="G104" s="29">
        <v>0</v>
      </c>
      <c r="H104" s="29">
        <v>1213622246</v>
      </c>
      <c r="I104" s="29">
        <f>IF('１①貸借対照表(25)'!T103=SUM(D104:H104),SUM(D104:H104),"NG")</f>
        <v>1663213881</v>
      </c>
      <c r="J104" s="29">
        <f>'２①損益計算書(25)'!V103</f>
        <v>1313333545</v>
      </c>
      <c r="K104" s="29">
        <v>-99711299</v>
      </c>
      <c r="L104" s="29">
        <f t="shared" si="2"/>
        <v>1213622246</v>
      </c>
      <c r="M104" s="29">
        <v>0</v>
      </c>
      <c r="N104" s="29">
        <v>0</v>
      </c>
      <c r="O104" s="29">
        <f>1491820758-278198512</f>
        <v>1213622246</v>
      </c>
      <c r="P104" s="29">
        <v>0</v>
      </c>
      <c r="Q104" s="29">
        <v>0</v>
      </c>
      <c r="R104" s="4" t="s">
        <v>435</v>
      </c>
    </row>
    <row r="105" spans="1:18" ht="13.8" thickBot="1">
      <c r="A105" s="26">
        <f>'法人一覧(25)'!A104</f>
        <v>101</v>
      </c>
      <c r="B105" s="120" t="str">
        <f>'法人一覧(25)'!B104</f>
        <v>防衛省</v>
      </c>
      <c r="C105" s="120" t="str">
        <f>'法人一覧(25)'!C104</f>
        <v>駐留軍等労働者労務管理機構</v>
      </c>
      <c r="D105" s="118">
        <v>0</v>
      </c>
      <c r="E105" s="118">
        <v>0</v>
      </c>
      <c r="F105" s="118">
        <v>443210492</v>
      </c>
      <c r="G105" s="118">
        <v>0</v>
      </c>
      <c r="H105" s="118">
        <v>122386181</v>
      </c>
      <c r="I105" s="118">
        <f>IF('１①貸借対照表(25)'!T104=SUM(D105:H105),SUM(D105:H105),"NG")</f>
        <v>565596673</v>
      </c>
      <c r="J105" s="118">
        <f>'２①損益計算書(25)'!V104</f>
        <v>122386181</v>
      </c>
      <c r="K105" s="118">
        <v>0</v>
      </c>
      <c r="L105" s="118">
        <f t="shared" si="2"/>
        <v>122386181</v>
      </c>
      <c r="M105" s="118">
        <v>0</v>
      </c>
      <c r="N105" s="118">
        <v>0</v>
      </c>
      <c r="O105" s="118">
        <v>122386181</v>
      </c>
      <c r="P105" s="118">
        <v>0</v>
      </c>
      <c r="Q105" s="118">
        <v>0</v>
      </c>
      <c r="R105" s="121" t="s">
        <v>435</v>
      </c>
    </row>
    <row r="106" spans="1:18" s="37" customFormat="1" ht="18.600000000000001" customHeight="1" thickTop="1">
      <c r="A106" s="167" t="s">
        <v>583</v>
      </c>
      <c r="B106" s="187"/>
      <c r="C106" s="170"/>
      <c r="D106" s="115">
        <f t="shared" ref="D106:P106" si="3">SUM(D60:D105)</f>
        <v>1232181507853</v>
      </c>
      <c r="E106" s="115">
        <f t="shared" si="3"/>
        <v>22576170342</v>
      </c>
      <c r="F106" s="115">
        <f t="shared" si="3"/>
        <v>2890776013600</v>
      </c>
      <c r="G106" s="115">
        <f t="shared" si="3"/>
        <v>160279591310</v>
      </c>
      <c r="H106" s="115">
        <f t="shared" si="3"/>
        <v>-90949590139</v>
      </c>
      <c r="I106" s="115">
        <f t="shared" si="3"/>
        <v>4214862692966</v>
      </c>
      <c r="J106" s="115">
        <f t="shared" si="3"/>
        <v>1261073385269</v>
      </c>
      <c r="K106" s="115">
        <f t="shared" si="3"/>
        <v>-1352016011623</v>
      </c>
      <c r="L106" s="115">
        <f t="shared" si="3"/>
        <v>-90942626354</v>
      </c>
      <c r="M106" s="115">
        <f t="shared" si="3"/>
        <v>7695695803</v>
      </c>
      <c r="N106" s="115">
        <f t="shared" si="3"/>
        <v>0</v>
      </c>
      <c r="O106" s="115">
        <f t="shared" si="3"/>
        <v>814289646037</v>
      </c>
      <c r="P106" s="115">
        <f t="shared" si="3"/>
        <v>-51993923</v>
      </c>
      <c r="Q106" s="115">
        <f>SUM(Q60:Q105)</f>
        <v>-308294180338</v>
      </c>
      <c r="R106" s="119"/>
    </row>
    <row r="108" spans="1:18" ht="13.2" customHeight="1">
      <c r="B108" s="179" t="s">
        <v>661</v>
      </c>
      <c r="C108" s="179"/>
      <c r="D108" s="179"/>
      <c r="E108" s="179"/>
      <c r="F108" s="179"/>
      <c r="G108" s="179"/>
      <c r="H108" s="179"/>
      <c r="I108" s="179"/>
      <c r="J108" s="179"/>
      <c r="K108" s="179"/>
      <c r="L108" s="179"/>
      <c r="M108" s="85"/>
    </row>
    <row r="109" spans="1:18" s="37" customFormat="1" ht="13.2" customHeight="1">
      <c r="B109" s="179"/>
      <c r="C109" s="179"/>
      <c r="D109" s="179"/>
      <c r="E109" s="179"/>
      <c r="F109" s="179"/>
      <c r="G109" s="179"/>
      <c r="H109" s="179"/>
      <c r="I109" s="179"/>
      <c r="J109" s="179"/>
      <c r="K109" s="179"/>
      <c r="L109" s="179"/>
      <c r="M109" s="85"/>
    </row>
    <row r="110" spans="1:18">
      <c r="B110" s="179"/>
      <c r="C110" s="179"/>
      <c r="D110" s="179"/>
      <c r="E110" s="179"/>
      <c r="F110" s="179"/>
      <c r="G110" s="179"/>
      <c r="H110" s="179"/>
      <c r="I110" s="179"/>
      <c r="J110" s="179"/>
      <c r="K110" s="179"/>
      <c r="L110" s="179"/>
      <c r="M110" s="85"/>
    </row>
    <row r="111" spans="1:18">
      <c r="B111" s="179"/>
      <c r="C111" s="179"/>
      <c r="D111" s="179"/>
      <c r="E111" s="179"/>
      <c r="F111" s="179"/>
      <c r="G111" s="179"/>
      <c r="H111" s="179"/>
      <c r="I111" s="179"/>
      <c r="J111" s="179"/>
      <c r="K111" s="179"/>
      <c r="L111" s="179"/>
      <c r="M111" s="85"/>
    </row>
  </sheetData>
  <mergeCells count="10">
    <mergeCell ref="B108:L111"/>
    <mergeCell ref="A2:A4"/>
    <mergeCell ref="D2:I2"/>
    <mergeCell ref="R2:R4"/>
    <mergeCell ref="B2:B4"/>
    <mergeCell ref="C2:C4"/>
    <mergeCell ref="M3:M4"/>
    <mergeCell ref="J2:Q2"/>
    <mergeCell ref="N3:Q3"/>
    <mergeCell ref="A106:C10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8"/>
  <sheetViews>
    <sheetView zoomScale="80" zoomScaleNormal="80" workbookViewId="0">
      <pane xSplit="3" ySplit="4" topLeftCell="I86" activePane="bottomRight" state="frozen"/>
      <selection activeCell="B2" sqref="B2:B3"/>
      <selection pane="topRight" activeCell="B2" sqref="B2:B3"/>
      <selection pane="bottomLeft" activeCell="B2" sqref="B2:B3"/>
      <selection pane="bottomRight" activeCell="B105" sqref="B105:L108"/>
    </sheetView>
  </sheetViews>
  <sheetFormatPr defaultColWidth="8.88671875" defaultRowHeight="13.2"/>
  <cols>
    <col min="1" max="1" width="5" style="1" customWidth="1"/>
    <col min="2" max="2" width="14" style="1" customWidth="1"/>
    <col min="3" max="3" width="40.21875" style="1" bestFit="1" customWidth="1"/>
    <col min="4" max="6" width="14" style="1" customWidth="1"/>
    <col min="7" max="7" width="15.77734375" style="1" customWidth="1"/>
    <col min="8" max="8" width="17.33203125" style="1" customWidth="1"/>
    <col min="9" max="10" width="14" style="1" customWidth="1"/>
    <col min="11" max="11" width="17.77734375" style="1" customWidth="1"/>
    <col min="12" max="12" width="15.88671875" style="1" customWidth="1"/>
    <col min="13" max="13" width="15.88671875" style="37" customWidth="1"/>
    <col min="14" max="14" width="18.33203125" style="1" bestFit="1" customWidth="1"/>
    <col min="15" max="15" width="18.33203125" style="37" customWidth="1"/>
    <col min="16" max="16" width="17.88671875" style="1" bestFit="1" customWidth="1"/>
    <col min="17" max="17" width="17.88671875" style="37" customWidth="1"/>
    <col min="18" max="18" width="18.88671875" style="1" customWidth="1"/>
    <col min="19" max="16384" width="8.88671875" style="1"/>
  </cols>
  <sheetData>
    <row r="1" spans="1:20" ht="19.95" customHeight="1">
      <c r="B1" s="144" t="s">
        <v>227</v>
      </c>
      <c r="C1" s="34"/>
      <c r="R1" s="30" t="s">
        <v>204</v>
      </c>
    </row>
    <row r="2" spans="1:20">
      <c r="A2" s="161" t="s">
        <v>195</v>
      </c>
      <c r="B2" s="161" t="s">
        <v>0</v>
      </c>
      <c r="C2" s="161" t="s">
        <v>1</v>
      </c>
      <c r="D2" s="181" t="s">
        <v>72</v>
      </c>
      <c r="E2" s="181"/>
      <c r="F2" s="181"/>
      <c r="G2" s="181"/>
      <c r="H2" s="181"/>
      <c r="I2" s="181"/>
      <c r="J2" s="164" t="s">
        <v>77</v>
      </c>
      <c r="K2" s="165"/>
      <c r="L2" s="165"/>
      <c r="M2" s="165"/>
      <c r="N2" s="165"/>
      <c r="O2" s="165"/>
      <c r="P2" s="165"/>
      <c r="Q2" s="166"/>
      <c r="R2" s="161" t="s">
        <v>46</v>
      </c>
    </row>
    <row r="3" spans="1:20" ht="13.2" customHeight="1">
      <c r="A3" s="180"/>
      <c r="B3" s="180"/>
      <c r="C3" s="180"/>
      <c r="D3" s="10" t="s">
        <v>43</v>
      </c>
      <c r="E3" s="10" t="s">
        <v>44</v>
      </c>
      <c r="F3" s="10" t="s">
        <v>45</v>
      </c>
      <c r="G3" s="10" t="s">
        <v>73</v>
      </c>
      <c r="H3" s="10" t="s">
        <v>74</v>
      </c>
      <c r="I3" s="5" t="s">
        <v>75</v>
      </c>
      <c r="J3" s="101" t="s">
        <v>218</v>
      </c>
      <c r="K3" s="101" t="s">
        <v>219</v>
      </c>
      <c r="L3" s="101" t="s">
        <v>220</v>
      </c>
      <c r="M3" s="188" t="s">
        <v>416</v>
      </c>
      <c r="N3" s="189" t="s">
        <v>79</v>
      </c>
      <c r="O3" s="190"/>
      <c r="P3" s="190"/>
      <c r="Q3" s="191"/>
      <c r="R3" s="180"/>
    </row>
    <row r="4" spans="1:20" ht="34.799999999999997" customHeight="1">
      <c r="A4" s="162"/>
      <c r="B4" s="162"/>
      <c r="C4" s="162"/>
      <c r="D4" s="6" t="s">
        <v>71</v>
      </c>
      <c r="E4" s="10" t="s">
        <v>30</v>
      </c>
      <c r="F4" s="5" t="s">
        <v>41</v>
      </c>
      <c r="G4" s="5" t="s">
        <v>251</v>
      </c>
      <c r="H4" s="6" t="s">
        <v>42</v>
      </c>
      <c r="I4" s="11" t="s">
        <v>76</v>
      </c>
      <c r="J4" s="35" t="s">
        <v>78</v>
      </c>
      <c r="K4" s="27" t="s">
        <v>216</v>
      </c>
      <c r="L4" s="27" t="s">
        <v>217</v>
      </c>
      <c r="M4" s="183"/>
      <c r="N4" s="28" t="s">
        <v>81</v>
      </c>
      <c r="O4" s="28" t="s">
        <v>80</v>
      </c>
      <c r="P4" s="12" t="s">
        <v>252</v>
      </c>
      <c r="Q4" s="105" t="s">
        <v>438</v>
      </c>
      <c r="R4" s="162"/>
    </row>
    <row r="5" spans="1:20">
      <c r="A5" s="26">
        <f>'法人一覧(26)'!A4</f>
        <v>1</v>
      </c>
      <c r="B5" s="32" t="str">
        <f>'法人一覧(26)'!B4</f>
        <v>内閣府</v>
      </c>
      <c r="C5" s="32" t="str">
        <f>'法人一覧(26)'!C4</f>
        <v>国立公文書館</v>
      </c>
      <c r="D5" s="29">
        <v>0</v>
      </c>
      <c r="E5" s="29">
        <v>0</v>
      </c>
      <c r="F5" s="29">
        <v>0</v>
      </c>
      <c r="G5" s="29">
        <v>0</v>
      </c>
      <c r="H5" s="29">
        <v>0</v>
      </c>
      <c r="I5" s="29">
        <f>IF('１②貸借対照表(26)'!T4=SUM(D5:H5),SUM(D5:H5),"NG")</f>
        <v>0</v>
      </c>
      <c r="J5" s="29">
        <f>'２②損益計算書(26)'!V4</f>
        <v>30436355</v>
      </c>
      <c r="K5" s="29">
        <v>-30436355</v>
      </c>
      <c r="L5" s="29">
        <f t="shared" ref="L5:L6" si="0">SUM(J5:K5)</f>
        <v>0</v>
      </c>
      <c r="M5" s="29">
        <v>0</v>
      </c>
      <c r="N5" s="29">
        <v>0</v>
      </c>
      <c r="O5" s="29">
        <v>0</v>
      </c>
      <c r="P5" s="29">
        <v>0</v>
      </c>
      <c r="Q5" s="29">
        <v>0</v>
      </c>
      <c r="R5" s="4" t="s">
        <v>435</v>
      </c>
    </row>
    <row r="6" spans="1:20">
      <c r="A6" s="26">
        <f>'法人一覧(26)'!A5</f>
        <v>2</v>
      </c>
      <c r="B6" s="32" t="str">
        <f>'法人一覧(26)'!B5</f>
        <v>内閣府</v>
      </c>
      <c r="C6" s="32" t="str">
        <f>'法人一覧(26)'!C5</f>
        <v>北方領土問題対策協会</v>
      </c>
      <c r="D6" s="29">
        <v>0</v>
      </c>
      <c r="E6" s="29">
        <v>0</v>
      </c>
      <c r="F6" s="29">
        <v>706779707</v>
      </c>
      <c r="G6" s="29">
        <v>0</v>
      </c>
      <c r="H6" s="29">
        <v>4199</v>
      </c>
      <c r="I6" s="29">
        <f>IF('１②貸借対照表(26)'!T5=SUM(D6:H6),SUM(D6:H6),"NG")</f>
        <v>706783906</v>
      </c>
      <c r="J6" s="29">
        <f>'２②損益計算書(26)'!V5</f>
        <v>4199</v>
      </c>
      <c r="K6" s="52">
        <v>0</v>
      </c>
      <c r="L6" s="52">
        <f t="shared" si="0"/>
        <v>4199</v>
      </c>
      <c r="M6" s="52">
        <v>0</v>
      </c>
      <c r="N6" s="52">
        <v>0</v>
      </c>
      <c r="O6" s="52">
        <v>4199</v>
      </c>
      <c r="P6" s="52">
        <v>0</v>
      </c>
      <c r="Q6" s="52">
        <v>0</v>
      </c>
      <c r="R6" s="4" t="s">
        <v>435</v>
      </c>
    </row>
    <row r="7" spans="1:20">
      <c r="A7" s="26">
        <f>'法人一覧(26)'!A6</f>
        <v>3</v>
      </c>
      <c r="B7" s="32" t="str">
        <f>'法人一覧(26)'!B6</f>
        <v>消費者庁</v>
      </c>
      <c r="C7" s="32" t="str">
        <f>'法人一覧(26)'!C6</f>
        <v>国民生活センター</v>
      </c>
      <c r="D7" s="29">
        <v>0</v>
      </c>
      <c r="E7" s="29">
        <v>0</v>
      </c>
      <c r="F7" s="29">
        <v>2180904</v>
      </c>
      <c r="G7" s="29">
        <v>0</v>
      </c>
      <c r="H7" s="29">
        <v>5743838</v>
      </c>
      <c r="I7" s="29">
        <f>IF('１②貸借対照表(26)'!T6=SUM(D7:H7),SUM(D7:H7),"NG")</f>
        <v>7924742</v>
      </c>
      <c r="J7" s="29">
        <f>'２②損益計算書(26)'!V6</f>
        <v>5743838</v>
      </c>
      <c r="K7" s="29">
        <v>0</v>
      </c>
      <c r="L7" s="29">
        <f t="shared" ref="L7:L11" si="1">SUM(J7:K7)</f>
        <v>5743838</v>
      </c>
      <c r="M7" s="29">
        <v>0</v>
      </c>
      <c r="N7" s="29">
        <v>0</v>
      </c>
      <c r="O7" s="29">
        <v>5743838</v>
      </c>
      <c r="P7" s="29">
        <v>0</v>
      </c>
      <c r="Q7" s="29">
        <v>0</v>
      </c>
      <c r="R7" s="4" t="s">
        <v>435</v>
      </c>
    </row>
    <row r="8" spans="1:20">
      <c r="A8" s="26">
        <f>'法人一覧(26)'!A7</f>
        <v>4</v>
      </c>
      <c r="B8" s="32" t="str">
        <f>'法人一覧(26)'!B7</f>
        <v>総務省</v>
      </c>
      <c r="C8" s="32" t="str">
        <f>'法人一覧(26)'!C7</f>
        <v>情報通信研究機構</v>
      </c>
      <c r="D8" s="29">
        <v>837836776</v>
      </c>
      <c r="E8" s="29">
        <v>0</v>
      </c>
      <c r="F8" s="29">
        <v>1397974712</v>
      </c>
      <c r="G8" s="29">
        <v>0</v>
      </c>
      <c r="H8" s="29">
        <v>-59937828625</v>
      </c>
      <c r="I8" s="29">
        <f>IF('１②貸借対照表(26)'!T7=SUM(D8:H8),SUM(D8:H8),"NG")</f>
        <v>-57702017137</v>
      </c>
      <c r="J8" s="29">
        <f>'２②損益計算書(26)'!V7</f>
        <v>265198692</v>
      </c>
      <c r="K8" s="29">
        <v>-60203027317</v>
      </c>
      <c r="L8" s="29">
        <f t="shared" si="1"/>
        <v>-59937828625</v>
      </c>
      <c r="M8" s="29">
        <v>0</v>
      </c>
      <c r="N8" s="29">
        <v>0</v>
      </c>
      <c r="O8" s="29">
        <v>263422689</v>
      </c>
      <c r="P8" s="29">
        <v>0</v>
      </c>
      <c r="Q8" s="29">
        <v>0</v>
      </c>
      <c r="R8" s="4" t="s">
        <v>435</v>
      </c>
    </row>
    <row r="9" spans="1:20">
      <c r="A9" s="26">
        <f>'法人一覧(26)'!A8</f>
        <v>5</v>
      </c>
      <c r="B9" s="32" t="str">
        <f>'法人一覧(26)'!B8</f>
        <v>総務省</v>
      </c>
      <c r="C9" s="32" t="str">
        <f>'法人一覧(26)'!C8</f>
        <v>統計センター</v>
      </c>
      <c r="D9" s="29">
        <v>99197192</v>
      </c>
      <c r="E9" s="29">
        <v>0</v>
      </c>
      <c r="F9" s="29">
        <v>492019429</v>
      </c>
      <c r="G9" s="29">
        <v>0</v>
      </c>
      <c r="H9" s="29">
        <v>1283982679</v>
      </c>
      <c r="I9" s="29">
        <f>IF('１②貸借対照表(26)'!T8=SUM(D9:H9),SUM(D9:H9),"NG")</f>
        <v>1875199300</v>
      </c>
      <c r="J9" s="29">
        <f>'２②損益計算書(26)'!V8</f>
        <v>1283982679</v>
      </c>
      <c r="K9" s="29">
        <v>0</v>
      </c>
      <c r="L9" s="29">
        <f t="shared" si="1"/>
        <v>1283982679</v>
      </c>
      <c r="M9" s="52">
        <v>99197192</v>
      </c>
      <c r="N9" s="29">
        <v>0</v>
      </c>
      <c r="O9" s="29">
        <v>1383179871</v>
      </c>
      <c r="P9" s="29">
        <v>0</v>
      </c>
      <c r="Q9" s="29">
        <v>0</v>
      </c>
      <c r="R9" s="4" t="s">
        <v>435</v>
      </c>
    </row>
    <row r="10" spans="1:20">
      <c r="A10" s="26">
        <f>'法人一覧(26)'!A9</f>
        <v>6</v>
      </c>
      <c r="B10" s="32" t="str">
        <f>'法人一覧(26)'!B9</f>
        <v>総務省</v>
      </c>
      <c r="C10" s="32" t="str">
        <f>'法人一覧(26)'!C9</f>
        <v>郵便貯金・簡易生命保険管理機構</v>
      </c>
      <c r="D10" s="29">
        <v>20781185583</v>
      </c>
      <c r="E10" s="29">
        <v>0</v>
      </c>
      <c r="F10" s="29">
        <v>16816014567</v>
      </c>
      <c r="G10" s="29">
        <v>0</v>
      </c>
      <c r="H10" s="29">
        <v>29159304067</v>
      </c>
      <c r="I10" s="29">
        <f>IF('１②貸借対照表(26)'!T9=SUM(D10:H10),SUM(D10:H10),"NG")</f>
        <v>66756504217</v>
      </c>
      <c r="J10" s="29">
        <f>'２②損益計算書(26)'!V9</f>
        <v>29159304067</v>
      </c>
      <c r="K10" s="29">
        <v>0</v>
      </c>
      <c r="L10" s="29">
        <f t="shared" si="1"/>
        <v>29159304067</v>
      </c>
      <c r="M10" s="29">
        <v>0</v>
      </c>
      <c r="N10" s="29">
        <v>0</v>
      </c>
      <c r="O10" s="29">
        <v>29159304067</v>
      </c>
      <c r="P10" s="29">
        <v>0</v>
      </c>
      <c r="Q10" s="29">
        <v>0</v>
      </c>
      <c r="R10" s="4" t="s">
        <v>435</v>
      </c>
    </row>
    <row r="11" spans="1:20">
      <c r="A11" s="26">
        <f>'法人一覧(26)'!A10</f>
        <v>7</v>
      </c>
      <c r="B11" s="32" t="str">
        <f>'法人一覧(26)'!B10</f>
        <v>外務省</v>
      </c>
      <c r="C11" s="32" t="str">
        <f>'法人一覧(26)'!C10</f>
        <v>国際協力機構</v>
      </c>
      <c r="D11" s="29">
        <v>2033044826</v>
      </c>
      <c r="E11" s="29">
        <v>0</v>
      </c>
      <c r="F11" s="29">
        <v>1681756203</v>
      </c>
      <c r="G11" s="29">
        <v>1255357507833</v>
      </c>
      <c r="H11" s="29">
        <f>1436297748+114438092876</f>
        <v>115874390624</v>
      </c>
      <c r="I11" s="29">
        <f>IF('１②貸借対照表(26)'!T10=SUM(D11:H11),SUM(D11:H11),"NG")</f>
        <v>1374946699486</v>
      </c>
      <c r="J11" s="29">
        <f>'２②損益計算書(26)'!V10</f>
        <v>115874390624</v>
      </c>
      <c r="K11" s="29">
        <v>0</v>
      </c>
      <c r="L11" s="29">
        <f t="shared" si="1"/>
        <v>115874390624</v>
      </c>
      <c r="M11" s="29">
        <v>0</v>
      </c>
      <c r="N11" s="29">
        <v>0</v>
      </c>
      <c r="O11" s="29">
        <f>1436297748+114438092876</f>
        <v>115874390624</v>
      </c>
      <c r="P11" s="29">
        <v>0</v>
      </c>
      <c r="Q11" s="29">
        <v>0</v>
      </c>
      <c r="R11" s="4" t="s">
        <v>435</v>
      </c>
    </row>
    <row r="12" spans="1:20">
      <c r="A12" s="26">
        <f>'法人一覧(26)'!A11</f>
        <v>8</v>
      </c>
      <c r="B12" s="32" t="str">
        <f>'法人一覧(26)'!B11</f>
        <v>外務省</v>
      </c>
      <c r="C12" s="32" t="str">
        <f>'法人一覧(26)'!C11</f>
        <v>国際交流基金</v>
      </c>
      <c r="D12" s="29">
        <v>0</v>
      </c>
      <c r="E12" s="29">
        <v>0</v>
      </c>
      <c r="F12" s="29">
        <v>0</v>
      </c>
      <c r="G12" s="29">
        <v>0</v>
      </c>
      <c r="H12" s="29">
        <v>961668012</v>
      </c>
      <c r="I12" s="29">
        <f>IF('１②貸借対照表(26)'!T11=SUM(D12:H12),SUM(D12:H12),"NG")</f>
        <v>961668012</v>
      </c>
      <c r="J12" s="29">
        <f>'２②損益計算書(26)'!V11</f>
        <v>1460189888</v>
      </c>
      <c r="K12" s="29">
        <v>-498521876</v>
      </c>
      <c r="L12" s="29">
        <f>SUM(J12:K12)</f>
        <v>961668012</v>
      </c>
      <c r="M12" s="29">
        <v>0</v>
      </c>
      <c r="N12" s="29">
        <v>0</v>
      </c>
      <c r="O12" s="29">
        <v>961668012</v>
      </c>
      <c r="P12" s="29">
        <v>0</v>
      </c>
      <c r="Q12" s="29">
        <v>0</v>
      </c>
      <c r="R12" s="4" t="s">
        <v>435</v>
      </c>
      <c r="T12" s="36"/>
    </row>
    <row r="13" spans="1:20">
      <c r="A13" s="26">
        <f>'法人一覧(26)'!A12</f>
        <v>9</v>
      </c>
      <c r="B13" s="32" t="str">
        <f>'法人一覧(26)'!B12</f>
        <v>財務省</v>
      </c>
      <c r="C13" s="32" t="str">
        <f>'法人一覧(26)'!C12</f>
        <v>酒類総合研究所</v>
      </c>
      <c r="D13" s="29">
        <v>107584</v>
      </c>
      <c r="E13" s="29">
        <v>0</v>
      </c>
      <c r="F13" s="29">
        <v>2296729</v>
      </c>
      <c r="G13" s="29">
        <v>0</v>
      </c>
      <c r="H13" s="29">
        <v>129672</v>
      </c>
      <c r="I13" s="29">
        <f>IF('１②貸借対照表(26)'!T12=SUM(D13:H13),SUM(D13:H13),"NG")</f>
        <v>2533985</v>
      </c>
      <c r="J13" s="29">
        <f>'２②損益計算書(26)'!V12</f>
        <v>129672</v>
      </c>
      <c r="K13" s="29">
        <v>0</v>
      </c>
      <c r="L13" s="29">
        <f t="shared" ref="L13:L57" si="2">SUM(J13:K13)</f>
        <v>129672</v>
      </c>
      <c r="M13" s="29">
        <v>0</v>
      </c>
      <c r="N13" s="29">
        <v>0</v>
      </c>
      <c r="O13" s="29">
        <v>129672</v>
      </c>
      <c r="P13" s="29">
        <v>0</v>
      </c>
      <c r="Q13" s="29">
        <v>0</v>
      </c>
      <c r="R13" s="4" t="s">
        <v>435</v>
      </c>
    </row>
    <row r="14" spans="1:20">
      <c r="A14" s="26">
        <f>'法人一覧(26)'!A13</f>
        <v>10</v>
      </c>
      <c r="B14" s="32" t="str">
        <f>'法人一覧(26)'!B13</f>
        <v>財務省</v>
      </c>
      <c r="C14" s="32" t="str">
        <f>'法人一覧(26)'!C13</f>
        <v>造幣局</v>
      </c>
      <c r="D14" s="29">
        <v>13948435624</v>
      </c>
      <c r="E14" s="29">
        <v>0</v>
      </c>
      <c r="F14" s="29">
        <v>804647640</v>
      </c>
      <c r="G14" s="29">
        <v>0</v>
      </c>
      <c r="H14" s="29">
        <v>1233542736</v>
      </c>
      <c r="I14" s="29">
        <f>IF('１②貸借対照表(26)'!T13=SUM(D14:H14),SUM(D14:H14),"NG")</f>
        <v>15986626000</v>
      </c>
      <c r="J14" s="29">
        <f>'２②損益計算書(26)'!V13</f>
        <v>1233542736</v>
      </c>
      <c r="K14" s="29">
        <v>0</v>
      </c>
      <c r="L14" s="29">
        <f t="shared" si="2"/>
        <v>1233542736</v>
      </c>
      <c r="M14" s="29">
        <v>0</v>
      </c>
      <c r="N14" s="29">
        <v>0</v>
      </c>
      <c r="O14" s="29">
        <v>1233542736</v>
      </c>
      <c r="P14" s="29">
        <v>0</v>
      </c>
      <c r="Q14" s="29">
        <v>0</v>
      </c>
      <c r="R14" s="4" t="s">
        <v>435</v>
      </c>
    </row>
    <row r="15" spans="1:20">
      <c r="A15" s="26">
        <f>'法人一覧(26)'!A14</f>
        <v>11</v>
      </c>
      <c r="B15" s="32" t="str">
        <f>'法人一覧(26)'!B14</f>
        <v>財務省</v>
      </c>
      <c r="C15" s="32" t="str">
        <f>'法人一覧(26)'!C14</f>
        <v>国立印刷局</v>
      </c>
      <c r="D15" s="29">
        <v>46241935287</v>
      </c>
      <c r="E15" s="29">
        <v>0</v>
      </c>
      <c r="F15" s="29">
        <v>7129151962</v>
      </c>
      <c r="G15" s="29">
        <v>0</v>
      </c>
      <c r="H15" s="29">
        <v>8098084888</v>
      </c>
      <c r="I15" s="29">
        <f>IF('１②貸借対照表(26)'!T14=SUM(D15:H15),SUM(D15:H15),"NG")</f>
        <v>61469172137</v>
      </c>
      <c r="J15" s="29">
        <f>'２②損益計算書(26)'!V14</f>
        <v>8098084888</v>
      </c>
      <c r="K15" s="29">
        <v>0</v>
      </c>
      <c r="L15" s="29">
        <f t="shared" si="2"/>
        <v>8098084888</v>
      </c>
      <c r="M15" s="29">
        <v>0</v>
      </c>
      <c r="N15" s="29">
        <v>0</v>
      </c>
      <c r="O15" s="29">
        <v>8098084888</v>
      </c>
      <c r="P15" s="29">
        <v>0</v>
      </c>
      <c r="Q15" s="29">
        <v>0</v>
      </c>
      <c r="R15" s="4" t="s">
        <v>435</v>
      </c>
    </row>
    <row r="16" spans="1:20">
      <c r="A16" s="26">
        <f>'法人一覧(26)'!A15</f>
        <v>12</v>
      </c>
      <c r="B16" s="32" t="str">
        <f>'法人一覧(26)'!B15</f>
        <v>文部科学省</v>
      </c>
      <c r="C16" s="59" t="str">
        <f>'法人一覧(26)'!C15</f>
        <v>国立特別支援教育総合研究所</v>
      </c>
      <c r="D16" s="29">
        <v>0</v>
      </c>
      <c r="E16" s="29">
        <v>0</v>
      </c>
      <c r="F16" s="29">
        <v>6422620</v>
      </c>
      <c r="G16" s="29">
        <v>0</v>
      </c>
      <c r="H16" s="29">
        <v>633201</v>
      </c>
      <c r="I16" s="29">
        <f>IF('１②貸借対照表(26)'!T15=SUM(D16:H16),SUM(D16:H16),"NG")</f>
        <v>7055821</v>
      </c>
      <c r="J16" s="29">
        <f>'２②損益計算書(26)'!V15</f>
        <v>633201</v>
      </c>
      <c r="K16" s="29">
        <v>0</v>
      </c>
      <c r="L16" s="29">
        <f t="shared" si="2"/>
        <v>633201</v>
      </c>
      <c r="M16" s="29">
        <v>0</v>
      </c>
      <c r="N16" s="29">
        <v>0</v>
      </c>
      <c r="O16" s="29">
        <v>633201</v>
      </c>
      <c r="P16" s="29">
        <v>0</v>
      </c>
      <c r="Q16" s="29">
        <v>0</v>
      </c>
      <c r="R16" s="4" t="s">
        <v>435</v>
      </c>
    </row>
    <row r="17" spans="1:18">
      <c r="A17" s="26">
        <f>'法人一覧(26)'!A16</f>
        <v>13</v>
      </c>
      <c r="B17" s="32" t="str">
        <f>'法人一覧(26)'!B16</f>
        <v>文部科学省</v>
      </c>
      <c r="C17" s="59" t="str">
        <f>'法人一覧(26)'!C16</f>
        <v>大学入試センター</v>
      </c>
      <c r="D17" s="52">
        <v>502846954</v>
      </c>
      <c r="E17" s="52">
        <v>0</v>
      </c>
      <c r="F17" s="52">
        <v>1371070728</v>
      </c>
      <c r="G17" s="52">
        <v>0</v>
      </c>
      <c r="H17" s="52">
        <v>214206726</v>
      </c>
      <c r="I17" s="29">
        <f>IF('１②貸借対照表(26)'!T16=SUM(D17:H17),SUM(D17:H17),"NG")</f>
        <v>2088124408</v>
      </c>
      <c r="J17" s="29">
        <f>'２②損益計算書(26)'!V16</f>
        <v>214206726</v>
      </c>
      <c r="K17" s="52">
        <v>0</v>
      </c>
      <c r="L17" s="52">
        <f t="shared" si="2"/>
        <v>214206726</v>
      </c>
      <c r="M17" s="52">
        <v>0</v>
      </c>
      <c r="N17" s="52">
        <v>0</v>
      </c>
      <c r="O17" s="52">
        <v>214206726</v>
      </c>
      <c r="P17" s="52">
        <v>0</v>
      </c>
      <c r="Q17" s="52">
        <v>0</v>
      </c>
      <c r="R17" s="4" t="s">
        <v>435</v>
      </c>
    </row>
    <row r="18" spans="1:18">
      <c r="A18" s="26">
        <f>'法人一覧(26)'!A17</f>
        <v>14</v>
      </c>
      <c r="B18" s="32" t="str">
        <f>'法人一覧(26)'!B17</f>
        <v>文部科学省</v>
      </c>
      <c r="C18" s="59" t="str">
        <f>'法人一覧(26)'!C17</f>
        <v>国立青少年教育振興機構</v>
      </c>
      <c r="D18" s="52">
        <v>1163954</v>
      </c>
      <c r="E18" s="52">
        <v>0</v>
      </c>
      <c r="F18" s="52">
        <v>498852</v>
      </c>
      <c r="G18" s="52">
        <v>0</v>
      </c>
      <c r="H18" s="52">
        <v>11867</v>
      </c>
      <c r="I18" s="29">
        <f>IF('１②貸借対照表(26)'!T17=SUM(D18:H18),SUM(D18:H18),"NG")</f>
        <v>1674673</v>
      </c>
      <c r="J18" s="29">
        <f>'２②損益計算書(26)'!V17</f>
        <v>11867</v>
      </c>
      <c r="K18" s="52">
        <v>0</v>
      </c>
      <c r="L18" s="52">
        <f t="shared" si="2"/>
        <v>11867</v>
      </c>
      <c r="M18" s="52">
        <v>0</v>
      </c>
      <c r="N18" s="52">
        <v>0</v>
      </c>
      <c r="O18" s="52">
        <v>11867</v>
      </c>
      <c r="P18" s="52">
        <v>0</v>
      </c>
      <c r="Q18" s="52">
        <v>0</v>
      </c>
      <c r="R18" s="4" t="s">
        <v>435</v>
      </c>
    </row>
    <row r="19" spans="1:18">
      <c r="A19" s="26">
        <f>'法人一覧(26)'!A18</f>
        <v>15</v>
      </c>
      <c r="B19" s="32" t="str">
        <f>'法人一覧(26)'!B18</f>
        <v>文部科学省</v>
      </c>
      <c r="C19" s="32" t="str">
        <f>'法人一覧(26)'!C18</f>
        <v>国立女性教育会館</v>
      </c>
      <c r="D19" s="52">
        <v>0</v>
      </c>
      <c r="E19" s="52">
        <v>0</v>
      </c>
      <c r="F19" s="52">
        <v>47374554</v>
      </c>
      <c r="G19" s="52">
        <v>0</v>
      </c>
      <c r="H19" s="52">
        <v>36118823</v>
      </c>
      <c r="I19" s="29">
        <f>IF('１②貸借対照表(26)'!T18=SUM(D19:H19),SUM(D19:H19),"NG")</f>
        <v>83493377</v>
      </c>
      <c r="J19" s="29">
        <f>'２②損益計算書(26)'!V18</f>
        <v>36118823</v>
      </c>
      <c r="K19" s="52">
        <v>0</v>
      </c>
      <c r="L19" s="52">
        <f t="shared" si="2"/>
        <v>36118823</v>
      </c>
      <c r="M19" s="52">
        <v>0</v>
      </c>
      <c r="N19" s="52">
        <v>0</v>
      </c>
      <c r="O19" s="52">
        <v>36118823</v>
      </c>
      <c r="P19" s="52">
        <v>0</v>
      </c>
      <c r="Q19" s="52">
        <v>0</v>
      </c>
      <c r="R19" s="4" t="s">
        <v>435</v>
      </c>
    </row>
    <row r="20" spans="1:18">
      <c r="A20" s="26">
        <f>'法人一覧(26)'!A19</f>
        <v>16</v>
      </c>
      <c r="B20" s="32" t="str">
        <f>'法人一覧(26)'!B19</f>
        <v>文部科学省</v>
      </c>
      <c r="C20" s="59" t="str">
        <f>'法人一覧(26)'!C19</f>
        <v>国立科学博物館</v>
      </c>
      <c r="D20" s="52">
        <v>488429</v>
      </c>
      <c r="E20" s="52">
        <v>0</v>
      </c>
      <c r="F20" s="52">
        <v>63676026</v>
      </c>
      <c r="G20" s="52">
        <v>0</v>
      </c>
      <c r="H20" s="52">
        <v>21056558</v>
      </c>
      <c r="I20" s="29">
        <f>IF('１②貸借対照表(26)'!T19=SUM(D20:H20),SUM(D20:H20),"NG")</f>
        <v>85221013</v>
      </c>
      <c r="J20" s="29">
        <f>'２②損益計算書(26)'!V19</f>
        <v>21056558</v>
      </c>
      <c r="K20" s="52">
        <v>0</v>
      </c>
      <c r="L20" s="52">
        <f t="shared" si="2"/>
        <v>21056558</v>
      </c>
      <c r="M20" s="52">
        <v>0</v>
      </c>
      <c r="N20" s="52">
        <v>0</v>
      </c>
      <c r="O20" s="52">
        <v>21056558</v>
      </c>
      <c r="P20" s="52">
        <v>0</v>
      </c>
      <c r="Q20" s="52">
        <v>0</v>
      </c>
      <c r="R20" s="4" t="s">
        <v>435</v>
      </c>
    </row>
    <row r="21" spans="1:18">
      <c r="A21" s="26">
        <f>'法人一覧(26)'!A20</f>
        <v>17</v>
      </c>
      <c r="B21" s="32" t="str">
        <f>'法人一覧(26)'!B20</f>
        <v>文部科学省</v>
      </c>
      <c r="C21" s="32" t="str">
        <f>'法人一覧(26)'!C20</f>
        <v>物質・材料研究機構</v>
      </c>
      <c r="D21" s="52">
        <v>3862950</v>
      </c>
      <c r="E21" s="52">
        <v>108406500</v>
      </c>
      <c r="F21" s="52">
        <v>3313056319</v>
      </c>
      <c r="G21" s="52">
        <v>0</v>
      </c>
      <c r="H21" s="52">
        <v>-1036148351</v>
      </c>
      <c r="I21" s="29">
        <f>IF('１②貸借対照表(26)'!T20=SUM(D21:H21),SUM(D21:H21),"NG")</f>
        <v>2389177418</v>
      </c>
      <c r="J21" s="29">
        <f>'２②損益計算書(26)'!V20</f>
        <v>-1036148351</v>
      </c>
      <c r="K21" s="52">
        <v>0</v>
      </c>
      <c r="L21" s="52">
        <f t="shared" si="2"/>
        <v>-1036148351</v>
      </c>
      <c r="M21" s="52">
        <v>0</v>
      </c>
      <c r="N21" s="52">
        <v>0</v>
      </c>
      <c r="O21" s="52">
        <v>-1036148351</v>
      </c>
      <c r="P21" s="52">
        <v>0</v>
      </c>
      <c r="Q21" s="52">
        <v>0</v>
      </c>
      <c r="R21" s="4" t="s">
        <v>237</v>
      </c>
    </row>
    <row r="22" spans="1:18">
      <c r="A22" s="26">
        <f>'法人一覧(26)'!A21</f>
        <v>18</v>
      </c>
      <c r="B22" s="32" t="str">
        <f>'法人一覧(26)'!B21</f>
        <v>文部科学省</v>
      </c>
      <c r="C22" s="32" t="str">
        <f>'法人一覧(26)'!C21</f>
        <v>防災科学技術研究所</v>
      </c>
      <c r="D22" s="52">
        <v>5804529</v>
      </c>
      <c r="E22" s="52">
        <v>0</v>
      </c>
      <c r="F22" s="52">
        <v>46017373</v>
      </c>
      <c r="G22" s="52">
        <v>0</v>
      </c>
      <c r="H22" s="52">
        <v>70357062</v>
      </c>
      <c r="I22" s="29">
        <f>IF('１②貸借対照表(26)'!T21=SUM(D22:H22),SUM(D22:H22),"NG")</f>
        <v>122178964</v>
      </c>
      <c r="J22" s="29">
        <f>'２②損益計算書(26)'!V21</f>
        <v>70357062</v>
      </c>
      <c r="K22" s="52">
        <v>0</v>
      </c>
      <c r="L22" s="52">
        <f t="shared" si="2"/>
        <v>70357062</v>
      </c>
      <c r="M22" s="52">
        <v>0</v>
      </c>
      <c r="N22" s="52">
        <v>0</v>
      </c>
      <c r="O22" s="52">
        <v>70357062</v>
      </c>
      <c r="P22" s="52">
        <v>0</v>
      </c>
      <c r="Q22" s="52">
        <v>0</v>
      </c>
      <c r="R22" s="4" t="s">
        <v>435</v>
      </c>
    </row>
    <row r="23" spans="1:18" ht="32.4" customHeight="1">
      <c r="A23" s="26">
        <f>'法人一覧(26)'!A22</f>
        <v>19</v>
      </c>
      <c r="B23" s="32" t="str">
        <f>'法人一覧(26)'!B22</f>
        <v>文部科学省</v>
      </c>
      <c r="C23" s="32" t="str">
        <f>'法人一覧(26)'!C22</f>
        <v>放射線医学総合研究所</v>
      </c>
      <c r="D23" s="52">
        <v>5206876</v>
      </c>
      <c r="E23" s="52">
        <v>42923900</v>
      </c>
      <c r="F23" s="52">
        <v>389562067</v>
      </c>
      <c r="G23" s="52">
        <v>0</v>
      </c>
      <c r="H23" s="52">
        <v>49495083</v>
      </c>
      <c r="I23" s="29">
        <f>IF('１②貸借対照表(26)'!T22=SUM(D23:H23),SUM(D23:H23),"NG")</f>
        <v>487187926</v>
      </c>
      <c r="J23" s="29">
        <f>'２②損益計算書(26)'!V22</f>
        <v>49495083</v>
      </c>
      <c r="K23" s="52">
        <v>0</v>
      </c>
      <c r="L23" s="52">
        <f t="shared" si="2"/>
        <v>49495083</v>
      </c>
      <c r="M23" s="52">
        <v>0</v>
      </c>
      <c r="N23" s="52">
        <v>9125078</v>
      </c>
      <c r="O23" s="52">
        <v>40370005</v>
      </c>
      <c r="P23" s="52">
        <v>0</v>
      </c>
      <c r="Q23" s="52">
        <v>0</v>
      </c>
      <c r="R23" s="58" t="s">
        <v>349</v>
      </c>
    </row>
    <row r="24" spans="1:18" ht="61.8" customHeight="1">
      <c r="A24" s="26">
        <f>'法人一覧(26)'!A23</f>
        <v>20</v>
      </c>
      <c r="B24" s="32" t="str">
        <f>'法人一覧(26)'!B23</f>
        <v>文部科学省</v>
      </c>
      <c r="C24" s="59" t="str">
        <f>'法人一覧(26)'!C23</f>
        <v>国立美術館</v>
      </c>
      <c r="D24" s="52">
        <v>376142466</v>
      </c>
      <c r="E24" s="52">
        <f>31951800+4285595</f>
        <v>36237395</v>
      </c>
      <c r="F24" s="52">
        <v>133765041</v>
      </c>
      <c r="G24" s="52">
        <v>0</v>
      </c>
      <c r="H24" s="52">
        <v>35512685</v>
      </c>
      <c r="I24" s="29">
        <f>IF('１②貸借対照表(26)'!T23=SUM(D24:H24),SUM(D24:H24),"NG")</f>
        <v>581657587</v>
      </c>
      <c r="J24" s="29">
        <f>'２②損益計算書(26)'!V23</f>
        <v>35512685</v>
      </c>
      <c r="K24" s="52">
        <v>0</v>
      </c>
      <c r="L24" s="52">
        <f t="shared" si="2"/>
        <v>35512685</v>
      </c>
      <c r="M24" s="52">
        <v>0</v>
      </c>
      <c r="N24" s="52">
        <v>33900905</v>
      </c>
      <c r="O24" s="112">
        <v>1611780</v>
      </c>
      <c r="P24" s="52">
        <v>0</v>
      </c>
      <c r="Q24" s="52">
        <v>0</v>
      </c>
      <c r="R24" s="58" t="s">
        <v>554</v>
      </c>
    </row>
    <row r="25" spans="1:18" ht="18" customHeight="1">
      <c r="A25" s="26">
        <f>'法人一覧(26)'!A24</f>
        <v>21</v>
      </c>
      <c r="B25" s="32" t="str">
        <f>'法人一覧(26)'!B24</f>
        <v>文部科学省</v>
      </c>
      <c r="C25" s="32" t="str">
        <f>'法人一覧(26)'!C24</f>
        <v>国立文化財機構</v>
      </c>
      <c r="D25" s="52">
        <v>633827709</v>
      </c>
      <c r="E25" s="52">
        <v>0</v>
      </c>
      <c r="F25" s="52">
        <v>141786007</v>
      </c>
      <c r="G25" s="52">
        <v>0</v>
      </c>
      <c r="H25" s="52">
        <v>224684017</v>
      </c>
      <c r="I25" s="29">
        <f>IF('１②貸借対照表(26)'!T24=SUM(D25:H25),SUM(D25:H25),"NG")</f>
        <v>1000297733</v>
      </c>
      <c r="J25" s="29">
        <f>'２②損益計算書(26)'!V24</f>
        <v>224684017</v>
      </c>
      <c r="K25" s="52">
        <v>0</v>
      </c>
      <c r="L25" s="52">
        <f t="shared" si="2"/>
        <v>224684017</v>
      </c>
      <c r="M25" s="52">
        <v>0</v>
      </c>
      <c r="N25" s="52">
        <v>86629015</v>
      </c>
      <c r="O25" s="52">
        <v>138055002</v>
      </c>
      <c r="P25" s="52">
        <v>0</v>
      </c>
      <c r="Q25" s="52">
        <v>0</v>
      </c>
      <c r="R25" s="58" t="s">
        <v>352</v>
      </c>
    </row>
    <row r="26" spans="1:18">
      <c r="A26" s="26">
        <f>'法人一覧(26)'!A25</f>
        <v>22</v>
      </c>
      <c r="B26" s="32" t="str">
        <f>'法人一覧(26)'!B25</f>
        <v>文部科学省</v>
      </c>
      <c r="C26" s="32" t="str">
        <f>'法人一覧(26)'!C25</f>
        <v>教員研修センター</v>
      </c>
      <c r="D26" s="52">
        <v>0</v>
      </c>
      <c r="E26" s="52">
        <v>0</v>
      </c>
      <c r="F26" s="52">
        <v>1153990</v>
      </c>
      <c r="G26" s="52">
        <v>0</v>
      </c>
      <c r="H26" s="52">
        <v>4267781</v>
      </c>
      <c r="I26" s="29">
        <f>IF('１②貸借対照表(26)'!T25=SUM(D26:H26),SUM(D26:H26),"NG")</f>
        <v>5421771</v>
      </c>
      <c r="J26" s="29">
        <f>'２②損益計算書(26)'!V25</f>
        <v>4267781</v>
      </c>
      <c r="K26" s="52">
        <v>0</v>
      </c>
      <c r="L26" s="52">
        <f t="shared" si="2"/>
        <v>4267781</v>
      </c>
      <c r="M26" s="52">
        <v>0</v>
      </c>
      <c r="N26" s="52">
        <v>0</v>
      </c>
      <c r="O26" s="52">
        <v>4267781</v>
      </c>
      <c r="P26" s="52">
        <v>0</v>
      </c>
      <c r="Q26" s="52">
        <v>0</v>
      </c>
      <c r="R26" s="4" t="s">
        <v>435</v>
      </c>
    </row>
    <row r="27" spans="1:18" ht="31.8" customHeight="1">
      <c r="A27" s="26">
        <f>'法人一覧(26)'!A26</f>
        <v>23</v>
      </c>
      <c r="B27" s="32" t="str">
        <f>'法人一覧(26)'!B26</f>
        <v>文部科学省</v>
      </c>
      <c r="C27" s="59" t="str">
        <f>'法人一覧(26)'!C26</f>
        <v>科学技術振興機構</v>
      </c>
      <c r="D27" s="52">
        <v>8060222</v>
      </c>
      <c r="E27" s="52">
        <v>57622464</v>
      </c>
      <c r="F27" s="52">
        <v>1232333584</v>
      </c>
      <c r="G27" s="52">
        <v>0</v>
      </c>
      <c r="H27" s="52">
        <f>185781478-74793215156</f>
        <v>-74607433678</v>
      </c>
      <c r="I27" s="29">
        <f>IF('１②貸借対照表(26)'!T26=SUM(D27:H27),SUM(D27:H27),"NG")</f>
        <v>-73309417408</v>
      </c>
      <c r="J27" s="29">
        <f>'２②損益計算書(26)'!V26</f>
        <v>506496918</v>
      </c>
      <c r="K27" s="52">
        <v>-75113930596</v>
      </c>
      <c r="L27" s="52">
        <f t="shared" si="2"/>
        <v>-74607433678</v>
      </c>
      <c r="M27" s="52">
        <v>0</v>
      </c>
      <c r="N27" s="52">
        <v>24621745</v>
      </c>
      <c r="O27" s="52">
        <v>161159733</v>
      </c>
      <c r="P27" s="52">
        <v>0</v>
      </c>
      <c r="Q27" s="52">
        <v>-74793215156</v>
      </c>
      <c r="R27" s="57" t="s">
        <v>350</v>
      </c>
    </row>
    <row r="28" spans="1:18">
      <c r="A28" s="26">
        <f>'法人一覧(26)'!A27</f>
        <v>24</v>
      </c>
      <c r="B28" s="32" t="str">
        <f>'法人一覧(26)'!B27</f>
        <v>文部科学省</v>
      </c>
      <c r="C28" s="32" t="str">
        <f>'法人一覧(26)'!C27</f>
        <v>日本学術振興会</v>
      </c>
      <c r="D28" s="52">
        <v>0</v>
      </c>
      <c r="E28" s="52">
        <v>0</v>
      </c>
      <c r="F28" s="52">
        <v>56025828</v>
      </c>
      <c r="G28" s="52">
        <v>0</v>
      </c>
      <c r="H28" s="52">
        <v>86278029</v>
      </c>
      <c r="I28" s="29">
        <f>IF('１②貸借対照表(26)'!T27=SUM(D28:H28),SUM(D28:H28),"NG")</f>
        <v>142303857</v>
      </c>
      <c r="J28" s="29">
        <f>'２②損益計算書(26)'!V27</f>
        <v>86278029</v>
      </c>
      <c r="K28" s="52">
        <v>0</v>
      </c>
      <c r="L28" s="52">
        <f t="shared" si="2"/>
        <v>86278029</v>
      </c>
      <c r="M28" s="52">
        <v>0</v>
      </c>
      <c r="N28" s="52">
        <v>0</v>
      </c>
      <c r="O28" s="52">
        <v>86278029</v>
      </c>
      <c r="P28" s="52">
        <v>0</v>
      </c>
      <c r="Q28" s="52">
        <v>0</v>
      </c>
      <c r="R28" s="4" t="s">
        <v>435</v>
      </c>
    </row>
    <row r="29" spans="1:18" ht="31.2" customHeight="1">
      <c r="A29" s="26">
        <f>'法人一覧(26)'!A28</f>
        <v>25</v>
      </c>
      <c r="B29" s="32" t="str">
        <f>'法人一覧(26)'!B28</f>
        <v>文部科学省</v>
      </c>
      <c r="C29" s="59" t="str">
        <f>'法人一覧(26)'!C28</f>
        <v>理化学研究所</v>
      </c>
      <c r="D29" s="52">
        <v>2407560391</v>
      </c>
      <c r="E29" s="52">
        <v>49943953</v>
      </c>
      <c r="F29" s="52">
        <v>1412307043</v>
      </c>
      <c r="G29" s="52">
        <v>0</v>
      </c>
      <c r="H29" s="52">
        <v>1631655908</v>
      </c>
      <c r="I29" s="29">
        <f>IF('１②貸借対照表(26)'!T28=SUM(D29:H29),SUM(D29:H29),"NG")</f>
        <v>5501467295</v>
      </c>
      <c r="J29" s="29">
        <f>'２②損益計算書(26)'!V28</f>
        <v>1631655908</v>
      </c>
      <c r="K29" s="52">
        <v>0</v>
      </c>
      <c r="L29" s="52">
        <f t="shared" si="2"/>
        <v>1631655908</v>
      </c>
      <c r="M29" s="52">
        <v>0</v>
      </c>
      <c r="N29" s="52">
        <v>86856451</v>
      </c>
      <c r="O29" s="52">
        <v>1544799457</v>
      </c>
      <c r="P29" s="52">
        <v>0</v>
      </c>
      <c r="Q29" s="52">
        <v>0</v>
      </c>
      <c r="R29" s="58" t="s">
        <v>351</v>
      </c>
    </row>
    <row r="30" spans="1:18">
      <c r="A30" s="26">
        <f>'法人一覧(26)'!A29</f>
        <v>26</v>
      </c>
      <c r="B30" s="32" t="str">
        <f>'法人一覧(26)'!B29</f>
        <v>文部科学省</v>
      </c>
      <c r="C30" s="59" t="str">
        <f>'法人一覧(26)'!C29</f>
        <v>宇宙航空研究開発機構</v>
      </c>
      <c r="D30" s="52">
        <v>0</v>
      </c>
      <c r="E30" s="52">
        <v>0</v>
      </c>
      <c r="F30" s="52">
        <v>0</v>
      </c>
      <c r="G30" s="52">
        <v>0</v>
      </c>
      <c r="H30" s="52">
        <v>-26292226945</v>
      </c>
      <c r="I30" s="29">
        <f>IF('１②貸借対照表(26)'!T29=SUM(D30:H30),SUM(D30:H30),"NG")</f>
        <v>-26292226945</v>
      </c>
      <c r="J30" s="29">
        <f>'２②損益計算書(26)'!V29</f>
        <v>-9430073897</v>
      </c>
      <c r="K30" s="52">
        <v>-16862153048</v>
      </c>
      <c r="L30" s="52">
        <f t="shared" si="2"/>
        <v>-26292226945</v>
      </c>
      <c r="M30" s="52">
        <v>0</v>
      </c>
      <c r="N30" s="52">
        <v>0</v>
      </c>
      <c r="O30" s="52">
        <v>0</v>
      </c>
      <c r="P30" s="52">
        <v>0</v>
      </c>
      <c r="Q30" s="52">
        <v>-26292226945</v>
      </c>
      <c r="R30" s="4" t="s">
        <v>435</v>
      </c>
    </row>
    <row r="31" spans="1:18">
      <c r="A31" s="26">
        <f>'法人一覧(26)'!A30</f>
        <v>27</v>
      </c>
      <c r="B31" s="32" t="str">
        <f>'法人一覧(26)'!B30</f>
        <v>文部科学省</v>
      </c>
      <c r="C31" s="32" t="str">
        <f>'法人一覧(26)'!C30</f>
        <v>日本スポーツ振興センター</v>
      </c>
      <c r="D31" s="52">
        <v>2540630149</v>
      </c>
      <c r="E31" s="52">
        <v>0</v>
      </c>
      <c r="F31" s="52">
        <v>6395562125</v>
      </c>
      <c r="G31" s="52">
        <v>0</v>
      </c>
      <c r="H31" s="52">
        <v>1305741120</v>
      </c>
      <c r="I31" s="29">
        <f>IF('１②貸借対照表(26)'!T30=SUM(D31:H31),SUM(D31:H31),"NG")</f>
        <v>10241933394</v>
      </c>
      <c r="J31" s="29">
        <f>'２②損益計算書(26)'!V30</f>
        <v>1305741120</v>
      </c>
      <c r="K31" s="52">
        <v>0</v>
      </c>
      <c r="L31" s="52">
        <f t="shared" si="2"/>
        <v>1305741120</v>
      </c>
      <c r="M31" s="52">
        <v>0</v>
      </c>
      <c r="N31" s="52">
        <v>0</v>
      </c>
      <c r="O31" s="52">
        <v>1305741120</v>
      </c>
      <c r="P31" s="52">
        <v>0</v>
      </c>
      <c r="Q31" s="52">
        <v>0</v>
      </c>
      <c r="R31" s="4" t="s">
        <v>435</v>
      </c>
    </row>
    <row r="32" spans="1:18" ht="33.6" customHeight="1">
      <c r="A32" s="26">
        <f>'法人一覧(26)'!A31</f>
        <v>28</v>
      </c>
      <c r="B32" s="32" t="str">
        <f>'法人一覧(26)'!B31</f>
        <v>文部科学省</v>
      </c>
      <c r="C32" s="59" t="str">
        <f>'法人一覧(26)'!C31</f>
        <v>日本芸術文化振興会</v>
      </c>
      <c r="D32" s="52">
        <v>797500844</v>
      </c>
      <c r="E32" s="52">
        <f>7130698+73350809</f>
        <v>80481507</v>
      </c>
      <c r="F32" s="52">
        <v>370064313</v>
      </c>
      <c r="G32" s="52">
        <v>0</v>
      </c>
      <c r="H32" s="52">
        <v>96978234</v>
      </c>
      <c r="I32" s="29">
        <f>IF('１②貸借対照表(26)'!T31=SUM(D32:H32),SUM(D32:H32),"NG")</f>
        <v>1345024898</v>
      </c>
      <c r="J32" s="29">
        <f>'２②損益計算書(26)'!V31</f>
        <v>96978234</v>
      </c>
      <c r="K32" s="52">
        <v>0</v>
      </c>
      <c r="L32" s="52">
        <f t="shared" si="2"/>
        <v>96978234</v>
      </c>
      <c r="M32" s="52">
        <v>0</v>
      </c>
      <c r="N32" s="52">
        <v>76046169</v>
      </c>
      <c r="O32" s="52">
        <v>20932065</v>
      </c>
      <c r="P32" s="52">
        <v>0</v>
      </c>
      <c r="Q32" s="52">
        <v>0</v>
      </c>
      <c r="R32" s="4" t="s">
        <v>559</v>
      </c>
    </row>
    <row r="33" spans="1:18">
      <c r="A33" s="26">
        <f>'法人一覧(26)'!A32</f>
        <v>29</v>
      </c>
      <c r="B33" s="32" t="str">
        <f>'法人一覧(26)'!B32</f>
        <v>文部科学省</v>
      </c>
      <c r="C33" s="59" t="str">
        <f>'法人一覧(26)'!C32</f>
        <v>日本学生支援機構</v>
      </c>
      <c r="D33" s="52">
        <v>18030006644</v>
      </c>
      <c r="E33" s="52">
        <v>0</v>
      </c>
      <c r="F33" s="52">
        <v>0</v>
      </c>
      <c r="G33" s="52">
        <v>0</v>
      </c>
      <c r="H33" s="52">
        <v>5406100675</v>
      </c>
      <c r="I33" s="29">
        <f>IF('１②貸借対照表(26)'!T32=SUM(D33:H33),SUM(D33:H33),"NG")</f>
        <v>23436107319</v>
      </c>
      <c r="J33" s="29">
        <f>'２②損益計算書(26)'!V32</f>
        <v>5406100675</v>
      </c>
      <c r="K33" s="52">
        <v>0</v>
      </c>
      <c r="L33" s="52">
        <f t="shared" si="2"/>
        <v>5406100675</v>
      </c>
      <c r="M33" s="52">
        <v>0</v>
      </c>
      <c r="N33" s="52">
        <v>0</v>
      </c>
      <c r="O33" s="52">
        <v>5406100675</v>
      </c>
      <c r="P33" s="52">
        <v>0</v>
      </c>
      <c r="Q33" s="52">
        <v>0</v>
      </c>
      <c r="R33" s="4" t="s">
        <v>435</v>
      </c>
    </row>
    <row r="34" spans="1:18">
      <c r="A34" s="26">
        <f>'法人一覧(26)'!A33</f>
        <v>30</v>
      </c>
      <c r="B34" s="32" t="str">
        <f>'法人一覧(26)'!B33</f>
        <v>文部科学省</v>
      </c>
      <c r="C34" s="32" t="str">
        <f>'法人一覧(26)'!C33</f>
        <v>海洋研究開発機構</v>
      </c>
      <c r="D34" s="52">
        <v>5216125541</v>
      </c>
      <c r="E34" s="52">
        <v>0</v>
      </c>
      <c r="F34" s="52">
        <v>0</v>
      </c>
      <c r="G34" s="52">
        <v>0</v>
      </c>
      <c r="H34" s="52">
        <v>467542851</v>
      </c>
      <c r="I34" s="29">
        <f>IF('１②貸借対照表(26)'!T33=SUM(D34:H34),SUM(D34:H34),"NG")</f>
        <v>5683668392</v>
      </c>
      <c r="J34" s="29">
        <f>'２②損益計算書(26)'!V33</f>
        <v>467542851</v>
      </c>
      <c r="K34" s="52">
        <v>0</v>
      </c>
      <c r="L34" s="52">
        <f t="shared" si="2"/>
        <v>467542851</v>
      </c>
      <c r="M34" s="52">
        <v>0</v>
      </c>
      <c r="N34" s="52">
        <v>0</v>
      </c>
      <c r="O34" s="52">
        <v>467542851</v>
      </c>
      <c r="P34" s="52">
        <v>0</v>
      </c>
      <c r="Q34" s="52">
        <v>0</v>
      </c>
      <c r="R34" s="4" t="s">
        <v>435</v>
      </c>
    </row>
    <row r="35" spans="1:18">
      <c r="A35" s="26">
        <f>'法人一覧(26)'!A34</f>
        <v>31</v>
      </c>
      <c r="B35" s="32" t="str">
        <f>'法人一覧(26)'!B34</f>
        <v>文部科学省</v>
      </c>
      <c r="C35" s="59" t="str">
        <f>'法人一覧(26)'!C34</f>
        <v>国立高等専門学校機構</v>
      </c>
      <c r="D35" s="52">
        <v>190558060</v>
      </c>
      <c r="E35" s="52">
        <v>0</v>
      </c>
      <c r="F35" s="52">
        <v>0</v>
      </c>
      <c r="G35" s="52">
        <v>0</v>
      </c>
      <c r="H35" s="52">
        <v>549768129</v>
      </c>
      <c r="I35" s="29">
        <f>IF('１②貸借対照表(26)'!T34=SUM(D35:H35),SUM(D35:H35),"NG")</f>
        <v>740326189</v>
      </c>
      <c r="J35" s="29">
        <f>'２②損益計算書(26)'!V34</f>
        <v>549768129</v>
      </c>
      <c r="K35" s="52">
        <v>0</v>
      </c>
      <c r="L35" s="52">
        <f t="shared" si="2"/>
        <v>549768129</v>
      </c>
      <c r="M35" s="52">
        <v>0</v>
      </c>
      <c r="N35" s="52">
        <v>0</v>
      </c>
      <c r="O35" s="52">
        <v>549768129</v>
      </c>
      <c r="P35" s="52">
        <v>0</v>
      </c>
      <c r="Q35" s="52">
        <v>0</v>
      </c>
      <c r="R35" s="4" t="s">
        <v>435</v>
      </c>
    </row>
    <row r="36" spans="1:18">
      <c r="A36" s="26">
        <f>'法人一覧(26)'!A35</f>
        <v>32</v>
      </c>
      <c r="B36" s="32" t="str">
        <f>'法人一覧(26)'!B35</f>
        <v>文部科学省</v>
      </c>
      <c r="C36" s="59" t="str">
        <f>'法人一覧(26)'!C35</f>
        <v>大学評価・学位授与機構</v>
      </c>
      <c r="D36" s="52">
        <v>0</v>
      </c>
      <c r="E36" s="52">
        <v>0</v>
      </c>
      <c r="F36" s="52">
        <v>0</v>
      </c>
      <c r="G36" s="52">
        <v>0</v>
      </c>
      <c r="H36" s="52">
        <v>83548550</v>
      </c>
      <c r="I36" s="29">
        <f>IF('１②貸借対照表(26)'!T35=SUM(D36:H36),SUM(D36:H36),"NG")</f>
        <v>83548550</v>
      </c>
      <c r="J36" s="29">
        <f>'２②損益計算書(26)'!V35</f>
        <v>83548550</v>
      </c>
      <c r="K36" s="52">
        <v>0</v>
      </c>
      <c r="L36" s="52">
        <f t="shared" si="2"/>
        <v>83548550</v>
      </c>
      <c r="M36" s="52">
        <v>0</v>
      </c>
      <c r="N36" s="52">
        <v>0</v>
      </c>
      <c r="O36" s="52">
        <v>83548550</v>
      </c>
      <c r="P36" s="52">
        <v>0</v>
      </c>
      <c r="Q36" s="52">
        <v>0</v>
      </c>
      <c r="R36" s="4" t="s">
        <v>435</v>
      </c>
    </row>
    <row r="37" spans="1:18">
      <c r="A37" s="26">
        <f>'法人一覧(26)'!A36</f>
        <v>33</v>
      </c>
      <c r="B37" s="32" t="str">
        <f>'法人一覧(26)'!B36</f>
        <v>文部科学省</v>
      </c>
      <c r="C37" s="59" t="str">
        <f>'法人一覧(26)'!C36</f>
        <v>国立大学財務・経営センター</v>
      </c>
      <c r="D37" s="52">
        <v>0</v>
      </c>
      <c r="E37" s="52">
        <v>0</v>
      </c>
      <c r="F37" s="52">
        <v>0</v>
      </c>
      <c r="G37" s="52">
        <v>24581087613</v>
      </c>
      <c r="H37" s="52">
        <v>3792</v>
      </c>
      <c r="I37" s="29">
        <f>IF('１②貸借対照表(26)'!T36=SUM(D37:H37),SUM(D37:H37),"NG")</f>
        <v>24581091405</v>
      </c>
      <c r="J37" s="29">
        <f>'２②損益計算書(26)'!V36</f>
        <v>3792</v>
      </c>
      <c r="K37" s="52">
        <v>0</v>
      </c>
      <c r="L37" s="52">
        <f t="shared" si="2"/>
        <v>3792</v>
      </c>
      <c r="M37" s="52">
        <v>0</v>
      </c>
      <c r="N37" s="52">
        <v>0</v>
      </c>
      <c r="O37" s="52">
        <v>3792</v>
      </c>
      <c r="P37" s="52">
        <v>0</v>
      </c>
      <c r="Q37" s="52">
        <v>0</v>
      </c>
      <c r="R37" s="4" t="s">
        <v>237</v>
      </c>
    </row>
    <row r="38" spans="1:18">
      <c r="A38" s="26">
        <f>'法人一覧(26)'!A37</f>
        <v>34</v>
      </c>
      <c r="B38" s="32" t="str">
        <f>'法人一覧(26)'!B37</f>
        <v>文部科学省</v>
      </c>
      <c r="C38" s="59" t="str">
        <f>'法人一覧(26)'!C37</f>
        <v>日本原子力研究開発機構</v>
      </c>
      <c r="D38" s="52">
        <f>767309356+1393051939</f>
        <v>2160361295</v>
      </c>
      <c r="E38" s="52">
        <v>0</v>
      </c>
      <c r="F38" s="52">
        <f>2097663264</f>
        <v>2097663264</v>
      </c>
      <c r="G38" s="52">
        <v>20652023703</v>
      </c>
      <c r="H38" s="52">
        <f>609308472-1471660008+1850761678</f>
        <v>988410142</v>
      </c>
      <c r="I38" s="29">
        <f>IF('１②貸借対照表(26)'!T37=SUM(D38:H38),SUM(D38:H38),"NG")</f>
        <v>25898458404</v>
      </c>
      <c r="J38" s="29">
        <f>'２②損益計算書(26)'!V37</f>
        <v>2836355530</v>
      </c>
      <c r="K38" s="52">
        <v>-1847945388</v>
      </c>
      <c r="L38" s="52">
        <f t="shared" si="2"/>
        <v>988410142</v>
      </c>
      <c r="M38" s="52">
        <v>0</v>
      </c>
      <c r="N38" s="52">
        <v>0</v>
      </c>
      <c r="O38" s="52">
        <v>609308472</v>
      </c>
      <c r="P38" s="52">
        <v>1850761678</v>
      </c>
      <c r="Q38" s="52">
        <v>-1471660008</v>
      </c>
      <c r="R38" s="4" t="s">
        <v>435</v>
      </c>
    </row>
    <row r="39" spans="1:18">
      <c r="A39" s="26">
        <f>'法人一覧(26)'!A38</f>
        <v>35</v>
      </c>
      <c r="B39" s="32" t="str">
        <f>'法人一覧(26)'!B38</f>
        <v>厚生労働省</v>
      </c>
      <c r="C39" s="32" t="str">
        <f>'法人一覧(26)'!C38</f>
        <v>国立健康・栄養研究所</v>
      </c>
      <c r="D39" s="52">
        <v>0</v>
      </c>
      <c r="E39" s="52">
        <v>0</v>
      </c>
      <c r="F39" s="52">
        <v>105857574</v>
      </c>
      <c r="G39" s="52">
        <v>0</v>
      </c>
      <c r="H39" s="52">
        <v>47251283</v>
      </c>
      <c r="I39" s="29">
        <f>IF('１②貸借対照表(26)'!T38=SUM(D39:H39),SUM(D39:H39),"NG")</f>
        <v>153108857</v>
      </c>
      <c r="J39" s="29">
        <f>'２②損益計算書(26)'!V38</f>
        <v>47251283</v>
      </c>
      <c r="K39" s="52">
        <v>0</v>
      </c>
      <c r="L39" s="52">
        <f t="shared" si="2"/>
        <v>47251283</v>
      </c>
      <c r="M39" s="52">
        <v>0</v>
      </c>
      <c r="N39" s="52">
        <v>0</v>
      </c>
      <c r="O39" s="52">
        <v>47251283</v>
      </c>
      <c r="P39" s="52">
        <v>0</v>
      </c>
      <c r="Q39" s="52">
        <v>0</v>
      </c>
      <c r="R39" s="4" t="s">
        <v>435</v>
      </c>
    </row>
    <row r="40" spans="1:18">
      <c r="A40" s="26">
        <f>'法人一覧(26)'!A39</f>
        <v>36</v>
      </c>
      <c r="B40" s="32" t="str">
        <f>'法人一覧(26)'!B39</f>
        <v>厚生労働省</v>
      </c>
      <c r="C40" s="32" t="str">
        <f>'法人一覧(26)'!C39</f>
        <v>労働安全衛生総合研究所</v>
      </c>
      <c r="D40" s="52">
        <v>0</v>
      </c>
      <c r="E40" s="52">
        <v>0</v>
      </c>
      <c r="F40" s="52">
        <v>73067363</v>
      </c>
      <c r="G40" s="52">
        <v>0</v>
      </c>
      <c r="H40" s="52">
        <v>11826473</v>
      </c>
      <c r="I40" s="29">
        <f>IF('１②貸借対照表(26)'!T39=SUM(D40:H40),SUM(D40:H40),"NG")</f>
        <v>84893836</v>
      </c>
      <c r="J40" s="29">
        <f>'２②損益計算書(26)'!V39</f>
        <v>11826473</v>
      </c>
      <c r="K40" s="52">
        <v>0</v>
      </c>
      <c r="L40" s="52">
        <f t="shared" si="2"/>
        <v>11826473</v>
      </c>
      <c r="M40" s="52">
        <v>0</v>
      </c>
      <c r="N40" s="52">
        <v>0</v>
      </c>
      <c r="O40" s="52">
        <f>11525954+300519</f>
        <v>11826473</v>
      </c>
      <c r="P40" s="52">
        <v>0</v>
      </c>
      <c r="Q40" s="52">
        <v>0</v>
      </c>
      <c r="R40" s="4" t="s">
        <v>435</v>
      </c>
    </row>
    <row r="41" spans="1:18">
      <c r="A41" s="26">
        <f>'法人一覧(26)'!A40</f>
        <v>37</v>
      </c>
      <c r="B41" s="32" t="str">
        <f>'法人一覧(26)'!B40</f>
        <v>厚生労働省</v>
      </c>
      <c r="C41" s="32" t="str">
        <f>'法人一覧(26)'!C40</f>
        <v>勤労者退職金共済機構</v>
      </c>
      <c r="D41" s="52">
        <f>54218574942+82271359276+2632997904+1410934879+1748216113</f>
        <v>142282083114</v>
      </c>
      <c r="E41" s="52">
        <v>0</v>
      </c>
      <c r="F41" s="52">
        <f>158620005296+18437402375+3424190695</f>
        <v>180481598366</v>
      </c>
      <c r="G41" s="52">
        <v>0</v>
      </c>
      <c r="H41" s="52">
        <f>165590787272+22650345453-15092944-864032292+2842023361+7886383</f>
        <v>190211917233</v>
      </c>
      <c r="I41" s="29">
        <f>IF('１②貸借対照表(26)'!T40=SUM(D41:H41),SUM(D41:H41),"NG")</f>
        <v>512975598713</v>
      </c>
      <c r="J41" s="29">
        <f>'２②損益計算書(26)'!V40</f>
        <v>191374479948</v>
      </c>
      <c r="K41" s="52">
        <v>-1162562715</v>
      </c>
      <c r="L41" s="52">
        <f t="shared" si="2"/>
        <v>190211917233</v>
      </c>
      <c r="M41" s="52">
        <v>0</v>
      </c>
      <c r="N41" s="52">
        <v>0</v>
      </c>
      <c r="O41" s="52">
        <v>191091042469</v>
      </c>
      <c r="P41" s="52">
        <v>0</v>
      </c>
      <c r="Q41" s="52">
        <v>-879125236</v>
      </c>
      <c r="R41" s="4" t="s">
        <v>435</v>
      </c>
    </row>
    <row r="42" spans="1:18">
      <c r="A42" s="26">
        <f>'法人一覧(26)'!A41</f>
        <v>38</v>
      </c>
      <c r="B42" s="32" t="str">
        <f>'法人一覧(26)'!B41</f>
        <v>厚生労働省</v>
      </c>
      <c r="C42" s="32" t="str">
        <f>'法人一覧(26)'!C41</f>
        <v>高齢・障害・求職者雇用支援機構</v>
      </c>
      <c r="D42" s="52">
        <v>21847670537</v>
      </c>
      <c r="E42" s="52">
        <v>0</v>
      </c>
      <c r="F42" s="52">
        <v>4409945030</v>
      </c>
      <c r="G42" s="52">
        <v>0</v>
      </c>
      <c r="H42" s="52">
        <v>3339106414</v>
      </c>
      <c r="I42" s="29">
        <f>IF('１②貸借対照表(26)'!T41=SUM(D42:H42),SUM(D42:H42),"NG")</f>
        <v>29596721981</v>
      </c>
      <c r="J42" s="29">
        <f>'２②損益計算書(26)'!V41</f>
        <v>3339106414</v>
      </c>
      <c r="K42" s="52">
        <v>0</v>
      </c>
      <c r="L42" s="52">
        <f t="shared" si="2"/>
        <v>3339106414</v>
      </c>
      <c r="M42" s="52">
        <v>0</v>
      </c>
      <c r="N42" s="52">
        <v>0</v>
      </c>
      <c r="O42" s="52">
        <v>3340998541</v>
      </c>
      <c r="P42" s="52">
        <v>0</v>
      </c>
      <c r="Q42" s="52">
        <v>-1892127</v>
      </c>
      <c r="R42" s="4" t="s">
        <v>435</v>
      </c>
    </row>
    <row r="43" spans="1:18">
      <c r="A43" s="26">
        <f>'法人一覧(26)'!A42</f>
        <v>39</v>
      </c>
      <c r="B43" s="32" t="str">
        <f>'法人一覧(26)'!B42</f>
        <v>厚生労働省</v>
      </c>
      <c r="C43" s="32" t="str">
        <f>'法人一覧(26)'!C42</f>
        <v>福祉医療機構</v>
      </c>
      <c r="D43" s="52">
        <v>242101574</v>
      </c>
      <c r="E43" s="52">
        <v>0</v>
      </c>
      <c r="F43" s="52">
        <v>123043689</v>
      </c>
      <c r="G43" s="52">
        <v>0</v>
      </c>
      <c r="H43" s="52">
        <v>27654147490</v>
      </c>
      <c r="I43" s="29">
        <f>IF('１②貸借対照表(26)'!T42=SUM(D43:H43),SUM(D43:H43),"NG")</f>
        <v>28019292753</v>
      </c>
      <c r="J43" s="29">
        <f>'２②損益計算書(26)'!V42</f>
        <v>37160196403</v>
      </c>
      <c r="K43" s="52">
        <v>-9506048913</v>
      </c>
      <c r="L43" s="52">
        <f t="shared" si="2"/>
        <v>27654147490</v>
      </c>
      <c r="M43" s="52">
        <v>0</v>
      </c>
      <c r="N43" s="52">
        <v>0</v>
      </c>
      <c r="O43" s="52">
        <v>34001876764</v>
      </c>
      <c r="P43" s="52">
        <v>0</v>
      </c>
      <c r="Q43" s="52">
        <v>-6347729274</v>
      </c>
      <c r="R43" s="4" t="s">
        <v>435</v>
      </c>
    </row>
    <row r="44" spans="1:18">
      <c r="A44" s="26">
        <f>'法人一覧(26)'!A43</f>
        <v>40</v>
      </c>
      <c r="B44" s="32" t="str">
        <f>'法人一覧(26)'!B43</f>
        <v>厚生労働省</v>
      </c>
      <c r="C44" s="32" t="str">
        <f>'法人一覧(26)'!C43</f>
        <v>国立重度知的障害者総合施設のぞみの園</v>
      </c>
      <c r="D44" s="52">
        <v>0</v>
      </c>
      <c r="E44" s="52">
        <v>0</v>
      </c>
      <c r="F44" s="52">
        <v>0</v>
      </c>
      <c r="G44" s="52">
        <v>0</v>
      </c>
      <c r="H44" s="52">
        <v>0</v>
      </c>
      <c r="I44" s="29">
        <f>IF('１②貸借対照表(26)'!T43=SUM(D44:H44),SUM(D44:H44),"NG")</f>
        <v>0</v>
      </c>
      <c r="J44" s="29">
        <f>'２②損益計算書(26)'!V43</f>
        <v>0</v>
      </c>
      <c r="K44" s="52">
        <v>0</v>
      </c>
      <c r="L44" s="52">
        <f t="shared" si="2"/>
        <v>0</v>
      </c>
      <c r="M44" s="52">
        <v>0</v>
      </c>
      <c r="N44" s="52">
        <v>0</v>
      </c>
      <c r="O44" s="52">
        <v>0</v>
      </c>
      <c r="P44" s="52">
        <v>0</v>
      </c>
      <c r="Q44" s="52">
        <v>0</v>
      </c>
      <c r="R44" s="4" t="s">
        <v>435</v>
      </c>
    </row>
    <row r="45" spans="1:18">
      <c r="A45" s="26">
        <f>'法人一覧(26)'!A44</f>
        <v>41</v>
      </c>
      <c r="B45" s="32" t="str">
        <f>'法人一覧(26)'!B44</f>
        <v>厚生労働省</v>
      </c>
      <c r="C45" s="59" t="str">
        <f>'法人一覧(26)'!C44</f>
        <v>労働政策研究・研修機構</v>
      </c>
      <c r="D45" s="52">
        <v>0</v>
      </c>
      <c r="E45" s="52">
        <v>0</v>
      </c>
      <c r="F45" s="52">
        <v>13220611</v>
      </c>
      <c r="G45" s="52">
        <v>0</v>
      </c>
      <c r="H45" s="52">
        <v>2859591</v>
      </c>
      <c r="I45" s="29">
        <f>IF('１②貸借対照表(26)'!T44=SUM(D45:H45),SUM(D45:H45),"NG")</f>
        <v>16080202</v>
      </c>
      <c r="J45" s="29">
        <f>'２②損益計算書(26)'!V44</f>
        <v>2859591</v>
      </c>
      <c r="K45" s="52">
        <v>0</v>
      </c>
      <c r="L45" s="52">
        <f t="shared" si="2"/>
        <v>2859591</v>
      </c>
      <c r="M45" s="52">
        <v>0</v>
      </c>
      <c r="N45" s="52">
        <v>0</v>
      </c>
      <c r="O45" s="52">
        <v>2859591</v>
      </c>
      <c r="P45" s="52">
        <v>0</v>
      </c>
      <c r="Q45" s="52">
        <v>0</v>
      </c>
      <c r="R45" s="4" t="s">
        <v>435</v>
      </c>
    </row>
    <row r="46" spans="1:18">
      <c r="A46" s="26">
        <f>'法人一覧(26)'!A45</f>
        <v>42</v>
      </c>
      <c r="B46" s="32" t="str">
        <f>'法人一覧(26)'!B45</f>
        <v>厚生労働省</v>
      </c>
      <c r="C46" s="32" t="str">
        <f>'法人一覧(26)'!C45</f>
        <v>労働者健康福祉機構</v>
      </c>
      <c r="D46" s="52">
        <v>0</v>
      </c>
      <c r="E46" s="52">
        <v>0</v>
      </c>
      <c r="F46" s="52">
        <v>0</v>
      </c>
      <c r="G46" s="52">
        <v>0</v>
      </c>
      <c r="H46" s="52">
        <v>-49593778778</v>
      </c>
      <c r="I46" s="29">
        <f>IF('１②貸借対照表(26)'!T45=SUM(D46:H46),SUM(D46:H46),"NG")</f>
        <v>-49593778778</v>
      </c>
      <c r="J46" s="29">
        <f>'２②損益計算書(26)'!V45</f>
        <v>-8198418904</v>
      </c>
      <c r="K46" s="52">
        <v>-41395359874</v>
      </c>
      <c r="L46" s="52">
        <f t="shared" si="2"/>
        <v>-49593778778</v>
      </c>
      <c r="M46" s="52">
        <v>0</v>
      </c>
      <c r="N46" s="52">
        <v>0</v>
      </c>
      <c r="O46" s="52">
        <v>0</v>
      </c>
      <c r="P46" s="52">
        <v>0</v>
      </c>
      <c r="Q46" s="52">
        <v>-49593778778</v>
      </c>
      <c r="R46" s="4" t="s">
        <v>435</v>
      </c>
    </row>
    <row r="47" spans="1:18">
      <c r="A47" s="26">
        <f>'法人一覧(26)'!A46</f>
        <v>43</v>
      </c>
      <c r="B47" s="32" t="str">
        <f>'法人一覧(26)'!B46</f>
        <v>厚生労働省</v>
      </c>
      <c r="C47" s="32" t="str">
        <f>'法人一覧(26)'!C46</f>
        <v>国立病院機構</v>
      </c>
      <c r="D47" s="52">
        <v>0</v>
      </c>
      <c r="E47" s="52">
        <v>0</v>
      </c>
      <c r="F47" s="52">
        <v>0</v>
      </c>
      <c r="G47" s="52">
        <v>0</v>
      </c>
      <c r="H47" s="52">
        <v>11711358079</v>
      </c>
      <c r="I47" s="29">
        <f>IF('１②貸借対照表(26)'!T46=SUM(D47:H47),SUM(D47:H47),"NG")</f>
        <v>11711358079</v>
      </c>
      <c r="J47" s="29">
        <f>'２②損益計算書(26)'!V46</f>
        <v>11711358079</v>
      </c>
      <c r="K47" s="52">
        <v>0</v>
      </c>
      <c r="L47" s="52">
        <f t="shared" si="2"/>
        <v>11711358079</v>
      </c>
      <c r="M47" s="52">
        <v>0</v>
      </c>
      <c r="N47" s="52">
        <v>0</v>
      </c>
      <c r="O47" s="52">
        <v>11711358079</v>
      </c>
      <c r="P47" s="52">
        <v>0</v>
      </c>
      <c r="Q47" s="52">
        <v>0</v>
      </c>
      <c r="R47" s="4" t="s">
        <v>435</v>
      </c>
    </row>
    <row r="48" spans="1:18">
      <c r="A48" s="26">
        <f>'法人一覧(26)'!A47</f>
        <v>44</v>
      </c>
      <c r="B48" s="32" t="str">
        <f>'法人一覧(26)'!B47</f>
        <v>厚生労働省</v>
      </c>
      <c r="C48" s="59" t="str">
        <f>'法人一覧(26)'!C47</f>
        <v>医薬品医療機器総合機構</v>
      </c>
      <c r="D48" s="52">
        <v>28464137389</v>
      </c>
      <c r="E48" s="52">
        <v>0</v>
      </c>
      <c r="F48" s="52">
        <v>0</v>
      </c>
      <c r="G48" s="52">
        <v>0</v>
      </c>
      <c r="H48" s="52">
        <v>279291507</v>
      </c>
      <c r="I48" s="29">
        <f>IF('１②貸借対照表(26)'!T47=SUM(D48:H48),SUM(D48:H48),"NG")</f>
        <v>28743428896</v>
      </c>
      <c r="J48" s="29">
        <f>'２②損益計算書(26)'!V47</f>
        <v>279291507</v>
      </c>
      <c r="K48" s="52">
        <v>-9641</v>
      </c>
      <c r="L48" s="52">
        <f t="shared" si="2"/>
        <v>279281866</v>
      </c>
      <c r="M48" s="52">
        <v>0</v>
      </c>
      <c r="N48" s="52">
        <v>0</v>
      </c>
      <c r="O48" s="52">
        <v>1036171443</v>
      </c>
      <c r="P48" s="52">
        <f>-755657574</f>
        <v>-755657574</v>
      </c>
      <c r="Q48" s="52">
        <v>-1232003</v>
      </c>
      <c r="R48" s="4" t="s">
        <v>435</v>
      </c>
    </row>
    <row r="49" spans="1:18">
      <c r="A49" s="26">
        <f>'法人一覧(26)'!A48</f>
        <v>45</v>
      </c>
      <c r="B49" s="32" t="str">
        <f>'法人一覧(26)'!B48</f>
        <v>厚生労働省</v>
      </c>
      <c r="C49" s="32" t="str">
        <f>'法人一覧(26)'!C48</f>
        <v>医薬基盤研究所</v>
      </c>
      <c r="D49" s="52">
        <v>85718482</v>
      </c>
      <c r="E49" s="52">
        <v>0</v>
      </c>
      <c r="F49" s="52">
        <v>1045583158</v>
      </c>
      <c r="G49" s="52">
        <v>0</v>
      </c>
      <c r="H49" s="52">
        <v>-29373456097</v>
      </c>
      <c r="I49" s="29">
        <f>IF('１②貸借対照表(26)'!T48=SUM(D49:H49),SUM(D49:H49),"NG")</f>
        <v>-28242154457</v>
      </c>
      <c r="J49" s="29">
        <f>'２②損益計算書(26)'!V48</f>
        <v>2569706632</v>
      </c>
      <c r="K49" s="52">
        <v>-31943162729</v>
      </c>
      <c r="L49" s="52">
        <f t="shared" si="2"/>
        <v>-29373456097</v>
      </c>
      <c r="M49" s="52">
        <v>85718482</v>
      </c>
      <c r="N49" s="52">
        <v>0</v>
      </c>
      <c r="O49" s="52">
        <v>2635669481</v>
      </c>
      <c r="P49" s="52">
        <v>0</v>
      </c>
      <c r="Q49" s="52">
        <v>-31923407096</v>
      </c>
      <c r="R49" s="4" t="s">
        <v>435</v>
      </c>
    </row>
    <row r="50" spans="1:18">
      <c r="A50" s="26">
        <f>'法人一覧(26)'!A49</f>
        <v>46</v>
      </c>
      <c r="B50" s="32" t="str">
        <f>'法人一覧(26)'!B49</f>
        <v>厚生労働省</v>
      </c>
      <c r="C50" s="32" t="str">
        <f>'法人一覧(26)'!C49</f>
        <v>地域医療機能推進機構</v>
      </c>
      <c r="D50" s="52">
        <v>0</v>
      </c>
      <c r="E50" s="52">
        <v>0</v>
      </c>
      <c r="F50" s="52">
        <v>0</v>
      </c>
      <c r="G50" s="52">
        <v>0</v>
      </c>
      <c r="H50" s="52">
        <v>-1076161892</v>
      </c>
      <c r="I50" s="29">
        <f>IF('１②貸借対照表(26)'!T49=SUM(D50:H50),SUM(D50:H50),"NG")</f>
        <v>-1076161892</v>
      </c>
      <c r="J50" s="29">
        <f>'２②損益計算書(26)'!V49</f>
        <v>-6016113288</v>
      </c>
      <c r="K50" s="52">
        <f>198880838292-84026565617-109914321279</f>
        <v>4939951396</v>
      </c>
      <c r="L50" s="52">
        <f t="shared" si="2"/>
        <v>-1076161892</v>
      </c>
      <c r="M50" s="52">
        <v>0</v>
      </c>
      <c r="N50" s="52">
        <v>0</v>
      </c>
      <c r="O50" s="52">
        <v>0</v>
      </c>
      <c r="P50" s="52">
        <v>-1076161892</v>
      </c>
      <c r="Q50" s="52">
        <v>0</v>
      </c>
      <c r="R50" s="4" t="s">
        <v>435</v>
      </c>
    </row>
    <row r="51" spans="1:18">
      <c r="A51" s="26">
        <f>'法人一覧(26)'!A50</f>
        <v>47</v>
      </c>
      <c r="B51" s="32" t="str">
        <f>'法人一覧(26)'!B50</f>
        <v>厚生労働省</v>
      </c>
      <c r="C51" s="32" t="str">
        <f>'法人一覧(26)'!C50</f>
        <v>年金積立金管理運用</v>
      </c>
      <c r="D51" s="52">
        <v>0</v>
      </c>
      <c r="E51" s="52">
        <v>0</v>
      </c>
      <c r="F51" s="52">
        <v>18523845568578</v>
      </c>
      <c r="G51" s="52">
        <v>0</v>
      </c>
      <c r="H51" s="52">
        <v>15261896228052</v>
      </c>
      <c r="I51" s="29">
        <f>IF('１②貸借対照表(26)'!T50=SUM(D51:H51),SUM(D51:H51),"NG")</f>
        <v>33785741796630</v>
      </c>
      <c r="J51" s="29">
        <f>'２②損益計算書(26)'!V50</f>
        <v>15261896228052</v>
      </c>
      <c r="K51" s="52">
        <v>0</v>
      </c>
      <c r="L51" s="52">
        <f t="shared" si="2"/>
        <v>15261896228052</v>
      </c>
      <c r="M51" s="52">
        <v>0</v>
      </c>
      <c r="N51" s="52">
        <v>0</v>
      </c>
      <c r="O51" s="52">
        <v>15261896228052</v>
      </c>
      <c r="P51" s="52">
        <v>0</v>
      </c>
      <c r="Q51" s="52">
        <v>0</v>
      </c>
      <c r="R51" s="4" t="s">
        <v>435</v>
      </c>
    </row>
    <row r="52" spans="1:18">
      <c r="A52" s="26">
        <f>'法人一覧(26)'!A51</f>
        <v>48</v>
      </c>
      <c r="B52" s="32" t="str">
        <f>'法人一覧(26)'!B51</f>
        <v>厚生労働省</v>
      </c>
      <c r="C52" s="32" t="str">
        <f>'法人一覧(26)'!C51</f>
        <v>国立がん研究センター</v>
      </c>
      <c r="D52" s="52">
        <v>0</v>
      </c>
      <c r="E52" s="52">
        <v>0</v>
      </c>
      <c r="F52" s="52">
        <v>1955445659</v>
      </c>
      <c r="G52" s="52">
        <v>0</v>
      </c>
      <c r="H52" s="52">
        <v>-2025857354</v>
      </c>
      <c r="I52" s="29">
        <f>IF('１②貸借対照表(26)'!T51=SUM(D52:H52),SUM(D52:H52),"NG")</f>
        <v>-70411695</v>
      </c>
      <c r="J52" s="29">
        <f>'２②損益計算書(26)'!V51</f>
        <v>-2025857354</v>
      </c>
      <c r="K52" s="52">
        <v>0</v>
      </c>
      <c r="L52" s="52">
        <f t="shared" si="2"/>
        <v>-2025857354</v>
      </c>
      <c r="M52" s="52">
        <v>0</v>
      </c>
      <c r="N52" s="52">
        <v>0</v>
      </c>
      <c r="O52" s="52">
        <v>-1955445659</v>
      </c>
      <c r="P52" s="52">
        <v>0</v>
      </c>
      <c r="Q52" s="52">
        <v>-70411695</v>
      </c>
      <c r="R52" s="4" t="s">
        <v>435</v>
      </c>
    </row>
    <row r="53" spans="1:18">
      <c r="A53" s="26">
        <f>'法人一覧(26)'!A52</f>
        <v>49</v>
      </c>
      <c r="B53" s="32" t="str">
        <f>'法人一覧(26)'!B52</f>
        <v>厚生労働省</v>
      </c>
      <c r="C53" s="32" t="str">
        <f>'法人一覧(26)'!C52</f>
        <v>国立循環器病研究センター</v>
      </c>
      <c r="D53" s="52">
        <v>0</v>
      </c>
      <c r="E53" s="52">
        <v>0</v>
      </c>
      <c r="F53" s="52">
        <v>26821659</v>
      </c>
      <c r="G53" s="52">
        <v>0</v>
      </c>
      <c r="H53" s="52">
        <v>-318847552</v>
      </c>
      <c r="I53" s="29">
        <f>IF('１②貸借対照表(26)'!T52=SUM(D53:H53),SUM(D53:H53),"NG")</f>
        <v>-292025893</v>
      </c>
      <c r="J53" s="29">
        <f>'２②損益計算書(26)'!V52</f>
        <v>-318847552</v>
      </c>
      <c r="K53" s="52">
        <v>0</v>
      </c>
      <c r="L53" s="52">
        <f t="shared" si="2"/>
        <v>-318847552</v>
      </c>
      <c r="M53" s="52">
        <v>0</v>
      </c>
      <c r="N53" s="52">
        <v>0</v>
      </c>
      <c r="O53" s="52">
        <v>-26821659</v>
      </c>
      <c r="P53" s="52">
        <v>0</v>
      </c>
      <c r="Q53" s="52">
        <v>-292025893</v>
      </c>
      <c r="R53" s="4" t="s">
        <v>435</v>
      </c>
    </row>
    <row r="54" spans="1:18">
      <c r="A54" s="26">
        <f>'法人一覧(26)'!A53</f>
        <v>50</v>
      </c>
      <c r="B54" s="32" t="str">
        <f>'法人一覧(26)'!B53</f>
        <v>厚生労働省</v>
      </c>
      <c r="C54" s="32" t="str">
        <f>'法人一覧(26)'!C53</f>
        <v>国立精神・神経医療研究センター</v>
      </c>
      <c r="D54" s="52">
        <v>0</v>
      </c>
      <c r="E54" s="52">
        <v>0</v>
      </c>
      <c r="F54" s="52">
        <v>0</v>
      </c>
      <c r="G54" s="52">
        <v>0</v>
      </c>
      <c r="H54" s="52">
        <v>-2069926247</v>
      </c>
      <c r="I54" s="29">
        <f>IF('１②貸借対照表(26)'!T53=SUM(D54:H54),SUM(D54:H54),"NG")</f>
        <v>-2069926247</v>
      </c>
      <c r="J54" s="29">
        <f>'２②損益計算書(26)'!V53</f>
        <v>-451717593</v>
      </c>
      <c r="K54" s="52">
        <v>-1618208654</v>
      </c>
      <c r="L54" s="52">
        <f t="shared" si="2"/>
        <v>-2069926247</v>
      </c>
      <c r="M54" s="52">
        <v>0</v>
      </c>
      <c r="N54" s="52">
        <v>0</v>
      </c>
      <c r="O54" s="52">
        <v>0</v>
      </c>
      <c r="P54" s="52">
        <v>0</v>
      </c>
      <c r="Q54" s="52">
        <v>-2069926247</v>
      </c>
      <c r="R54" s="4" t="s">
        <v>435</v>
      </c>
    </row>
    <row r="55" spans="1:18">
      <c r="A55" s="26">
        <f>'法人一覧(26)'!A54</f>
        <v>51</v>
      </c>
      <c r="B55" s="32" t="str">
        <f>'法人一覧(26)'!B54</f>
        <v>厚生労働省</v>
      </c>
      <c r="C55" s="32" t="str">
        <f>'法人一覧(26)'!C54</f>
        <v>国立国際医療研究センター</v>
      </c>
      <c r="D55" s="52">
        <v>0</v>
      </c>
      <c r="E55" s="52">
        <v>0</v>
      </c>
      <c r="F55" s="52">
        <v>0</v>
      </c>
      <c r="G55" s="52">
        <v>0</v>
      </c>
      <c r="H55" s="52">
        <v>-5304214933</v>
      </c>
      <c r="I55" s="29">
        <f>IF('１②貸借対照表(26)'!T54=SUM(D55:H55),SUM(D55:H55),"NG")</f>
        <v>-5304214933</v>
      </c>
      <c r="J55" s="29">
        <f>'２②損益計算書(26)'!V54</f>
        <v>-1436575100</v>
      </c>
      <c r="K55" s="52">
        <v>-3867639833</v>
      </c>
      <c r="L55" s="52">
        <f t="shared" si="2"/>
        <v>-5304214933</v>
      </c>
      <c r="M55" s="52">
        <v>0</v>
      </c>
      <c r="N55" s="52">
        <v>0</v>
      </c>
      <c r="O55" s="52">
        <v>0</v>
      </c>
      <c r="P55" s="52">
        <v>0</v>
      </c>
      <c r="Q55" s="52">
        <v>-5304214933</v>
      </c>
      <c r="R55" s="4" t="s">
        <v>435</v>
      </c>
    </row>
    <row r="56" spans="1:18">
      <c r="A56" s="26">
        <f>'法人一覧(26)'!A55</f>
        <v>52</v>
      </c>
      <c r="B56" s="32" t="str">
        <f>'法人一覧(26)'!B55</f>
        <v>厚生労働省</v>
      </c>
      <c r="C56" s="32" t="str">
        <f>'法人一覧(26)'!C55</f>
        <v>国立成育医療研究センター</v>
      </c>
      <c r="D56" s="52">
        <v>0</v>
      </c>
      <c r="E56" s="52">
        <v>0</v>
      </c>
      <c r="F56" s="52">
        <v>1955866132</v>
      </c>
      <c r="G56" s="52">
        <v>0</v>
      </c>
      <c r="H56" s="52">
        <v>-2090097408</v>
      </c>
      <c r="I56" s="29">
        <f>IF('１②貸借対照表(26)'!T55=SUM(D56:H56),SUM(D56:H56),"NG")</f>
        <v>-134231276</v>
      </c>
      <c r="J56" s="29">
        <f>'２②損益計算書(26)'!V55</f>
        <v>-2090097408</v>
      </c>
      <c r="K56" s="52">
        <v>0</v>
      </c>
      <c r="L56" s="52">
        <f t="shared" si="2"/>
        <v>-2090097408</v>
      </c>
      <c r="M56" s="52">
        <v>0</v>
      </c>
      <c r="N56" s="52">
        <v>0</v>
      </c>
      <c r="O56" s="52">
        <v>-1955866132</v>
      </c>
      <c r="P56" s="52">
        <v>0</v>
      </c>
      <c r="Q56" s="52">
        <v>-134231276</v>
      </c>
      <c r="R56" s="4" t="s">
        <v>435</v>
      </c>
    </row>
    <row r="57" spans="1:18">
      <c r="A57" s="26">
        <f>'法人一覧(26)'!A56</f>
        <v>53</v>
      </c>
      <c r="B57" s="32" t="str">
        <f>'法人一覧(26)'!B56</f>
        <v>厚生労働省</v>
      </c>
      <c r="C57" s="32" t="str">
        <f>'法人一覧(26)'!C56</f>
        <v>国立長寿医療研究センター</v>
      </c>
      <c r="D57" s="52">
        <v>0</v>
      </c>
      <c r="E57" s="52">
        <v>0</v>
      </c>
      <c r="F57" s="52">
        <v>1176117609</v>
      </c>
      <c r="G57" s="52">
        <v>0</v>
      </c>
      <c r="H57" s="52">
        <v>110381105</v>
      </c>
      <c r="I57" s="29">
        <f>IF('１②貸借対照表(26)'!T56=SUM(D57:H57),SUM(D57:H57),"NG")</f>
        <v>1286498714</v>
      </c>
      <c r="J57" s="29">
        <f>'２②損益計算書(26)'!V56</f>
        <v>110381105</v>
      </c>
      <c r="K57" s="52">
        <v>1176117609</v>
      </c>
      <c r="L57" s="52">
        <f t="shared" si="2"/>
        <v>1286498714</v>
      </c>
      <c r="M57" s="52">
        <v>0</v>
      </c>
      <c r="N57" s="52">
        <v>0</v>
      </c>
      <c r="O57" s="52">
        <v>1286498714</v>
      </c>
      <c r="P57" s="52">
        <v>0</v>
      </c>
      <c r="Q57" s="52">
        <v>0</v>
      </c>
      <c r="R57" s="4" t="s">
        <v>435</v>
      </c>
    </row>
    <row r="58" spans="1:18">
      <c r="A58" s="26">
        <f>'法人一覧(26)'!A57</f>
        <v>54</v>
      </c>
      <c r="B58" s="32" t="str">
        <f>'法人一覧(26)'!B57</f>
        <v>農林水産省</v>
      </c>
      <c r="C58" s="32" t="str">
        <f>'法人一覧(26)'!C57</f>
        <v>農林水産消費安全技術センター</v>
      </c>
      <c r="D58" s="52">
        <v>11</v>
      </c>
      <c r="E58" s="52">
        <v>0</v>
      </c>
      <c r="F58" s="52">
        <v>81671920</v>
      </c>
      <c r="G58" s="52">
        <v>0</v>
      </c>
      <c r="H58" s="52">
        <v>642498050</v>
      </c>
      <c r="I58" s="29">
        <f>IF('１②貸借対照表(26)'!T57=SUM(D58:H58),SUM(D58:H58),"NG")</f>
        <v>724169981</v>
      </c>
      <c r="J58" s="29">
        <f>'２②損益計算書(26)'!V57</f>
        <v>642498050</v>
      </c>
      <c r="K58" s="52">
        <v>0</v>
      </c>
      <c r="L58" s="52">
        <f t="shared" ref="L58:L76" si="3">SUM(J58:K58)</f>
        <v>642498050</v>
      </c>
      <c r="M58" s="52">
        <v>0</v>
      </c>
      <c r="N58" s="52">
        <v>0</v>
      </c>
      <c r="O58" s="52">
        <v>642498050</v>
      </c>
      <c r="P58" s="52">
        <v>0</v>
      </c>
      <c r="Q58" s="52">
        <v>0</v>
      </c>
      <c r="R58" s="4" t="s">
        <v>435</v>
      </c>
    </row>
    <row r="59" spans="1:18">
      <c r="A59" s="26">
        <f>'法人一覧(26)'!A58</f>
        <v>55</v>
      </c>
      <c r="B59" s="32" t="str">
        <f>'法人一覧(26)'!B58</f>
        <v>農林水産省</v>
      </c>
      <c r="C59" s="32" t="str">
        <f>'法人一覧(26)'!C58</f>
        <v>種苗管理センター</v>
      </c>
      <c r="D59" s="29">
        <v>0</v>
      </c>
      <c r="E59" s="29">
        <v>0</v>
      </c>
      <c r="F59" s="29">
        <v>2699440</v>
      </c>
      <c r="G59" s="29">
        <v>0</v>
      </c>
      <c r="H59" s="29">
        <v>1735074</v>
      </c>
      <c r="I59" s="29">
        <f>IF('１②貸借対照表(26)'!T58=SUM(D59:H59),SUM(D59:H59),"NG")</f>
        <v>4434514</v>
      </c>
      <c r="J59" s="29">
        <f>'２②損益計算書(26)'!V58</f>
        <v>1735074</v>
      </c>
      <c r="K59" s="29">
        <v>0</v>
      </c>
      <c r="L59" s="29">
        <f t="shared" si="3"/>
        <v>1735074</v>
      </c>
      <c r="M59" s="29">
        <v>0</v>
      </c>
      <c r="N59" s="29">
        <v>0</v>
      </c>
      <c r="O59" s="29">
        <v>1735074</v>
      </c>
      <c r="P59" s="29">
        <v>0</v>
      </c>
      <c r="Q59" s="29">
        <v>0</v>
      </c>
      <c r="R59" s="4" t="s">
        <v>435</v>
      </c>
    </row>
    <row r="60" spans="1:18">
      <c r="A60" s="26">
        <f>'法人一覧(26)'!A59</f>
        <v>56</v>
      </c>
      <c r="B60" s="32" t="str">
        <f>'法人一覧(26)'!B59</f>
        <v>農林水産省</v>
      </c>
      <c r="C60" s="32" t="str">
        <f>'法人一覧(26)'!C59</f>
        <v>家畜改良センター</v>
      </c>
      <c r="D60" s="29">
        <v>6223489</v>
      </c>
      <c r="E60" s="29">
        <v>0</v>
      </c>
      <c r="F60" s="29">
        <v>35512920</v>
      </c>
      <c r="G60" s="29">
        <v>0</v>
      </c>
      <c r="H60" s="29">
        <v>9883633</v>
      </c>
      <c r="I60" s="29">
        <f>IF('１②貸借対照表(26)'!T59=SUM(D60:H60),SUM(D60:H60),"NG")</f>
        <v>51620042</v>
      </c>
      <c r="J60" s="29">
        <f>'２②損益計算書(26)'!V59</f>
        <v>9883633</v>
      </c>
      <c r="K60" s="29">
        <v>0</v>
      </c>
      <c r="L60" s="29">
        <f t="shared" si="3"/>
        <v>9883633</v>
      </c>
      <c r="M60" s="29">
        <v>0</v>
      </c>
      <c r="N60" s="29">
        <v>0</v>
      </c>
      <c r="O60" s="29">
        <v>9883633</v>
      </c>
      <c r="P60" s="29">
        <v>0</v>
      </c>
      <c r="Q60" s="29">
        <v>0</v>
      </c>
      <c r="R60" s="4" t="s">
        <v>435</v>
      </c>
    </row>
    <row r="61" spans="1:18">
      <c r="A61" s="26">
        <f>'法人一覧(26)'!A60</f>
        <v>57</v>
      </c>
      <c r="B61" s="32" t="str">
        <f>'法人一覧(26)'!B60</f>
        <v>農林水産省</v>
      </c>
      <c r="C61" s="32" t="str">
        <f>'法人一覧(26)'!C60</f>
        <v>水産大学校</v>
      </c>
      <c r="D61" s="29">
        <v>5381353</v>
      </c>
      <c r="E61" s="29">
        <v>0</v>
      </c>
      <c r="F61" s="29">
        <v>23919636</v>
      </c>
      <c r="G61" s="29">
        <v>0</v>
      </c>
      <c r="H61" s="29">
        <v>9697564</v>
      </c>
      <c r="I61" s="29">
        <f>IF('１②貸借対照表(26)'!T60=SUM(D61:H61),SUM(D61:H61),"NG")</f>
        <v>38998553</v>
      </c>
      <c r="J61" s="29">
        <f>'２②損益計算書(26)'!V60</f>
        <v>9697564</v>
      </c>
      <c r="K61" s="29">
        <v>0</v>
      </c>
      <c r="L61" s="29">
        <f t="shared" si="3"/>
        <v>9697564</v>
      </c>
      <c r="M61" s="29">
        <v>0</v>
      </c>
      <c r="N61" s="29">
        <v>0</v>
      </c>
      <c r="O61" s="29">
        <v>9697564</v>
      </c>
      <c r="P61" s="29">
        <v>0</v>
      </c>
      <c r="Q61" s="29">
        <v>0</v>
      </c>
      <c r="R61" s="4" t="s">
        <v>435</v>
      </c>
    </row>
    <row r="62" spans="1:18">
      <c r="A62" s="26">
        <f>'法人一覧(26)'!A61</f>
        <v>58</v>
      </c>
      <c r="B62" s="32" t="str">
        <f>'法人一覧(26)'!B61</f>
        <v>農林水産省</v>
      </c>
      <c r="C62" s="32" t="str">
        <f>'法人一覧(26)'!C61</f>
        <v>農業・食品産業技術総合研究機構</v>
      </c>
      <c r="D62" s="29">
        <v>326656521</v>
      </c>
      <c r="E62" s="29">
        <v>0</v>
      </c>
      <c r="F62" s="29">
        <v>834817779</v>
      </c>
      <c r="G62" s="29">
        <v>0</v>
      </c>
      <c r="H62" s="29">
        <v>-29422066009</v>
      </c>
      <c r="I62" s="29">
        <f>IF('１②貸借対照表(26)'!T61=SUM(D62:H62),SUM(D62:H62),"NG")</f>
        <v>-28260591709</v>
      </c>
      <c r="J62" s="29">
        <f>'２②損益計算書(26)'!V61</f>
        <v>318624017</v>
      </c>
      <c r="K62" s="29">
        <v>-29740690026</v>
      </c>
      <c r="L62" s="29">
        <f t="shared" si="3"/>
        <v>-29422066009</v>
      </c>
      <c r="M62" s="29">
        <v>0</v>
      </c>
      <c r="N62" s="29">
        <v>0</v>
      </c>
      <c r="O62" s="29">
        <v>140202355</v>
      </c>
      <c r="P62" s="29">
        <v>0</v>
      </c>
      <c r="Q62" s="29">
        <v>-29562268364</v>
      </c>
      <c r="R62" s="4" t="s">
        <v>435</v>
      </c>
    </row>
    <row r="63" spans="1:18">
      <c r="A63" s="26">
        <f>'法人一覧(26)'!A62</f>
        <v>59</v>
      </c>
      <c r="B63" s="32" t="str">
        <f>'法人一覧(26)'!B62</f>
        <v>農林水産省</v>
      </c>
      <c r="C63" s="32" t="str">
        <f>'法人一覧(26)'!C62</f>
        <v>農業生物資源研究所</v>
      </c>
      <c r="D63" s="29">
        <v>26503331</v>
      </c>
      <c r="E63" s="29">
        <v>0</v>
      </c>
      <c r="F63" s="29">
        <v>310955527</v>
      </c>
      <c r="G63" s="29">
        <v>0</v>
      </c>
      <c r="H63" s="29">
        <v>-52187577</v>
      </c>
      <c r="I63" s="29">
        <f>IF('１②貸借対照表(26)'!T62=SUM(D63:H63),SUM(D63:H63),"NG")</f>
        <v>285271281</v>
      </c>
      <c r="J63" s="29">
        <f>'２②損益計算書(26)'!V62</f>
        <v>-52187577</v>
      </c>
      <c r="K63" s="29">
        <v>0</v>
      </c>
      <c r="L63" s="29">
        <f t="shared" si="3"/>
        <v>-52187577</v>
      </c>
      <c r="M63" s="29">
        <v>0</v>
      </c>
      <c r="N63" s="29">
        <v>0</v>
      </c>
      <c r="O63" s="29">
        <v>-52187577</v>
      </c>
      <c r="P63" s="29">
        <v>0</v>
      </c>
      <c r="Q63" s="29">
        <v>0</v>
      </c>
      <c r="R63" s="4" t="s">
        <v>435</v>
      </c>
    </row>
    <row r="64" spans="1:18">
      <c r="A64" s="26">
        <f>'法人一覧(26)'!A63</f>
        <v>60</v>
      </c>
      <c r="B64" s="32" t="str">
        <f>'法人一覧(26)'!B63</f>
        <v>農林水産省</v>
      </c>
      <c r="C64" s="32" t="str">
        <f>'法人一覧(26)'!C63</f>
        <v>農業環境技術研究所</v>
      </c>
      <c r="D64" s="29">
        <v>8709753</v>
      </c>
      <c r="E64" s="29">
        <v>0</v>
      </c>
      <c r="F64" s="29">
        <v>86046425</v>
      </c>
      <c r="G64" s="29">
        <v>0</v>
      </c>
      <c r="H64" s="29">
        <v>17672852</v>
      </c>
      <c r="I64" s="29">
        <f>IF('１②貸借対照表(26)'!T63=SUM(D64:H64),SUM(D64:H64),"NG")</f>
        <v>112429030</v>
      </c>
      <c r="J64" s="29">
        <f>'２②損益計算書(26)'!V63</f>
        <v>17672852</v>
      </c>
      <c r="K64" s="29">
        <v>0</v>
      </c>
      <c r="L64" s="29">
        <f t="shared" si="3"/>
        <v>17672852</v>
      </c>
      <c r="M64" s="29">
        <v>0</v>
      </c>
      <c r="N64" s="29">
        <v>0</v>
      </c>
      <c r="O64" s="29">
        <v>17672852</v>
      </c>
      <c r="P64" s="29">
        <v>0</v>
      </c>
      <c r="Q64" s="29">
        <v>0</v>
      </c>
      <c r="R64" s="4" t="s">
        <v>435</v>
      </c>
    </row>
    <row r="65" spans="1:18">
      <c r="A65" s="26">
        <f>'法人一覧(26)'!A64</f>
        <v>61</v>
      </c>
      <c r="B65" s="32" t="str">
        <f>'法人一覧(26)'!B64</f>
        <v>農林水産省</v>
      </c>
      <c r="C65" s="32" t="str">
        <f>'法人一覧(26)'!C64</f>
        <v>国際農林水産業研究センター</v>
      </c>
      <c r="D65" s="29">
        <v>1061022</v>
      </c>
      <c r="E65" s="29">
        <v>0</v>
      </c>
      <c r="F65" s="29">
        <v>64889062</v>
      </c>
      <c r="G65" s="29">
        <v>0</v>
      </c>
      <c r="H65" s="29">
        <v>9121069</v>
      </c>
      <c r="I65" s="29">
        <f>IF('１②貸借対照表(26)'!T64=SUM(D65:H65),SUM(D65:H65),"NG")</f>
        <v>75071153</v>
      </c>
      <c r="J65" s="29">
        <f>'２②損益計算書(26)'!V64</f>
        <v>9121069</v>
      </c>
      <c r="K65" s="29">
        <v>0</v>
      </c>
      <c r="L65" s="29">
        <f t="shared" si="3"/>
        <v>9121069</v>
      </c>
      <c r="M65" s="29">
        <v>0</v>
      </c>
      <c r="N65" s="29">
        <v>0</v>
      </c>
      <c r="O65" s="29">
        <v>9121069</v>
      </c>
      <c r="P65" s="29">
        <v>0</v>
      </c>
      <c r="Q65" s="29">
        <v>0</v>
      </c>
      <c r="R65" s="4" t="s">
        <v>435</v>
      </c>
    </row>
    <row r="66" spans="1:18">
      <c r="A66" s="26">
        <f>'法人一覧(26)'!A65</f>
        <v>62</v>
      </c>
      <c r="B66" s="59" t="str">
        <f>'法人一覧(26)'!B65</f>
        <v>農林水産省</v>
      </c>
      <c r="C66" s="59" t="str">
        <f>'法人一覧(26)'!C65</f>
        <v>森林総合研究所</v>
      </c>
      <c r="D66" s="52">
        <v>3827478117</v>
      </c>
      <c r="E66" s="52">
        <v>0</v>
      </c>
      <c r="F66" s="52">
        <v>1983456659</v>
      </c>
      <c r="G66" s="52">
        <v>0</v>
      </c>
      <c r="H66" s="52">
        <v>613078776</v>
      </c>
      <c r="I66" s="29">
        <f>IF('１②貸借対照表(26)'!T65=SUM(D66:H66),SUM(D66:H66),"NG")</f>
        <v>6424013552</v>
      </c>
      <c r="J66" s="29">
        <f>'２②損益計算書(26)'!V65</f>
        <v>613078776</v>
      </c>
      <c r="K66" s="52">
        <v>0</v>
      </c>
      <c r="L66" s="52">
        <f t="shared" si="3"/>
        <v>613078776</v>
      </c>
      <c r="M66" s="52">
        <v>0</v>
      </c>
      <c r="N66" s="52">
        <v>0</v>
      </c>
      <c r="O66" s="52">
        <v>613078776</v>
      </c>
      <c r="P66" s="52">
        <v>0</v>
      </c>
      <c r="Q66" s="52">
        <v>0</v>
      </c>
      <c r="R66" s="4" t="s">
        <v>435</v>
      </c>
    </row>
    <row r="67" spans="1:18">
      <c r="A67" s="26">
        <f>'法人一覧(26)'!A66</f>
        <v>63</v>
      </c>
      <c r="B67" s="32" t="str">
        <f>'法人一覧(26)'!B66</f>
        <v>農林水産省</v>
      </c>
      <c r="C67" s="32" t="str">
        <f>'法人一覧(26)'!C66</f>
        <v>水産総合研究センター</v>
      </c>
      <c r="D67" s="29">
        <v>885542</v>
      </c>
      <c r="E67" s="29">
        <v>0</v>
      </c>
      <c r="F67" s="29">
        <v>347739092</v>
      </c>
      <c r="G67" s="29">
        <v>0</v>
      </c>
      <c r="H67" s="29">
        <v>117586504</v>
      </c>
      <c r="I67" s="29">
        <f>IF('１②貸借対照表(26)'!T66=SUM(D67:H67),SUM(D67:H67),"NG")</f>
        <v>466211138</v>
      </c>
      <c r="J67" s="29">
        <f>'２②損益計算書(26)'!V66</f>
        <v>117586504</v>
      </c>
      <c r="K67" s="29">
        <v>0</v>
      </c>
      <c r="L67" s="29">
        <f t="shared" si="3"/>
        <v>117586504</v>
      </c>
      <c r="M67" s="29">
        <v>0</v>
      </c>
      <c r="N67" s="29">
        <v>0</v>
      </c>
      <c r="O67" s="29">
        <v>117586504</v>
      </c>
      <c r="P67" s="29">
        <v>0</v>
      </c>
      <c r="Q67" s="29">
        <v>0</v>
      </c>
      <c r="R67" s="4" t="s">
        <v>435</v>
      </c>
    </row>
    <row r="68" spans="1:18">
      <c r="A68" s="26">
        <f>'法人一覧(26)'!A67</f>
        <v>64</v>
      </c>
      <c r="B68" s="32" t="str">
        <f>'法人一覧(26)'!B67</f>
        <v>農林水産省</v>
      </c>
      <c r="C68" s="32" t="str">
        <f>'法人一覧(26)'!C67</f>
        <v>農畜産業振興機構</v>
      </c>
      <c r="D68" s="29">
        <v>20488592024</v>
      </c>
      <c r="E68" s="29">
        <v>0</v>
      </c>
      <c r="F68" s="29">
        <v>317383663</v>
      </c>
      <c r="G68" s="29">
        <v>0</v>
      </c>
      <c r="H68" s="29">
        <v>-11590350554</v>
      </c>
      <c r="I68" s="29">
        <f>IF('１②貸借対照表(26)'!T67=SUM(D68:H68),SUM(D68:H68),"NG")</f>
        <v>9215625133</v>
      </c>
      <c r="J68" s="29">
        <f>'２②損益計算書(26)'!V67</f>
        <v>15287824159</v>
      </c>
      <c r="K68" s="29">
        <f>-11977-26878162736</f>
        <v>-26878174713</v>
      </c>
      <c r="L68" s="29">
        <f t="shared" si="3"/>
        <v>-11590350554</v>
      </c>
      <c r="M68" s="29">
        <v>0</v>
      </c>
      <c r="N68" s="29">
        <v>0</v>
      </c>
      <c r="O68" s="29">
        <f>10883+225978773+11904797554+23495417</f>
        <v>12154282627</v>
      </c>
      <c r="P68" s="29">
        <v>0</v>
      </c>
      <c r="Q68" s="29">
        <v>0</v>
      </c>
      <c r="R68" s="4" t="s">
        <v>435</v>
      </c>
    </row>
    <row r="69" spans="1:18">
      <c r="A69" s="26">
        <f>'法人一覧(26)'!A68</f>
        <v>65</v>
      </c>
      <c r="B69" s="32" t="str">
        <f>'法人一覧(26)'!B68</f>
        <v>農林水産省</v>
      </c>
      <c r="C69" s="32" t="str">
        <f>'法人一覧(26)'!C68</f>
        <v>農業者年金基金</v>
      </c>
      <c r="D69" s="29">
        <v>914804022</v>
      </c>
      <c r="E69" s="29">
        <v>0</v>
      </c>
      <c r="F69" s="29">
        <v>144609449</v>
      </c>
      <c r="G69" s="29"/>
      <c r="H69" s="29">
        <v>381579977</v>
      </c>
      <c r="I69" s="29">
        <f>IF('１②貸借対照表(26)'!T68=SUM(D69:H69),SUM(D69:H69),"NG")</f>
        <v>1440993448</v>
      </c>
      <c r="J69" s="29">
        <f>'２②損益計算書(26)'!V68</f>
        <v>399635947</v>
      </c>
      <c r="K69" s="29">
        <f>-11945797-6110173</f>
        <v>-18055970</v>
      </c>
      <c r="L69" s="29">
        <f t="shared" si="3"/>
        <v>381579977</v>
      </c>
      <c r="M69" s="29">
        <v>0</v>
      </c>
      <c r="N69" s="29">
        <v>0</v>
      </c>
      <c r="O69" s="29">
        <f>4813696+7968263+375193770</f>
        <v>387975729</v>
      </c>
      <c r="P69" s="29">
        <v>-6395752</v>
      </c>
      <c r="Q69" s="29">
        <v>0</v>
      </c>
      <c r="R69" s="4" t="s">
        <v>435</v>
      </c>
    </row>
    <row r="70" spans="1:18">
      <c r="A70" s="26">
        <f>'法人一覧(26)'!A69</f>
        <v>66</v>
      </c>
      <c r="B70" s="32" t="str">
        <f>'法人一覧(26)'!B69</f>
        <v>農林水産省</v>
      </c>
      <c r="C70" s="32" t="str">
        <f>'法人一覧(26)'!C69</f>
        <v>農林漁業信用基金</v>
      </c>
      <c r="D70" s="29">
        <v>14349670599</v>
      </c>
      <c r="E70" s="29">
        <v>0</v>
      </c>
      <c r="F70" s="29">
        <v>1416302574</v>
      </c>
      <c r="G70" s="29">
        <v>0</v>
      </c>
      <c r="H70" s="29">
        <v>6165393491</v>
      </c>
      <c r="I70" s="29">
        <f>IF('１②貸借対照表(26)'!T69=SUM(D70:H70),SUM(D70:H70),"NG")</f>
        <v>21931366664</v>
      </c>
      <c r="J70" s="29">
        <f>'２②損益計算書(26)'!V69</f>
        <v>6165393491</v>
      </c>
      <c r="K70" s="29">
        <v>0</v>
      </c>
      <c r="L70" s="29">
        <f t="shared" si="3"/>
        <v>6165393491</v>
      </c>
      <c r="M70" s="29">
        <v>0</v>
      </c>
      <c r="N70" s="29">
        <v>0</v>
      </c>
      <c r="O70" s="29">
        <v>6165393491</v>
      </c>
      <c r="P70" s="29">
        <v>0</v>
      </c>
      <c r="Q70" s="29">
        <v>0</v>
      </c>
      <c r="R70" s="4" t="s">
        <v>435</v>
      </c>
    </row>
    <row r="71" spans="1:18">
      <c r="A71" s="26">
        <f>'法人一覧(26)'!A70</f>
        <v>67</v>
      </c>
      <c r="B71" s="32" t="str">
        <f>'法人一覧(26)'!B70</f>
        <v>経済産業省</v>
      </c>
      <c r="C71" s="32" t="str">
        <f>'法人一覧(26)'!C70</f>
        <v>経済産業研究所</v>
      </c>
      <c r="D71" s="29">
        <v>0</v>
      </c>
      <c r="E71" s="29">
        <v>0</v>
      </c>
      <c r="F71" s="29">
        <v>25645257</v>
      </c>
      <c r="G71" s="29">
        <v>0</v>
      </c>
      <c r="H71" s="29">
        <v>15913111</v>
      </c>
      <c r="I71" s="29">
        <f>IF('１②貸借対照表(26)'!T70=SUM(D71:H71),SUM(D71:H71),"NG")</f>
        <v>41558368</v>
      </c>
      <c r="J71" s="29">
        <f>'２②損益計算書(26)'!V70</f>
        <v>15913111</v>
      </c>
      <c r="K71" s="29">
        <v>0</v>
      </c>
      <c r="L71" s="29">
        <f t="shared" si="3"/>
        <v>15913111</v>
      </c>
      <c r="M71" s="29">
        <v>0</v>
      </c>
      <c r="N71" s="29">
        <v>0</v>
      </c>
      <c r="O71" s="29">
        <v>15913111</v>
      </c>
      <c r="P71" s="29">
        <v>0</v>
      </c>
      <c r="Q71" s="29">
        <v>0</v>
      </c>
      <c r="R71" s="4" t="s">
        <v>435</v>
      </c>
    </row>
    <row r="72" spans="1:18">
      <c r="A72" s="26">
        <f>'法人一覧(26)'!A71</f>
        <v>68</v>
      </c>
      <c r="B72" s="32" t="str">
        <f>'法人一覧(26)'!B71</f>
        <v>経済産業省</v>
      </c>
      <c r="C72" s="32" t="str">
        <f>'法人一覧(26)'!C71</f>
        <v>工業所有権情報・研修館</v>
      </c>
      <c r="D72" s="29">
        <v>0</v>
      </c>
      <c r="E72" s="29">
        <v>0</v>
      </c>
      <c r="F72" s="29">
        <v>0</v>
      </c>
      <c r="G72" s="29">
        <v>0</v>
      </c>
      <c r="H72" s="29">
        <v>-20906001</v>
      </c>
      <c r="I72" s="29">
        <f>IF('１②貸借対照表(26)'!T71=SUM(D72:H72),SUM(D72:H72),"NG")</f>
        <v>-20906001</v>
      </c>
      <c r="J72" s="29">
        <f>'２②損益計算書(26)'!V71</f>
        <v>-1357379</v>
      </c>
      <c r="K72" s="29">
        <v>-19548622</v>
      </c>
      <c r="L72" s="29">
        <f t="shared" si="3"/>
        <v>-20906001</v>
      </c>
      <c r="M72" s="29">
        <v>0</v>
      </c>
      <c r="N72" s="29">
        <v>0</v>
      </c>
      <c r="O72" s="29">
        <v>0</v>
      </c>
      <c r="P72" s="29">
        <v>0</v>
      </c>
      <c r="Q72" s="29">
        <v>0</v>
      </c>
      <c r="R72" s="4" t="s">
        <v>435</v>
      </c>
    </row>
    <row r="73" spans="1:18">
      <c r="A73" s="26">
        <f>'法人一覧(26)'!A72</f>
        <v>69</v>
      </c>
      <c r="B73" s="32" t="str">
        <f>'法人一覧(26)'!B72</f>
        <v>経済産業省</v>
      </c>
      <c r="C73" s="32" t="str">
        <f>'法人一覧(26)'!C72</f>
        <v>日本貿易保険</v>
      </c>
      <c r="D73" s="29">
        <v>52822000000</v>
      </c>
      <c r="E73" s="29">
        <v>0</v>
      </c>
      <c r="F73" s="29">
        <v>35858000000</v>
      </c>
      <c r="G73" s="29">
        <v>0</v>
      </c>
      <c r="H73" s="29">
        <v>25256000000</v>
      </c>
      <c r="I73" s="29">
        <f>IF('１②貸借対照表(26)'!T72=SUM(D73:H73),SUM(D73:H73),"NG")</f>
        <v>113936000000</v>
      </c>
      <c r="J73" s="29">
        <f>'２②損益計算書(26)'!V72</f>
        <v>25256000000</v>
      </c>
      <c r="K73" s="29"/>
      <c r="L73" s="29">
        <f t="shared" si="3"/>
        <v>25256000000</v>
      </c>
      <c r="M73" s="29">
        <v>0</v>
      </c>
      <c r="N73" s="29">
        <v>0</v>
      </c>
      <c r="O73" s="29">
        <v>25256391811</v>
      </c>
      <c r="P73" s="29">
        <v>0</v>
      </c>
      <c r="Q73" s="29">
        <v>0</v>
      </c>
      <c r="R73" s="4" t="s">
        <v>435</v>
      </c>
    </row>
    <row r="74" spans="1:18">
      <c r="A74" s="26">
        <f>'法人一覧(26)'!A73</f>
        <v>70</v>
      </c>
      <c r="B74" s="32" t="str">
        <f>'法人一覧(26)'!B73</f>
        <v>経済産業省</v>
      </c>
      <c r="C74" s="32" t="str">
        <f>'法人一覧(26)'!C73</f>
        <v>産業技術総合研究所</v>
      </c>
      <c r="D74" s="29">
        <v>2858617693</v>
      </c>
      <c r="E74" s="29">
        <v>0</v>
      </c>
      <c r="F74" s="29">
        <v>8560717136</v>
      </c>
      <c r="G74" s="29">
        <v>0</v>
      </c>
      <c r="H74" s="29">
        <v>2149404525</v>
      </c>
      <c r="I74" s="29">
        <f>IF('１②貸借対照表(26)'!T73=SUM(D74:H74),SUM(D74:H74),"NG")</f>
        <v>13568739354</v>
      </c>
      <c r="J74" s="29">
        <f>'２②損益計算書(26)'!V73</f>
        <v>2149404525</v>
      </c>
      <c r="K74" s="29">
        <v>0</v>
      </c>
      <c r="L74" s="29">
        <f t="shared" si="3"/>
        <v>2149404525</v>
      </c>
      <c r="M74" s="29">
        <v>0</v>
      </c>
      <c r="N74" s="29">
        <v>0</v>
      </c>
      <c r="O74" s="52">
        <v>5008022218</v>
      </c>
      <c r="P74" s="52">
        <v>-2858617693</v>
      </c>
      <c r="Q74" s="52">
        <v>0</v>
      </c>
      <c r="R74" s="4" t="s">
        <v>435</v>
      </c>
    </row>
    <row r="75" spans="1:18">
      <c r="A75" s="26">
        <f>'法人一覧(26)'!A74</f>
        <v>71</v>
      </c>
      <c r="B75" s="32" t="str">
        <f>'法人一覧(26)'!B74</f>
        <v>経済産業省</v>
      </c>
      <c r="C75" s="32" t="str">
        <f>'法人一覧(26)'!C74</f>
        <v>製品評価技術基盤機構</v>
      </c>
      <c r="D75" s="29">
        <v>10220245</v>
      </c>
      <c r="E75" s="29">
        <v>0</v>
      </c>
      <c r="F75" s="29">
        <v>164157226</v>
      </c>
      <c r="G75" s="29">
        <v>0</v>
      </c>
      <c r="H75" s="29">
        <v>-47165594</v>
      </c>
      <c r="I75" s="29">
        <f>IF('１②貸借対照表(26)'!T74=SUM(D75:H75),SUM(D75:H75),"NG")</f>
        <v>127211877</v>
      </c>
      <c r="J75" s="29">
        <f>'２②損益計算書(26)'!V74</f>
        <v>-47165594</v>
      </c>
      <c r="K75" s="29">
        <v>0</v>
      </c>
      <c r="L75" s="29">
        <f t="shared" si="3"/>
        <v>-47165594</v>
      </c>
      <c r="M75" s="29">
        <v>0</v>
      </c>
      <c r="N75" s="29">
        <v>0</v>
      </c>
      <c r="O75" s="52">
        <f>-47165594+10220245</f>
        <v>-36945349</v>
      </c>
      <c r="P75" s="52">
        <v>-10220245</v>
      </c>
      <c r="Q75" s="52">
        <v>0</v>
      </c>
      <c r="R75" s="4" t="s">
        <v>435</v>
      </c>
    </row>
    <row r="76" spans="1:18">
      <c r="A76" s="26">
        <f>'法人一覧(26)'!A75</f>
        <v>72</v>
      </c>
      <c r="B76" s="32" t="str">
        <f>'法人一覧(26)'!B75</f>
        <v>経済産業省</v>
      </c>
      <c r="C76" s="32" t="str">
        <f>'法人一覧(26)'!C75</f>
        <v>新エネルギー・産業技術総合開発機構</v>
      </c>
      <c r="D76" s="52">
        <v>111019</v>
      </c>
      <c r="E76" s="29">
        <v>0</v>
      </c>
      <c r="F76" s="52">
        <v>4342414088</v>
      </c>
      <c r="G76" s="29">
        <v>0</v>
      </c>
      <c r="H76" s="52">
        <v>-58810624688</v>
      </c>
      <c r="I76" s="29">
        <f>IF('１②貸借対照表(26)'!T75=SUM(D76:H76),SUM(D76:H76),"NG")</f>
        <v>-54468099581</v>
      </c>
      <c r="J76" s="29">
        <f>'２②損益計算書(26)'!V75</f>
        <v>3973999185</v>
      </c>
      <c r="K76" s="52">
        <v>-62784623873</v>
      </c>
      <c r="L76" s="52">
        <f t="shared" si="3"/>
        <v>-58810624688</v>
      </c>
      <c r="M76" s="52">
        <v>0</v>
      </c>
      <c r="N76" s="29">
        <v>0</v>
      </c>
      <c r="O76" s="52">
        <v>3931096907</v>
      </c>
      <c r="P76" s="29">
        <v>0</v>
      </c>
      <c r="Q76" s="29">
        <v>0</v>
      </c>
      <c r="R76" s="4" t="s">
        <v>435</v>
      </c>
    </row>
    <row r="77" spans="1:18">
      <c r="A77" s="26">
        <f>'法人一覧(26)'!A76</f>
        <v>73</v>
      </c>
      <c r="B77" s="32" t="str">
        <f>'法人一覧(26)'!B76</f>
        <v>経済産業省</v>
      </c>
      <c r="C77" s="32" t="str">
        <f>'法人一覧(26)'!C76</f>
        <v>日本貿易振興機構</v>
      </c>
      <c r="D77" s="52">
        <v>100977022</v>
      </c>
      <c r="E77" s="29">
        <v>0</v>
      </c>
      <c r="F77" s="52">
        <v>1215847553</v>
      </c>
      <c r="G77" s="29">
        <v>0</v>
      </c>
      <c r="H77" s="52">
        <v>2011533232</v>
      </c>
      <c r="I77" s="29">
        <f>IF('１②貸借対照表(26)'!T76=SUM(D77:H77),SUM(D77:H77),"NG")</f>
        <v>3328357807</v>
      </c>
      <c r="J77" s="29">
        <f>'２②損益計算書(26)'!V76</f>
        <v>2011533232</v>
      </c>
      <c r="K77" s="29">
        <v>0</v>
      </c>
      <c r="L77" s="52">
        <f t="shared" ref="L77:L99" si="4">SUM(J77:K77)</f>
        <v>2011533232</v>
      </c>
      <c r="M77" s="52">
        <v>0</v>
      </c>
      <c r="N77" s="29">
        <v>0</v>
      </c>
      <c r="O77" s="52">
        <v>2112510254</v>
      </c>
      <c r="P77" s="52">
        <v>-100977022</v>
      </c>
      <c r="Q77" s="52">
        <v>0</v>
      </c>
      <c r="R77" s="4" t="s">
        <v>435</v>
      </c>
    </row>
    <row r="78" spans="1:18">
      <c r="A78" s="26">
        <f>'法人一覧(26)'!A77</f>
        <v>74</v>
      </c>
      <c r="B78" s="32" t="str">
        <f>'法人一覧(26)'!B77</f>
        <v>経済産業省</v>
      </c>
      <c r="C78" s="32" t="str">
        <f>'法人一覧(26)'!C77</f>
        <v>情報処理推進機構</v>
      </c>
      <c r="D78" s="52">
        <v>3736853</v>
      </c>
      <c r="E78" s="29">
        <v>0</v>
      </c>
      <c r="F78" s="52">
        <v>119356559</v>
      </c>
      <c r="G78" s="29">
        <v>0</v>
      </c>
      <c r="H78" s="52">
        <v>-2837563308</v>
      </c>
      <c r="I78" s="29">
        <f>IF('１②貸借対照表(26)'!T77=SUM(D78:H78),SUM(D78:H78),"NG")</f>
        <v>-2714469896</v>
      </c>
      <c r="J78" s="29">
        <f>'２②損益計算書(26)'!V77</f>
        <v>24923378</v>
      </c>
      <c r="K78" s="52">
        <v>-2862486686</v>
      </c>
      <c r="L78" s="52">
        <f t="shared" si="4"/>
        <v>-2837563308</v>
      </c>
      <c r="M78" s="52">
        <v>0</v>
      </c>
      <c r="N78" s="29">
        <v>0</v>
      </c>
      <c r="O78" s="52">
        <v>68345718</v>
      </c>
      <c r="P78" s="29">
        <v>0</v>
      </c>
      <c r="Q78" s="29">
        <v>0</v>
      </c>
      <c r="R78" s="4" t="s">
        <v>435</v>
      </c>
    </row>
    <row r="79" spans="1:18">
      <c r="A79" s="26">
        <f>'法人一覧(26)'!A78</f>
        <v>75</v>
      </c>
      <c r="B79" s="32" t="str">
        <f>'法人一覧(26)'!B78</f>
        <v>経済産業省</v>
      </c>
      <c r="C79" s="32" t="str">
        <f>'法人一覧(26)'!C78</f>
        <v>石油天然ガス・金属鉱物資源機構</v>
      </c>
      <c r="D79" s="29">
        <v>2131385390</v>
      </c>
      <c r="E79" s="29">
        <v>0</v>
      </c>
      <c r="F79" s="29">
        <v>2744168939</v>
      </c>
      <c r="G79" s="29">
        <v>0</v>
      </c>
      <c r="H79" s="29">
        <v>-98323894029</v>
      </c>
      <c r="I79" s="29">
        <f>IF('１②貸借対照表(26)'!T78=SUM(D79:H79),SUM(D79:H79),"NG")</f>
        <v>-93448339700</v>
      </c>
      <c r="J79" s="29">
        <f>'２②損益計算書(26)'!V78</f>
        <v>-39580026116</v>
      </c>
      <c r="K79" s="29">
        <v>-58743867913</v>
      </c>
      <c r="L79" s="29">
        <f t="shared" si="4"/>
        <v>-98323894029</v>
      </c>
      <c r="M79" s="29">
        <v>0</v>
      </c>
      <c r="N79" s="29">
        <v>0</v>
      </c>
      <c r="O79" s="29">
        <v>976716584</v>
      </c>
      <c r="P79" s="29">
        <v>-9993561</v>
      </c>
      <c r="Q79" s="29">
        <v>-99290617052</v>
      </c>
      <c r="R79" s="4" t="s">
        <v>435</v>
      </c>
    </row>
    <row r="80" spans="1:18">
      <c r="A80" s="26">
        <f>'法人一覧(26)'!A79</f>
        <v>76</v>
      </c>
      <c r="B80" s="32" t="str">
        <f>'法人一覧(26)'!B79</f>
        <v>経済産業省</v>
      </c>
      <c r="C80" s="32" t="str">
        <f>'法人一覧(26)'!C79</f>
        <v>中小企業基盤整備機構</v>
      </c>
      <c r="D80" s="29">
        <v>9856626936</v>
      </c>
      <c r="E80" s="29">
        <v>0</v>
      </c>
      <c r="F80" s="29">
        <v>10073449771</v>
      </c>
      <c r="G80" s="29">
        <v>0</v>
      </c>
      <c r="H80" s="29">
        <v>64671797911</v>
      </c>
      <c r="I80" s="29">
        <f>IF('１②貸借対照表(26)'!T79=SUM(D80:H80),SUM(D80:H80),"NG")</f>
        <v>84601874618</v>
      </c>
      <c r="J80" s="29">
        <f>'２②損益計算書(26)'!V79</f>
        <v>285203765408</v>
      </c>
      <c r="K80" s="29">
        <f>-219809622399-722345098</f>
        <v>-220531967497</v>
      </c>
      <c r="L80" s="29">
        <f t="shared" si="4"/>
        <v>64671797911</v>
      </c>
      <c r="M80" s="29">
        <v>0</v>
      </c>
      <c r="N80" s="29">
        <v>0</v>
      </c>
      <c r="O80" s="29">
        <v>84887248809</v>
      </c>
      <c r="P80" s="29">
        <v>0</v>
      </c>
      <c r="Q80" s="29">
        <v>-20215450898</v>
      </c>
      <c r="R80" s="4" t="s">
        <v>435</v>
      </c>
    </row>
    <row r="81" spans="1:18">
      <c r="A81" s="26">
        <f>'法人一覧(26)'!A80</f>
        <v>77</v>
      </c>
      <c r="B81" s="32" t="str">
        <f>'法人一覧(26)'!B80</f>
        <v>国土交通省</v>
      </c>
      <c r="C81" s="32" t="str">
        <f>'法人一覧(26)'!C80</f>
        <v>土木研究所</v>
      </c>
      <c r="D81" s="52">
        <v>0</v>
      </c>
      <c r="E81" s="52">
        <v>0</v>
      </c>
      <c r="F81" s="52">
        <v>72059373</v>
      </c>
      <c r="G81" s="52">
        <v>0</v>
      </c>
      <c r="H81" s="52">
        <v>9722156</v>
      </c>
      <c r="I81" s="29">
        <f>IF('１②貸借対照表(26)'!T80=SUM(D81:H81),SUM(D81:H81),"NG")</f>
        <v>81781529</v>
      </c>
      <c r="J81" s="29">
        <f>'２②損益計算書(26)'!V80</f>
        <v>9722156</v>
      </c>
      <c r="K81" s="52">
        <v>0</v>
      </c>
      <c r="L81" s="52">
        <f t="shared" si="4"/>
        <v>9722156</v>
      </c>
      <c r="M81" s="52">
        <v>0</v>
      </c>
      <c r="N81" s="69" t="s">
        <v>311</v>
      </c>
      <c r="O81" s="52">
        <v>9722156</v>
      </c>
      <c r="P81" s="69" t="s">
        <v>311</v>
      </c>
      <c r="Q81" s="69">
        <v>0</v>
      </c>
      <c r="R81" s="4" t="s">
        <v>435</v>
      </c>
    </row>
    <row r="82" spans="1:18">
      <c r="A82" s="26">
        <f>'法人一覧(26)'!A81</f>
        <v>78</v>
      </c>
      <c r="B82" s="32" t="str">
        <f>'法人一覧(26)'!B81</f>
        <v>国土交通省</v>
      </c>
      <c r="C82" s="32" t="str">
        <f>'法人一覧(26)'!C81</f>
        <v>建築研究所</v>
      </c>
      <c r="D82" s="52">
        <v>0</v>
      </c>
      <c r="E82" s="52">
        <v>0</v>
      </c>
      <c r="F82" s="52">
        <v>28739461</v>
      </c>
      <c r="G82" s="52">
        <v>0</v>
      </c>
      <c r="H82" s="52">
        <v>3655190</v>
      </c>
      <c r="I82" s="29">
        <f>IF('１②貸借対照表(26)'!T81=SUM(D82:H82),SUM(D82:H82),"NG")</f>
        <v>32394651</v>
      </c>
      <c r="J82" s="29">
        <f>'２②損益計算書(26)'!V81</f>
        <v>3655190</v>
      </c>
      <c r="K82" s="52">
        <v>0</v>
      </c>
      <c r="L82" s="52">
        <f t="shared" si="4"/>
        <v>3655190</v>
      </c>
      <c r="M82" s="52">
        <v>0</v>
      </c>
      <c r="N82" s="69" t="s">
        <v>311</v>
      </c>
      <c r="O82" s="52">
        <v>3655190</v>
      </c>
      <c r="P82" s="69" t="s">
        <v>311</v>
      </c>
      <c r="Q82" s="69">
        <v>0</v>
      </c>
      <c r="R82" s="4" t="s">
        <v>435</v>
      </c>
    </row>
    <row r="83" spans="1:18">
      <c r="A83" s="26">
        <f>'法人一覧(26)'!A82</f>
        <v>79</v>
      </c>
      <c r="B83" s="32" t="str">
        <f>'法人一覧(26)'!B82</f>
        <v>国土交通省</v>
      </c>
      <c r="C83" s="32" t="str">
        <f>'法人一覧(26)'!C82</f>
        <v>交通安全環境研究所</v>
      </c>
      <c r="D83" s="29">
        <v>1472833</v>
      </c>
      <c r="E83" s="29">
        <v>0</v>
      </c>
      <c r="F83" s="29">
        <v>225623553</v>
      </c>
      <c r="G83" s="52">
        <v>0</v>
      </c>
      <c r="H83" s="52">
        <v>132630245</v>
      </c>
      <c r="I83" s="29">
        <f>IF('１②貸借対照表(26)'!T82=SUM(D83:H83),SUM(D83:H83),"NG")</f>
        <v>359726631</v>
      </c>
      <c r="J83" s="29">
        <f>'２②損益計算書(26)'!V82</f>
        <v>132630245</v>
      </c>
      <c r="K83" s="52">
        <v>0</v>
      </c>
      <c r="L83" s="52">
        <f t="shared" si="4"/>
        <v>132630245</v>
      </c>
      <c r="M83" s="52">
        <v>0</v>
      </c>
      <c r="N83" s="52">
        <v>0</v>
      </c>
      <c r="O83" s="52">
        <v>132630245</v>
      </c>
      <c r="P83" s="52">
        <v>0</v>
      </c>
      <c r="Q83" s="52">
        <v>0</v>
      </c>
      <c r="R83" s="4" t="s">
        <v>435</v>
      </c>
    </row>
    <row r="84" spans="1:18">
      <c r="A84" s="26">
        <f>'法人一覧(26)'!A83</f>
        <v>80</v>
      </c>
      <c r="B84" s="32" t="str">
        <f>'法人一覧(26)'!B83</f>
        <v>国土交通省</v>
      </c>
      <c r="C84" s="32" t="str">
        <f>'法人一覧(26)'!C83</f>
        <v>海上技術安全研究所</v>
      </c>
      <c r="D84" s="29">
        <v>1962703</v>
      </c>
      <c r="E84" s="29">
        <v>0</v>
      </c>
      <c r="F84" s="29">
        <v>246804327</v>
      </c>
      <c r="G84" s="29">
        <v>0</v>
      </c>
      <c r="H84" s="29">
        <v>354783090</v>
      </c>
      <c r="I84" s="29">
        <f>IF('１②貸借対照表(26)'!T83=SUM(D84:H84),SUM(D84:H84),"NG")</f>
        <v>603550120</v>
      </c>
      <c r="J84" s="29">
        <f>'２②損益計算書(26)'!V83</f>
        <v>354783090</v>
      </c>
      <c r="K84" s="52">
        <v>0</v>
      </c>
      <c r="L84" s="52">
        <f t="shared" si="4"/>
        <v>354783090</v>
      </c>
      <c r="M84" s="52">
        <v>0</v>
      </c>
      <c r="N84" s="52">
        <v>0</v>
      </c>
      <c r="O84" s="52">
        <v>354783090</v>
      </c>
      <c r="P84" s="52">
        <v>0</v>
      </c>
      <c r="Q84" s="52">
        <v>0</v>
      </c>
      <c r="R84" s="4" t="s">
        <v>435</v>
      </c>
    </row>
    <row r="85" spans="1:18">
      <c r="A85" s="26">
        <f>'法人一覧(26)'!A84</f>
        <v>81</v>
      </c>
      <c r="B85" s="32" t="str">
        <f>'法人一覧(26)'!B84</f>
        <v>国土交通省</v>
      </c>
      <c r="C85" s="32" t="str">
        <f>'法人一覧(26)'!C84</f>
        <v>港湾空港技術研究所</v>
      </c>
      <c r="D85" s="29">
        <v>61269086</v>
      </c>
      <c r="E85" s="29">
        <v>0</v>
      </c>
      <c r="F85" s="29">
        <v>211551174</v>
      </c>
      <c r="G85" s="29">
        <v>0</v>
      </c>
      <c r="H85" s="29">
        <v>164741347</v>
      </c>
      <c r="I85" s="29">
        <f>IF('１②貸借対照表(26)'!T84=SUM(D85:H85),SUM(D85:H85),"NG")</f>
        <v>437561607</v>
      </c>
      <c r="J85" s="29">
        <f>'２②損益計算書(26)'!V84</f>
        <v>164741347</v>
      </c>
      <c r="K85" s="52">
        <v>0</v>
      </c>
      <c r="L85" s="52">
        <f t="shared" si="4"/>
        <v>164741347</v>
      </c>
      <c r="M85" s="52">
        <v>0</v>
      </c>
      <c r="N85" s="52">
        <v>0</v>
      </c>
      <c r="O85" s="52">
        <v>164741347</v>
      </c>
      <c r="P85" s="52">
        <v>0</v>
      </c>
      <c r="Q85" s="52">
        <v>0</v>
      </c>
      <c r="R85" s="4" t="s">
        <v>435</v>
      </c>
    </row>
    <row r="86" spans="1:18">
      <c r="A86" s="26">
        <f>'法人一覧(26)'!A85</f>
        <v>82</v>
      </c>
      <c r="B86" s="32" t="str">
        <f>'法人一覧(26)'!B85</f>
        <v>国土交通省</v>
      </c>
      <c r="C86" s="32" t="str">
        <f>'法人一覧(26)'!C85</f>
        <v>電子航法研究所</v>
      </c>
      <c r="D86" s="29">
        <v>0</v>
      </c>
      <c r="E86" s="29">
        <v>0</v>
      </c>
      <c r="F86" s="29">
        <v>12614528</v>
      </c>
      <c r="G86" s="29">
        <v>0</v>
      </c>
      <c r="H86" s="29">
        <v>980916</v>
      </c>
      <c r="I86" s="29">
        <f>IF('１②貸借対照表(26)'!T85=SUM(D86:H86),SUM(D86:H86),"NG")</f>
        <v>13595444</v>
      </c>
      <c r="J86" s="29">
        <f>'２②損益計算書(26)'!V85</f>
        <v>980916</v>
      </c>
      <c r="K86" s="52">
        <v>0</v>
      </c>
      <c r="L86" s="52">
        <f t="shared" si="4"/>
        <v>980916</v>
      </c>
      <c r="M86" s="52">
        <v>0</v>
      </c>
      <c r="N86" s="52">
        <v>0</v>
      </c>
      <c r="O86" s="52">
        <v>980916</v>
      </c>
      <c r="P86" s="52">
        <v>0</v>
      </c>
      <c r="Q86" s="52">
        <v>0</v>
      </c>
      <c r="R86" s="4" t="s">
        <v>435</v>
      </c>
    </row>
    <row r="87" spans="1:18">
      <c r="A87" s="26">
        <f>'法人一覧(26)'!A86</f>
        <v>83</v>
      </c>
      <c r="B87" s="32" t="str">
        <f>'法人一覧(26)'!B86</f>
        <v>国土交通省</v>
      </c>
      <c r="C87" s="32" t="str">
        <f>'法人一覧(26)'!C86</f>
        <v>航海訓練所</v>
      </c>
      <c r="D87" s="52">
        <v>0</v>
      </c>
      <c r="E87" s="52">
        <v>0</v>
      </c>
      <c r="F87" s="52">
        <v>3982373</v>
      </c>
      <c r="G87" s="52">
        <v>0</v>
      </c>
      <c r="H87" s="52">
        <v>1403055</v>
      </c>
      <c r="I87" s="29">
        <f>IF('１②貸借対照表(26)'!T86=SUM(D87:H87),SUM(D87:H87),"NG")</f>
        <v>5385428</v>
      </c>
      <c r="J87" s="29">
        <f>'２②損益計算書(26)'!V86</f>
        <v>1403055</v>
      </c>
      <c r="K87" s="52">
        <v>0</v>
      </c>
      <c r="L87" s="52">
        <f t="shared" si="4"/>
        <v>1403055</v>
      </c>
      <c r="M87" s="52">
        <v>0</v>
      </c>
      <c r="N87" s="52">
        <v>0</v>
      </c>
      <c r="O87" s="52">
        <v>1403055</v>
      </c>
      <c r="P87" s="52">
        <v>0</v>
      </c>
      <c r="Q87" s="52">
        <v>0</v>
      </c>
      <c r="R87" s="4" t="s">
        <v>435</v>
      </c>
    </row>
    <row r="88" spans="1:18">
      <c r="A88" s="26">
        <f>'法人一覧(26)'!A87</f>
        <v>84</v>
      </c>
      <c r="B88" s="32" t="str">
        <f>'法人一覧(26)'!B87</f>
        <v>国土交通省</v>
      </c>
      <c r="C88" s="32" t="str">
        <f>'法人一覧(26)'!C87</f>
        <v>海技教育機構</v>
      </c>
      <c r="D88" s="52">
        <v>883883</v>
      </c>
      <c r="E88" s="52">
        <v>0</v>
      </c>
      <c r="F88" s="52">
        <v>9358033</v>
      </c>
      <c r="G88" s="52">
        <v>0</v>
      </c>
      <c r="H88" s="52">
        <v>3920211</v>
      </c>
      <c r="I88" s="29">
        <f>IF('１②貸借対照表(26)'!T87=SUM(D88:H88),SUM(D88:H88),"NG")</f>
        <v>14162127</v>
      </c>
      <c r="J88" s="29">
        <f>'２②損益計算書(26)'!V87</f>
        <v>3920211</v>
      </c>
      <c r="K88" s="52">
        <v>0</v>
      </c>
      <c r="L88" s="52">
        <f t="shared" si="4"/>
        <v>3920211</v>
      </c>
      <c r="M88" s="52">
        <v>0</v>
      </c>
      <c r="N88" s="52">
        <v>0</v>
      </c>
      <c r="O88" s="52">
        <v>3920211</v>
      </c>
      <c r="P88" s="52">
        <v>0</v>
      </c>
      <c r="Q88" s="52">
        <v>0</v>
      </c>
      <c r="R88" s="4" t="s">
        <v>435</v>
      </c>
    </row>
    <row r="89" spans="1:18">
      <c r="A89" s="26">
        <f>'法人一覧(26)'!A88</f>
        <v>85</v>
      </c>
      <c r="B89" s="32" t="str">
        <f>'法人一覧(26)'!B88</f>
        <v>国土交通省</v>
      </c>
      <c r="C89" s="32" t="str">
        <f>'法人一覧(26)'!C88</f>
        <v>航空大学校</v>
      </c>
      <c r="D89" s="52">
        <v>0</v>
      </c>
      <c r="E89" s="52">
        <v>0</v>
      </c>
      <c r="F89" s="52">
        <v>0</v>
      </c>
      <c r="G89" s="52">
        <v>0</v>
      </c>
      <c r="H89" s="52">
        <v>-91538947</v>
      </c>
      <c r="I89" s="29">
        <f>IF('１②貸借対照表(26)'!T88=SUM(D89:H89),SUM(D89:H89),"NG")</f>
        <v>-91538947</v>
      </c>
      <c r="J89" s="29">
        <f>'２②損益計算書(26)'!V88</f>
        <v>-26309839</v>
      </c>
      <c r="K89" s="52">
        <v>-65229108</v>
      </c>
      <c r="L89" s="52">
        <f t="shared" si="4"/>
        <v>-91538947</v>
      </c>
      <c r="M89" s="52">
        <v>0</v>
      </c>
      <c r="N89" s="52">
        <v>0</v>
      </c>
      <c r="O89" s="52">
        <v>0</v>
      </c>
      <c r="P89" s="52">
        <v>0</v>
      </c>
      <c r="Q89" s="52">
        <v>0</v>
      </c>
      <c r="R89" s="4" t="s">
        <v>435</v>
      </c>
    </row>
    <row r="90" spans="1:18">
      <c r="A90" s="26">
        <f>'法人一覧(26)'!A89</f>
        <v>86</v>
      </c>
      <c r="B90" s="32" t="str">
        <f>'法人一覧(26)'!B89</f>
        <v>国土交通省</v>
      </c>
      <c r="C90" s="32" t="str">
        <f>'法人一覧(26)'!C89</f>
        <v>自動車検査</v>
      </c>
      <c r="D90" s="52">
        <v>199091421</v>
      </c>
      <c r="E90" s="52">
        <v>0</v>
      </c>
      <c r="F90" s="52">
        <v>1699668355</v>
      </c>
      <c r="G90" s="52">
        <v>0</v>
      </c>
      <c r="H90" s="52">
        <v>-113185169</v>
      </c>
      <c r="I90" s="29">
        <f>IF('１②貸借対照表(26)'!T89=SUM(D90:H90),SUM(D90:H90),"NG")</f>
        <v>1785574607</v>
      </c>
      <c r="J90" s="29">
        <f>'２②損益計算書(26)'!V89</f>
        <v>-113185169</v>
      </c>
      <c r="K90" s="52">
        <v>0</v>
      </c>
      <c r="L90" s="52">
        <f t="shared" si="4"/>
        <v>-113185169</v>
      </c>
      <c r="M90" s="52">
        <v>0</v>
      </c>
      <c r="N90" s="52">
        <v>0</v>
      </c>
      <c r="O90" s="52">
        <v>-113185169</v>
      </c>
      <c r="P90" s="52">
        <v>0</v>
      </c>
      <c r="Q90" s="52">
        <v>0</v>
      </c>
      <c r="R90" s="4" t="s">
        <v>435</v>
      </c>
    </row>
    <row r="91" spans="1:18">
      <c r="A91" s="26">
        <f>'法人一覧(26)'!A90</f>
        <v>87</v>
      </c>
      <c r="B91" s="32" t="str">
        <f>'法人一覧(26)'!B90</f>
        <v>国土交通省</v>
      </c>
      <c r="C91" s="32" t="str">
        <f>'法人一覧(26)'!C90</f>
        <v>鉄道建設・運輸施設整備支援機構</v>
      </c>
      <c r="D91" s="52">
        <v>654602133202</v>
      </c>
      <c r="E91" s="52">
        <v>0</v>
      </c>
      <c r="F91" s="52">
        <v>74813891447</v>
      </c>
      <c r="G91" s="52">
        <v>160279591310</v>
      </c>
      <c r="H91" s="52">
        <f>-25701704475-6963785</f>
        <v>-25708668260</v>
      </c>
      <c r="I91" s="29">
        <f>IF('１②貸借対照表(26)'!T90=SUM(D91:H91),SUM(D91:H91),"NG")</f>
        <v>863986947699</v>
      </c>
      <c r="J91" s="29">
        <f>'２②損益計算書(26)'!V90</f>
        <v>22215400160</v>
      </c>
      <c r="K91" s="52">
        <v>-47917104635</v>
      </c>
      <c r="L91" s="52">
        <f t="shared" si="4"/>
        <v>-25701704475</v>
      </c>
      <c r="M91" s="52">
        <v>0</v>
      </c>
      <c r="N91" s="52">
        <v>0</v>
      </c>
      <c r="O91" s="52">
        <v>15479234459</v>
      </c>
      <c r="P91" s="52">
        <v>0</v>
      </c>
      <c r="Q91" s="52">
        <v>0</v>
      </c>
      <c r="R91" s="4" t="s">
        <v>435</v>
      </c>
    </row>
    <row r="92" spans="1:18">
      <c r="A92" s="26">
        <f>'法人一覧(26)'!A91</f>
        <v>88</v>
      </c>
      <c r="B92" s="32" t="str">
        <f>'法人一覧(26)'!B91</f>
        <v>国土交通省</v>
      </c>
      <c r="C92" s="32" t="str">
        <f>'法人一覧(26)'!C91</f>
        <v>国際観光振興機構</v>
      </c>
      <c r="D92" s="52">
        <f>SUM(100865,0)</f>
        <v>100865</v>
      </c>
      <c r="E92" s="52">
        <v>0</v>
      </c>
      <c r="F92" s="52">
        <f>SUM(6939049,38100356)</f>
        <v>45039405</v>
      </c>
      <c r="G92" s="52">
        <v>0</v>
      </c>
      <c r="H92" s="52">
        <f>SUM(1960249,-11016640)</f>
        <v>-9056391</v>
      </c>
      <c r="I92" s="29">
        <f>IF('１②貸借対照表(26)'!T91=SUM(D92:H92),SUM(D92:H92),"NG")</f>
        <v>36083879</v>
      </c>
      <c r="J92" s="29">
        <f>'２②損益計算書(26)'!V91</f>
        <v>-9056391</v>
      </c>
      <c r="K92" s="29">
        <v>0</v>
      </c>
      <c r="L92" s="29">
        <f t="shared" si="4"/>
        <v>-9056391</v>
      </c>
      <c r="M92" s="29">
        <v>0</v>
      </c>
      <c r="N92" s="29">
        <v>0</v>
      </c>
      <c r="O92" s="29">
        <f>SUM(1960249,-11016640)</f>
        <v>-9056391</v>
      </c>
      <c r="P92" s="29">
        <v>0</v>
      </c>
      <c r="Q92" s="29">
        <v>0</v>
      </c>
      <c r="R92" s="4" t="s">
        <v>435</v>
      </c>
    </row>
    <row r="93" spans="1:18">
      <c r="A93" s="26">
        <f>'法人一覧(26)'!A92</f>
        <v>89</v>
      </c>
      <c r="B93" s="32" t="str">
        <f>'法人一覧(26)'!B92</f>
        <v>国土交通省</v>
      </c>
      <c r="C93" s="32" t="str">
        <f>'法人一覧(26)'!C92</f>
        <v>水資源機構</v>
      </c>
      <c r="D93" s="29">
        <v>74433522287</v>
      </c>
      <c r="E93" s="29">
        <v>0</v>
      </c>
      <c r="F93" s="29">
        <v>5977947510</v>
      </c>
      <c r="G93" s="29">
        <v>0</v>
      </c>
      <c r="H93" s="29">
        <v>2446275058</v>
      </c>
      <c r="I93" s="29">
        <f>IF('１②貸借対照表(26)'!T92=SUM(D93:H93),SUM(D93:H93),"NG")</f>
        <v>82857744855</v>
      </c>
      <c r="J93" s="29">
        <f>'２②損益計算書(26)'!V92</f>
        <v>2446275058</v>
      </c>
      <c r="K93" s="29">
        <v>0</v>
      </c>
      <c r="L93" s="29">
        <f t="shared" si="4"/>
        <v>2446275058</v>
      </c>
      <c r="M93" s="29">
        <v>0</v>
      </c>
      <c r="N93" s="29">
        <v>0</v>
      </c>
      <c r="O93" s="29">
        <v>2446275058</v>
      </c>
      <c r="P93" s="29">
        <v>0</v>
      </c>
      <c r="Q93" s="29">
        <v>0</v>
      </c>
      <c r="R93" s="4" t="s">
        <v>435</v>
      </c>
    </row>
    <row r="94" spans="1:18">
      <c r="A94" s="26">
        <f>'法人一覧(26)'!A93</f>
        <v>90</v>
      </c>
      <c r="B94" s="32" t="str">
        <f>'法人一覧(26)'!B93</f>
        <v>国土交通省</v>
      </c>
      <c r="C94" s="32" t="str">
        <f>'法人一覧(26)'!C93</f>
        <v>自動車事故対策機構</v>
      </c>
      <c r="D94" s="52">
        <v>9468</v>
      </c>
      <c r="E94" s="52">
        <v>0</v>
      </c>
      <c r="F94" s="52">
        <v>34365137</v>
      </c>
      <c r="G94" s="52">
        <v>0</v>
      </c>
      <c r="H94" s="52">
        <v>-76256594</v>
      </c>
      <c r="I94" s="29">
        <f>IF('１②貸借対照表(26)'!T93=SUM(D94:H94),SUM(D94:H94),"NG")</f>
        <v>-41881989</v>
      </c>
      <c r="J94" s="29">
        <f>'２②損益計算書(26)'!V93</f>
        <v>-76256594</v>
      </c>
      <c r="K94" s="52">
        <v>0</v>
      </c>
      <c r="L94" s="52">
        <f t="shared" si="4"/>
        <v>-76256594</v>
      </c>
      <c r="M94" s="52">
        <v>0</v>
      </c>
      <c r="N94" s="52">
        <v>0</v>
      </c>
      <c r="O94" s="52">
        <v>-34365137</v>
      </c>
      <c r="P94" s="52">
        <v>0</v>
      </c>
      <c r="Q94" s="52">
        <v>0</v>
      </c>
      <c r="R94" s="4" t="s">
        <v>435</v>
      </c>
    </row>
    <row r="95" spans="1:18">
      <c r="A95" s="26">
        <f>'法人一覧(26)'!A94</f>
        <v>91</v>
      </c>
      <c r="B95" s="32" t="str">
        <f>'法人一覧(26)'!B94</f>
        <v>国土交通省</v>
      </c>
      <c r="C95" s="32" t="str">
        <f>'法人一覧(26)'!C94</f>
        <v>空港周辺整備機構</v>
      </c>
      <c r="D95" s="29">
        <v>857382982</v>
      </c>
      <c r="E95" s="29">
        <v>0</v>
      </c>
      <c r="F95" s="29">
        <v>150885092</v>
      </c>
      <c r="G95" s="29">
        <v>0</v>
      </c>
      <c r="H95" s="29">
        <v>119763053</v>
      </c>
      <c r="I95" s="29">
        <f>IF('１②貸借対照表(26)'!T94=SUM(D95:H95),SUM(D95:H95),"NG")</f>
        <v>1128031127</v>
      </c>
      <c r="J95" s="29">
        <f>'２②損益計算書(26)'!V94</f>
        <v>119763053</v>
      </c>
      <c r="K95" s="29">
        <v>0</v>
      </c>
      <c r="L95" s="29">
        <f t="shared" si="4"/>
        <v>119763053</v>
      </c>
      <c r="M95" s="29">
        <v>0</v>
      </c>
      <c r="N95" s="29">
        <v>0</v>
      </c>
      <c r="O95" s="29">
        <v>119763053</v>
      </c>
      <c r="P95" s="29">
        <v>0</v>
      </c>
      <c r="Q95" s="29">
        <v>0</v>
      </c>
      <c r="R95" s="4" t="s">
        <v>435</v>
      </c>
    </row>
    <row r="96" spans="1:18">
      <c r="A96" s="26">
        <f>'法人一覧(26)'!A95</f>
        <v>92</v>
      </c>
      <c r="B96" s="32" t="str">
        <f>'法人一覧(26)'!B95</f>
        <v>国土交通省</v>
      </c>
      <c r="C96" s="32" t="str">
        <f>'法人一覧(26)'!C95</f>
        <v>都市再生機構</v>
      </c>
      <c r="D96" s="29">
        <v>0</v>
      </c>
      <c r="E96" s="29">
        <v>0</v>
      </c>
      <c r="F96" s="29">
        <v>0</v>
      </c>
      <c r="G96" s="29">
        <v>0</v>
      </c>
      <c r="H96" s="29">
        <v>-116873297000</v>
      </c>
      <c r="I96" s="29">
        <f>IF('１②貸借対照表(26)'!T95=SUM(D96:H96),SUM(D96:H96),"NG")</f>
        <v>-116873297000</v>
      </c>
      <c r="J96" s="29">
        <f>'２②損益計算書(26)'!V95</f>
        <v>41656104618</v>
      </c>
      <c r="K96" s="29">
        <v>-158529401618</v>
      </c>
      <c r="L96" s="29">
        <f t="shared" si="4"/>
        <v>-116873297000</v>
      </c>
      <c r="M96" s="29">
        <v>0</v>
      </c>
      <c r="N96" s="29">
        <v>0</v>
      </c>
      <c r="O96" s="52">
        <v>15744779032</v>
      </c>
      <c r="P96" s="29">
        <v>0</v>
      </c>
      <c r="Q96" s="29">
        <v>0</v>
      </c>
      <c r="R96" s="4" t="s">
        <v>435</v>
      </c>
    </row>
    <row r="97" spans="1:18">
      <c r="A97" s="26">
        <f>'法人一覧(26)'!A96</f>
        <v>93</v>
      </c>
      <c r="B97" s="32" t="str">
        <f>'法人一覧(26)'!B96</f>
        <v>国土交通省</v>
      </c>
      <c r="C97" s="32" t="str">
        <f>'法人一覧(26)'!C96</f>
        <v>奄美群島振興開発基金</v>
      </c>
      <c r="D97" s="29">
        <v>0</v>
      </c>
      <c r="E97" s="29">
        <v>0</v>
      </c>
      <c r="F97" s="29">
        <v>0</v>
      </c>
      <c r="G97" s="29">
        <v>0</v>
      </c>
      <c r="H97" s="52">
        <v>-5879512129</v>
      </c>
      <c r="I97" s="29">
        <f>IF('１②貸借対照表(26)'!T96=SUM(D97:H97),SUM(D97:H97),"NG")</f>
        <v>-5879512129</v>
      </c>
      <c r="J97" s="29">
        <f>'２②損益計算書(26)'!V96</f>
        <v>-177241965</v>
      </c>
      <c r="K97" s="29">
        <v>-5702270164</v>
      </c>
      <c r="L97" s="29">
        <f t="shared" si="4"/>
        <v>-5879512129</v>
      </c>
      <c r="M97" s="29">
        <v>0</v>
      </c>
      <c r="N97" s="29">
        <v>0</v>
      </c>
      <c r="O97" s="29">
        <v>0</v>
      </c>
      <c r="P97" s="29">
        <v>0</v>
      </c>
      <c r="Q97" s="29">
        <v>0</v>
      </c>
      <c r="R97" s="4" t="s">
        <v>435</v>
      </c>
    </row>
    <row r="98" spans="1:18">
      <c r="A98" s="26">
        <f>'法人一覧(26)'!A97</f>
        <v>94</v>
      </c>
      <c r="B98" s="32" t="str">
        <f>'法人一覧(26)'!B97</f>
        <v>国土交通省</v>
      </c>
      <c r="C98" s="32" t="str">
        <f>'法人一覧(26)'!C97</f>
        <v>日本高速道路保有・債務返済機構</v>
      </c>
      <c r="D98" s="29">
        <v>2539825243</v>
      </c>
      <c r="E98" s="29">
        <v>0</v>
      </c>
      <c r="F98" s="29">
        <f>3397815088422+672838781</f>
        <v>3398487927203</v>
      </c>
      <c r="G98" s="29">
        <v>0</v>
      </c>
      <c r="H98" s="29">
        <f>520916227299+658491813</f>
        <v>521574719112</v>
      </c>
      <c r="I98" s="29">
        <f>IF('１②貸借対照表(26)'!T97=SUM(D98:H98),SUM(D98:H98),"NG")</f>
        <v>3922602471558</v>
      </c>
      <c r="J98" s="29">
        <f>'２②損益計算書(26)'!V97</f>
        <v>521574719112</v>
      </c>
      <c r="K98" s="29">
        <v>0</v>
      </c>
      <c r="L98" s="29">
        <f t="shared" si="4"/>
        <v>521574719112</v>
      </c>
      <c r="M98" s="29">
        <v>0</v>
      </c>
      <c r="N98" s="29">
        <v>0</v>
      </c>
      <c r="O98" s="29">
        <v>521574719112</v>
      </c>
      <c r="P98" s="29">
        <v>0</v>
      </c>
      <c r="Q98" s="29">
        <v>0</v>
      </c>
      <c r="R98" s="4" t="s">
        <v>435</v>
      </c>
    </row>
    <row r="99" spans="1:18">
      <c r="A99" s="26">
        <f>'法人一覧(26)'!A98</f>
        <v>95</v>
      </c>
      <c r="B99" s="32" t="str">
        <f>'法人一覧(26)'!B98</f>
        <v>国土交通省</v>
      </c>
      <c r="C99" s="32" t="str">
        <f>'法人一覧(26)'!C98</f>
        <v>住宅金融支援機構</v>
      </c>
      <c r="D99" s="29">
        <v>304044698557</v>
      </c>
      <c r="E99" s="29">
        <v>22576170342</v>
      </c>
      <c r="F99" s="29">
        <v>106670682961</v>
      </c>
      <c r="G99" s="29">
        <v>0</v>
      </c>
      <c r="H99" s="29">
        <v>-1973909286</v>
      </c>
      <c r="I99" s="29">
        <f>IF('１②貸借対照表(26)'!T98=SUM(D99:H99),SUM(D99:H99),"NG")</f>
        <v>431317642574</v>
      </c>
      <c r="J99" s="29">
        <f>'２②損益計算書(26)'!V98</f>
        <v>282439965920</v>
      </c>
      <c r="K99" s="29">
        <v>-284413875206</v>
      </c>
      <c r="L99" s="29">
        <f t="shared" si="4"/>
        <v>-1973909286</v>
      </c>
      <c r="M99" s="29">
        <v>0</v>
      </c>
      <c r="N99" s="29">
        <v>0</v>
      </c>
      <c r="O99" s="29">
        <v>106436910201</v>
      </c>
      <c r="P99" s="29">
        <v>0</v>
      </c>
      <c r="Q99" s="29">
        <v>0</v>
      </c>
      <c r="R99" s="4" t="s">
        <v>435</v>
      </c>
    </row>
    <row r="100" spans="1:18">
      <c r="A100" s="26">
        <f>'法人一覧(26)'!A99</f>
        <v>96</v>
      </c>
      <c r="B100" s="32" t="str">
        <f>'法人一覧(26)'!B99</f>
        <v>環境省</v>
      </c>
      <c r="C100" s="32" t="str">
        <f>'法人一覧(26)'!C99</f>
        <v>国立環境研究所</v>
      </c>
      <c r="D100" s="29">
        <v>21482889</v>
      </c>
      <c r="E100" s="29">
        <v>0</v>
      </c>
      <c r="F100" s="29">
        <v>142997332</v>
      </c>
      <c r="G100" s="29">
        <v>0</v>
      </c>
      <c r="H100" s="29">
        <v>117516073</v>
      </c>
      <c r="I100" s="29">
        <f>IF('１②貸借対照表(26)'!T99=SUM(D100:H100),SUM(D100:H100),"NG")</f>
        <v>281996294</v>
      </c>
      <c r="J100" s="29">
        <f>'２②損益計算書(26)'!V99</f>
        <v>117516073</v>
      </c>
      <c r="K100" s="29">
        <v>0</v>
      </c>
      <c r="L100" s="29">
        <f t="shared" ref="L100:L102" si="5">SUM(J100:K100)</f>
        <v>117516073</v>
      </c>
      <c r="M100" s="29">
        <v>0</v>
      </c>
      <c r="N100" s="29">
        <v>0</v>
      </c>
      <c r="O100" s="29">
        <v>117516073</v>
      </c>
      <c r="P100" s="29">
        <v>0</v>
      </c>
      <c r="Q100" s="29">
        <v>0</v>
      </c>
      <c r="R100" s="4" t="s">
        <v>435</v>
      </c>
    </row>
    <row r="101" spans="1:18">
      <c r="A101" s="26">
        <f>'法人一覧(26)'!A100</f>
        <v>97</v>
      </c>
      <c r="B101" s="32" t="str">
        <f>'法人一覧(26)'!B100</f>
        <v>環境省</v>
      </c>
      <c r="C101" s="32" t="str">
        <f>'法人一覧(26)'!C100</f>
        <v>環境再生保全機構</v>
      </c>
      <c r="D101" s="29">
        <v>17877080307</v>
      </c>
      <c r="E101" s="29">
        <v>0</v>
      </c>
      <c r="F101" s="29">
        <v>0</v>
      </c>
      <c r="G101" s="29">
        <v>0</v>
      </c>
      <c r="H101" s="29">
        <v>2680900515</v>
      </c>
      <c r="I101" s="29">
        <f>IF('１②貸借対照表(26)'!T100=SUM(D101:H101),SUM(D101:H101),"NG")</f>
        <v>20557980822</v>
      </c>
      <c r="J101" s="29">
        <f>'２②損益計算書(26)'!V100</f>
        <v>2680900515</v>
      </c>
      <c r="K101" s="29">
        <v>0</v>
      </c>
      <c r="L101" s="29">
        <f t="shared" si="5"/>
        <v>2680900515</v>
      </c>
      <c r="M101" s="29">
        <v>0</v>
      </c>
      <c r="N101" s="29">
        <v>0</v>
      </c>
      <c r="O101" s="29">
        <f>74807094+2606093421</f>
        <v>2680900515</v>
      </c>
      <c r="P101" s="29">
        <v>0</v>
      </c>
      <c r="Q101" s="29">
        <v>0</v>
      </c>
      <c r="R101" s="4" t="s">
        <v>435</v>
      </c>
    </row>
    <row r="102" spans="1:18" ht="13.8" thickBot="1">
      <c r="A102" s="26">
        <f>'法人一覧(26)'!A101</f>
        <v>98</v>
      </c>
      <c r="B102" s="32" t="str">
        <f>'法人一覧(26)'!B101</f>
        <v>防衛省</v>
      </c>
      <c r="C102" s="120" t="str">
        <f>'法人一覧(26)'!C101</f>
        <v>駐留軍等労働者労務管理機構</v>
      </c>
      <c r="D102" s="118">
        <v>0</v>
      </c>
      <c r="E102" s="118">
        <v>0</v>
      </c>
      <c r="F102" s="118">
        <v>565596673</v>
      </c>
      <c r="G102" s="118">
        <v>0</v>
      </c>
      <c r="H102" s="118">
        <v>152061066</v>
      </c>
      <c r="I102" s="118">
        <f>IF('１②貸借対照表(26)'!T101=SUM(D102:H102),SUM(D102:H102),"NG")</f>
        <v>717657739</v>
      </c>
      <c r="J102" s="118">
        <f>'２②損益計算書(26)'!V101</f>
        <v>152061066</v>
      </c>
      <c r="K102" s="118">
        <v>0</v>
      </c>
      <c r="L102" s="118">
        <f t="shared" si="5"/>
        <v>152061066</v>
      </c>
      <c r="M102" s="118">
        <v>0</v>
      </c>
      <c r="N102" s="118">
        <v>0</v>
      </c>
      <c r="O102" s="118">
        <v>152061066</v>
      </c>
      <c r="P102" s="118">
        <v>0</v>
      </c>
      <c r="Q102" s="118">
        <v>0</v>
      </c>
      <c r="R102" s="121" t="s">
        <v>435</v>
      </c>
    </row>
    <row r="103" spans="1:18" s="37" customFormat="1" ht="19.2" customHeight="1" thickTop="1">
      <c r="A103" s="167" t="s">
        <v>584</v>
      </c>
      <c r="B103" s="168"/>
      <c r="C103" s="170"/>
      <c r="D103" s="115">
        <f>SUM(D5:D102)</f>
        <v>1472124157649</v>
      </c>
      <c r="E103" s="115">
        <f t="shared" ref="E103:Q103" si="6">SUM(E5:E102)</f>
        <v>22951786061</v>
      </c>
      <c r="F103" s="115">
        <f t="shared" si="6"/>
        <v>22419476791627</v>
      </c>
      <c r="G103" s="115">
        <f t="shared" si="6"/>
        <v>1460870210459</v>
      </c>
      <c r="H103" s="115">
        <f t="shared" si="6"/>
        <v>15687433396635</v>
      </c>
      <c r="I103" s="115">
        <f t="shared" si="6"/>
        <v>41062856342431</v>
      </c>
      <c r="J103" s="115">
        <f t="shared" si="6"/>
        <v>16824756702353</v>
      </c>
      <c r="K103" s="115">
        <f t="shared" si="6"/>
        <v>-1136140233965</v>
      </c>
      <c r="L103" s="115">
        <f t="shared" si="6"/>
        <v>15688616468388</v>
      </c>
      <c r="M103" s="115">
        <f t="shared" si="6"/>
        <v>184915674</v>
      </c>
      <c r="N103" s="115">
        <f t="shared" si="6"/>
        <v>317179363</v>
      </c>
      <c r="O103" s="115">
        <f t="shared" si="6"/>
        <v>16477532469655</v>
      </c>
      <c r="P103" s="115">
        <f t="shared" si="6"/>
        <v>-2967262061</v>
      </c>
      <c r="Q103" s="115">
        <f t="shared" si="6"/>
        <v>-348243412981</v>
      </c>
      <c r="R103" s="119"/>
    </row>
    <row r="105" spans="1:18">
      <c r="B105" s="179" t="s">
        <v>662</v>
      </c>
      <c r="C105" s="179"/>
      <c r="D105" s="179"/>
      <c r="E105" s="179"/>
      <c r="F105" s="179"/>
      <c r="G105" s="179"/>
      <c r="H105" s="179"/>
      <c r="I105" s="179"/>
      <c r="J105" s="179"/>
      <c r="K105" s="179"/>
      <c r="L105" s="179"/>
      <c r="M105" s="102"/>
    </row>
    <row r="106" spans="1:18">
      <c r="B106" s="179"/>
      <c r="C106" s="179"/>
      <c r="D106" s="179"/>
      <c r="E106" s="179"/>
      <c r="F106" s="179"/>
      <c r="G106" s="179"/>
      <c r="H106" s="179"/>
      <c r="I106" s="179"/>
      <c r="J106" s="179"/>
      <c r="K106" s="179"/>
      <c r="L106" s="179"/>
      <c r="M106" s="102"/>
    </row>
    <row r="107" spans="1:18">
      <c r="B107" s="179"/>
      <c r="C107" s="179"/>
      <c r="D107" s="179"/>
      <c r="E107" s="179"/>
      <c r="F107" s="179"/>
      <c r="G107" s="179"/>
      <c r="H107" s="179"/>
      <c r="I107" s="179"/>
      <c r="J107" s="179"/>
      <c r="K107" s="179"/>
      <c r="L107" s="179"/>
      <c r="M107" s="102"/>
    </row>
    <row r="108" spans="1:18">
      <c r="B108" s="179"/>
      <c r="C108" s="179"/>
      <c r="D108" s="179"/>
      <c r="E108" s="179"/>
      <c r="F108" s="179"/>
      <c r="G108" s="179"/>
      <c r="H108" s="179"/>
      <c r="I108" s="179"/>
      <c r="J108" s="179"/>
      <c r="K108" s="179"/>
      <c r="L108" s="179"/>
      <c r="M108" s="102"/>
    </row>
  </sheetData>
  <mergeCells count="10">
    <mergeCell ref="A2:A4"/>
    <mergeCell ref="B105:L108"/>
    <mergeCell ref="R2:R4"/>
    <mergeCell ref="B2:B4"/>
    <mergeCell ref="C2:C4"/>
    <mergeCell ref="D2:I2"/>
    <mergeCell ref="M3:M4"/>
    <mergeCell ref="N3:Q3"/>
    <mergeCell ref="J2:Q2"/>
    <mergeCell ref="A103:C10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zoomScale="90" zoomScaleNormal="90" workbookViewId="0">
      <pane xSplit="3" ySplit="2" topLeftCell="G78" activePane="bottomRight" state="frozen"/>
      <selection activeCell="B2" sqref="B2:B3"/>
      <selection pane="topRight" activeCell="B2" sqref="B2:B3"/>
      <selection pane="bottomLeft" activeCell="B2" sqref="B2:B3"/>
      <selection pane="bottomRight" activeCell="I109" sqref="I109"/>
    </sheetView>
  </sheetViews>
  <sheetFormatPr defaultColWidth="8.88671875" defaultRowHeight="13.2"/>
  <cols>
    <col min="1" max="1" width="4.88671875" style="1" customWidth="1"/>
    <col min="2" max="2" width="18.88671875" style="1" customWidth="1"/>
    <col min="3" max="3" width="40.33203125" style="1" customWidth="1"/>
    <col min="4" max="4" width="17.88671875" style="1" bestFit="1" customWidth="1"/>
    <col min="5" max="10" width="13.44140625" style="1" customWidth="1"/>
    <col min="11" max="11" width="13.44140625" style="37" customWidth="1"/>
    <col min="12" max="12" width="13.44140625" style="1" customWidth="1"/>
    <col min="13" max="13" width="12.6640625" style="1" customWidth="1"/>
    <col min="14" max="14" width="18.33203125" style="1" customWidth="1"/>
    <col min="15" max="16384" width="8.88671875" style="1"/>
  </cols>
  <sheetData>
    <row r="1" spans="1:14" ht="19.95" customHeight="1">
      <c r="B1" s="144" t="s">
        <v>228</v>
      </c>
      <c r="N1" s="30" t="s">
        <v>204</v>
      </c>
    </row>
    <row r="2" spans="1:14" ht="43.2" customHeight="1">
      <c r="A2" s="26" t="s">
        <v>195</v>
      </c>
      <c r="B2" s="26" t="s">
        <v>0</v>
      </c>
      <c r="C2" s="26" t="s">
        <v>1</v>
      </c>
      <c r="D2" s="3" t="s">
        <v>50</v>
      </c>
      <c r="E2" s="7" t="s">
        <v>51</v>
      </c>
      <c r="F2" s="7" t="s">
        <v>52</v>
      </c>
      <c r="G2" s="7" t="s">
        <v>53</v>
      </c>
      <c r="H2" s="7" t="s">
        <v>54</v>
      </c>
      <c r="I2" s="7" t="s">
        <v>55</v>
      </c>
      <c r="J2" s="7" t="s">
        <v>56</v>
      </c>
      <c r="K2" s="87" t="s">
        <v>413</v>
      </c>
      <c r="L2" s="3" t="s">
        <v>57</v>
      </c>
      <c r="M2" s="7" t="s">
        <v>58</v>
      </c>
      <c r="N2" s="7" t="s">
        <v>59</v>
      </c>
    </row>
    <row r="3" spans="1:14">
      <c r="A3" s="26">
        <f>'法人一覧(25)'!A4</f>
        <v>1</v>
      </c>
      <c r="B3" s="2" t="str">
        <f>'法人一覧(25)'!B4</f>
        <v>内閣府</v>
      </c>
      <c r="C3" s="2" t="str">
        <f>'法人一覧(25)'!C4</f>
        <v>国立公文書館</v>
      </c>
      <c r="D3" s="29">
        <v>1907182213</v>
      </c>
      <c r="E3" s="29">
        <v>146972532</v>
      </c>
      <c r="F3" s="29">
        <v>0</v>
      </c>
      <c r="G3" s="29">
        <v>0</v>
      </c>
      <c r="H3" s="29">
        <v>2738491</v>
      </c>
      <c r="I3" s="29">
        <v>5122104</v>
      </c>
      <c r="J3" s="29">
        <v>63403775</v>
      </c>
      <c r="K3" s="29">
        <f>N3-SUM(D3:J3,L3:M3)</f>
        <v>0</v>
      </c>
      <c r="L3" s="29">
        <v>49148277</v>
      </c>
      <c r="M3" s="29">
        <v>0</v>
      </c>
      <c r="N3" s="29">
        <v>2174567392</v>
      </c>
    </row>
    <row r="4" spans="1:14">
      <c r="A4" s="26">
        <f>'法人一覧(25)'!A5</f>
        <v>2</v>
      </c>
      <c r="B4" s="2" t="str">
        <f>'法人一覧(25)'!B5</f>
        <v>内閣府</v>
      </c>
      <c r="C4" s="2" t="str">
        <f>'法人一覧(25)'!C5</f>
        <v>北方領土問題対策協会</v>
      </c>
      <c r="D4" s="29">
        <v>1346397640</v>
      </c>
      <c r="E4" s="29">
        <v>15250075</v>
      </c>
      <c r="F4" s="29">
        <v>0</v>
      </c>
      <c r="G4" s="29">
        <v>96017</v>
      </c>
      <c r="H4" s="29">
        <v>10</v>
      </c>
      <c r="I4" s="29">
        <v>1750869</v>
      </c>
      <c r="J4" s="29">
        <v>18363140</v>
      </c>
      <c r="K4" s="29">
        <f t="shared" ref="K4:K67" si="0">N4-SUM(D4:J4,L4:M4)</f>
        <v>0</v>
      </c>
      <c r="L4" s="29">
        <v>8379613</v>
      </c>
      <c r="M4" s="29">
        <v>0</v>
      </c>
      <c r="N4" s="29">
        <v>1390237364</v>
      </c>
    </row>
    <row r="5" spans="1:14">
      <c r="A5" s="26">
        <f>'法人一覧(25)'!A6</f>
        <v>3</v>
      </c>
      <c r="B5" s="2" t="str">
        <f>'法人一覧(25)'!B6</f>
        <v>消費者庁</v>
      </c>
      <c r="C5" s="2" t="str">
        <f>'法人一覧(25)'!C6</f>
        <v>国民生活センター</v>
      </c>
      <c r="D5" s="29">
        <v>2807691919</v>
      </c>
      <c r="E5" s="29">
        <v>108605728</v>
      </c>
      <c r="F5" s="29">
        <v>0</v>
      </c>
      <c r="G5" s="29">
        <v>0</v>
      </c>
      <c r="H5" s="29">
        <v>53608</v>
      </c>
      <c r="I5" s="29">
        <v>4105671</v>
      </c>
      <c r="J5" s="29">
        <v>-37594000</v>
      </c>
      <c r="K5" s="29">
        <f t="shared" si="0"/>
        <v>0</v>
      </c>
      <c r="L5" s="29">
        <v>52020059</v>
      </c>
      <c r="M5" s="29">
        <v>0</v>
      </c>
      <c r="N5" s="29">
        <v>2934882985</v>
      </c>
    </row>
    <row r="6" spans="1:14">
      <c r="A6" s="26">
        <f>'法人一覧(25)'!A7</f>
        <v>4</v>
      </c>
      <c r="B6" s="2" t="str">
        <f>'法人一覧(25)'!B7</f>
        <v>総務省</v>
      </c>
      <c r="C6" s="2" t="str">
        <f>'法人一覧(25)'!C7</f>
        <v>情報通信研究機構</v>
      </c>
      <c r="D6" s="65">
        <v>29386730629</v>
      </c>
      <c r="E6" s="65">
        <v>6994109643</v>
      </c>
      <c r="F6" s="65">
        <v>87522882</v>
      </c>
      <c r="G6" s="65">
        <v>8898285</v>
      </c>
      <c r="H6" s="65">
        <v>140</v>
      </c>
      <c r="I6" s="65">
        <v>17646463</v>
      </c>
      <c r="J6" s="65">
        <v>-153415458</v>
      </c>
      <c r="K6" s="29">
        <f t="shared" si="0"/>
        <v>0</v>
      </c>
      <c r="L6" s="65">
        <v>2914094248</v>
      </c>
      <c r="M6" s="65">
        <v>-24767236</v>
      </c>
      <c r="N6" s="65">
        <v>39230819596</v>
      </c>
    </row>
    <row r="7" spans="1:14">
      <c r="A7" s="26">
        <f>'法人一覧(25)'!A8</f>
        <v>5</v>
      </c>
      <c r="B7" s="2" t="str">
        <f>'法人一覧(25)'!B8</f>
        <v>総務省</v>
      </c>
      <c r="C7" s="2" t="str">
        <f>'法人一覧(25)'!C8</f>
        <v>統計センター</v>
      </c>
      <c r="D7" s="65">
        <v>6969388395</v>
      </c>
      <c r="E7" s="65">
        <v>0</v>
      </c>
      <c r="F7" s="65">
        <v>0</v>
      </c>
      <c r="G7" s="65">
        <v>0</v>
      </c>
      <c r="H7" s="65">
        <v>0</v>
      </c>
      <c r="I7" s="65">
        <v>-48359079</v>
      </c>
      <c r="J7" s="65">
        <v>-499757935</v>
      </c>
      <c r="K7" s="29">
        <f t="shared" si="0"/>
        <v>0</v>
      </c>
      <c r="L7" s="65">
        <v>213562972</v>
      </c>
      <c r="M7" s="65">
        <v>0</v>
      </c>
      <c r="N7" s="65">
        <v>6634834353</v>
      </c>
    </row>
    <row r="8" spans="1:14">
      <c r="A8" s="26">
        <f>'法人一覧(25)'!A9</f>
        <v>6</v>
      </c>
      <c r="B8" s="2" t="str">
        <f>'法人一覧(25)'!B9</f>
        <v>総務省</v>
      </c>
      <c r="C8" s="2" t="str">
        <f>'法人一覧(25)'!C9</f>
        <v>郵便貯金・簡易生命保険管理機構</v>
      </c>
      <c r="D8" s="65">
        <v>-5363612536</v>
      </c>
      <c r="E8" s="65">
        <v>0</v>
      </c>
      <c r="F8" s="65">
        <v>0</v>
      </c>
      <c r="G8" s="65">
        <v>0</v>
      </c>
      <c r="H8" s="65">
        <v>0</v>
      </c>
      <c r="I8" s="65">
        <v>6856004</v>
      </c>
      <c r="J8" s="65">
        <v>0</v>
      </c>
      <c r="K8" s="29">
        <f t="shared" si="0"/>
        <v>0</v>
      </c>
      <c r="L8" s="65">
        <v>44800000</v>
      </c>
      <c r="M8" s="65">
        <v>0</v>
      </c>
      <c r="N8" s="65">
        <v>-5311956532</v>
      </c>
    </row>
    <row r="9" spans="1:14">
      <c r="A9" s="26">
        <f>'法人一覧(25)'!A10</f>
        <v>7</v>
      </c>
      <c r="B9" s="2" t="str">
        <f>'法人一覧(25)'!B10</f>
        <v>外務省</v>
      </c>
      <c r="C9" s="2" t="str">
        <f>'法人一覧(25)'!C10</f>
        <v>国際協力機構</v>
      </c>
      <c r="D9" s="29">
        <v>105929171708</v>
      </c>
      <c r="E9" s="29">
        <v>1401213879</v>
      </c>
      <c r="F9" s="29">
        <v>188151336</v>
      </c>
      <c r="G9" s="29">
        <v>1450492</v>
      </c>
      <c r="H9" s="29">
        <v>94925225</v>
      </c>
      <c r="I9" s="29">
        <v>81328704</v>
      </c>
      <c r="J9" s="29">
        <v>-686854586</v>
      </c>
      <c r="K9" s="29">
        <f t="shared" si="0"/>
        <v>0</v>
      </c>
      <c r="L9" s="29">
        <v>49844474842</v>
      </c>
      <c r="M9" s="29">
        <v>0</v>
      </c>
      <c r="N9" s="29">
        <v>156853861600</v>
      </c>
    </row>
    <row r="10" spans="1:14">
      <c r="A10" s="26">
        <f>'法人一覧(25)'!A11</f>
        <v>8</v>
      </c>
      <c r="B10" s="2" t="str">
        <f>'法人一覧(25)'!B11</f>
        <v>外務省</v>
      </c>
      <c r="C10" s="2" t="str">
        <f>'法人一覧(25)'!C11</f>
        <v>国際交流基金</v>
      </c>
      <c r="D10" s="29">
        <v>11831889162</v>
      </c>
      <c r="E10" s="29">
        <v>323756020</v>
      </c>
      <c r="F10" s="29">
        <v>0</v>
      </c>
      <c r="G10" s="29">
        <v>1691557</v>
      </c>
      <c r="H10" s="29">
        <v>14326621</v>
      </c>
      <c r="I10" s="29">
        <v>14537226</v>
      </c>
      <c r="J10" s="29">
        <v>-863198970</v>
      </c>
      <c r="K10" s="29">
        <f t="shared" si="0"/>
        <v>0</v>
      </c>
      <c r="L10" s="29">
        <v>720327562</v>
      </c>
      <c r="M10" s="29">
        <v>0</v>
      </c>
      <c r="N10" s="29">
        <v>12043329178</v>
      </c>
    </row>
    <row r="11" spans="1:14">
      <c r="A11" s="26">
        <f>'法人一覧(25)'!A12</f>
        <v>9</v>
      </c>
      <c r="B11" s="2" t="str">
        <f>'法人一覧(25)'!B12</f>
        <v>財務省</v>
      </c>
      <c r="C11" s="2" t="str">
        <f>'法人一覧(25)'!C12</f>
        <v>酒類総合研究所</v>
      </c>
      <c r="D11" s="29">
        <v>922124822</v>
      </c>
      <c r="E11" s="52">
        <v>114213857</v>
      </c>
      <c r="F11" s="29">
        <v>0</v>
      </c>
      <c r="G11" s="29">
        <v>0</v>
      </c>
      <c r="H11" s="29">
        <v>251601</v>
      </c>
      <c r="I11" s="29">
        <v>0</v>
      </c>
      <c r="J11" s="29">
        <v>-75752521</v>
      </c>
      <c r="K11" s="29">
        <f t="shared" si="0"/>
        <v>0</v>
      </c>
      <c r="L11" s="29">
        <v>38884649</v>
      </c>
      <c r="M11" s="29">
        <v>0</v>
      </c>
      <c r="N11" s="52">
        <v>999722408</v>
      </c>
    </row>
    <row r="12" spans="1:14">
      <c r="A12" s="26">
        <f>'法人一覧(25)'!A13</f>
        <v>10</v>
      </c>
      <c r="B12" s="2" t="str">
        <f>'法人一覧(25)'!B13</f>
        <v>財務省</v>
      </c>
      <c r="C12" s="2" t="str">
        <f>'法人一覧(25)'!C13</f>
        <v>造幣局</v>
      </c>
      <c r="D12" s="29">
        <v>-744665914</v>
      </c>
      <c r="E12" s="29">
        <v>0</v>
      </c>
      <c r="F12" s="29">
        <v>0</v>
      </c>
      <c r="G12" s="29">
        <v>0</v>
      </c>
      <c r="H12" s="29">
        <v>0</v>
      </c>
      <c r="I12" s="29">
        <v>0</v>
      </c>
      <c r="J12" s="29">
        <v>0</v>
      </c>
      <c r="K12" s="29">
        <f t="shared" si="0"/>
        <v>0</v>
      </c>
      <c r="L12" s="29">
        <v>393171127</v>
      </c>
      <c r="M12" s="29">
        <v>0</v>
      </c>
      <c r="N12" s="29">
        <v>-351494787</v>
      </c>
    </row>
    <row r="13" spans="1:14">
      <c r="A13" s="26">
        <f>'法人一覧(25)'!A14</f>
        <v>11</v>
      </c>
      <c r="B13" s="2" t="str">
        <f>'法人一覧(25)'!B14</f>
        <v>財務省</v>
      </c>
      <c r="C13" s="2" t="str">
        <f>'法人一覧(25)'!C14</f>
        <v>国立印刷局</v>
      </c>
      <c r="D13" s="29">
        <v>-7129151962</v>
      </c>
      <c r="E13" s="29">
        <v>0</v>
      </c>
      <c r="F13" s="29">
        <v>62077994</v>
      </c>
      <c r="G13" s="29">
        <v>0</v>
      </c>
      <c r="H13" s="29">
        <v>2902174</v>
      </c>
      <c r="I13" s="29">
        <v>0</v>
      </c>
      <c r="J13" s="29">
        <v>2822800</v>
      </c>
      <c r="K13" s="29">
        <f t="shared" si="0"/>
        <v>0</v>
      </c>
      <c r="L13" s="29">
        <v>1014061721</v>
      </c>
      <c r="M13" s="29">
        <v>0</v>
      </c>
      <c r="N13" s="29">
        <v>-6047287273</v>
      </c>
    </row>
    <row r="14" spans="1:14">
      <c r="A14" s="26">
        <f>'法人一覧(25)'!A15</f>
        <v>12</v>
      </c>
      <c r="B14" s="2" t="str">
        <f>'法人一覧(25)'!B15</f>
        <v>財務省</v>
      </c>
      <c r="C14" s="2" t="str">
        <f>'法人一覧(25)'!C15</f>
        <v>日本万国博覧会記念機構</v>
      </c>
      <c r="D14" s="65">
        <v>-1221568755</v>
      </c>
      <c r="E14" s="65">
        <v>0</v>
      </c>
      <c r="F14" s="65">
        <v>0</v>
      </c>
      <c r="G14" s="65">
        <v>0</v>
      </c>
      <c r="H14" s="65">
        <v>0</v>
      </c>
      <c r="I14" s="65">
        <v>0</v>
      </c>
      <c r="J14" s="65">
        <v>21201700</v>
      </c>
      <c r="K14" s="29">
        <f t="shared" si="0"/>
        <v>0</v>
      </c>
      <c r="L14" s="65">
        <v>780657167</v>
      </c>
      <c r="M14" s="65">
        <v>0</v>
      </c>
      <c r="N14" s="65">
        <v>-419709888</v>
      </c>
    </row>
    <row r="15" spans="1:14">
      <c r="A15" s="26">
        <f>'法人一覧(25)'!A16</f>
        <v>13</v>
      </c>
      <c r="B15" s="2" t="str">
        <f>'法人一覧(25)'!B16</f>
        <v>文部科学省</v>
      </c>
      <c r="C15" s="2" t="str">
        <f>'法人一覧(25)'!C16</f>
        <v>国立特別支援教育総合研究所</v>
      </c>
      <c r="D15" s="52">
        <v>908824087</v>
      </c>
      <c r="E15" s="52">
        <v>145641988</v>
      </c>
      <c r="F15" s="52">
        <v>0</v>
      </c>
      <c r="G15" s="52">
        <v>0</v>
      </c>
      <c r="H15" s="52">
        <v>0</v>
      </c>
      <c r="I15" s="52">
        <v>5280895</v>
      </c>
      <c r="J15" s="52">
        <v>-14287629</v>
      </c>
      <c r="K15" s="29">
        <f t="shared" si="0"/>
        <v>0</v>
      </c>
      <c r="L15" s="52">
        <v>38637321</v>
      </c>
      <c r="M15" s="52">
        <v>0</v>
      </c>
      <c r="N15" s="52">
        <v>1084096662</v>
      </c>
    </row>
    <row r="16" spans="1:14">
      <c r="A16" s="26">
        <f>'法人一覧(25)'!A17</f>
        <v>14</v>
      </c>
      <c r="B16" s="2" t="str">
        <f>'法人一覧(25)'!B17</f>
        <v>文部科学省</v>
      </c>
      <c r="C16" s="2" t="str">
        <f>'法人一覧(25)'!C17</f>
        <v>大学入試センター</v>
      </c>
      <c r="D16" s="52">
        <v>-254836460</v>
      </c>
      <c r="E16" s="52">
        <v>37302816</v>
      </c>
      <c r="F16" s="52">
        <v>0</v>
      </c>
      <c r="G16" s="52">
        <v>0</v>
      </c>
      <c r="H16" s="52">
        <v>0</v>
      </c>
      <c r="I16" s="52">
        <v>0</v>
      </c>
      <c r="J16" s="52">
        <v>0</v>
      </c>
      <c r="K16" s="29">
        <f t="shared" si="0"/>
        <v>0</v>
      </c>
      <c r="L16" s="52">
        <v>69551208</v>
      </c>
      <c r="M16" s="52">
        <v>0</v>
      </c>
      <c r="N16" s="52">
        <v>-147982436</v>
      </c>
    </row>
    <row r="17" spans="1:14">
      <c r="A17" s="26">
        <f>'法人一覧(25)'!A18</f>
        <v>15</v>
      </c>
      <c r="B17" s="2" t="str">
        <f>'法人一覧(25)'!B18</f>
        <v>文部科学省</v>
      </c>
      <c r="C17" s="2" t="str">
        <f>'法人一覧(25)'!C18</f>
        <v>国立青少年教育振興機構</v>
      </c>
      <c r="D17" s="52">
        <v>8908311647</v>
      </c>
      <c r="E17" s="52">
        <v>2987498447</v>
      </c>
      <c r="F17" s="52">
        <v>0</v>
      </c>
      <c r="G17" s="52">
        <v>0</v>
      </c>
      <c r="H17" s="52">
        <v>4454689</v>
      </c>
      <c r="I17" s="52">
        <v>22106987</v>
      </c>
      <c r="J17" s="52">
        <v>-304075735</v>
      </c>
      <c r="K17" s="29">
        <f t="shared" si="0"/>
        <v>0</v>
      </c>
      <c r="L17" s="52">
        <v>700701192</v>
      </c>
      <c r="M17" s="52">
        <v>0</v>
      </c>
      <c r="N17" s="52">
        <v>12318997227</v>
      </c>
    </row>
    <row r="18" spans="1:14">
      <c r="A18" s="26">
        <f>'法人一覧(25)'!A19</f>
        <v>16</v>
      </c>
      <c r="B18" s="2" t="str">
        <f>'法人一覧(25)'!B19</f>
        <v>文部科学省</v>
      </c>
      <c r="C18" s="2" t="str">
        <f>'法人一覧(25)'!C19</f>
        <v>国立女性教育会館</v>
      </c>
      <c r="D18" s="52">
        <v>513240005</v>
      </c>
      <c r="E18" s="52">
        <v>146243055</v>
      </c>
      <c r="F18" s="52">
        <v>0</v>
      </c>
      <c r="G18" s="52">
        <v>0</v>
      </c>
      <c r="H18" s="52">
        <v>0</v>
      </c>
      <c r="I18" s="52">
        <v>-83917</v>
      </c>
      <c r="J18" s="52">
        <v>1833897</v>
      </c>
      <c r="K18" s="29">
        <f t="shared" si="0"/>
        <v>0</v>
      </c>
      <c r="L18" s="52">
        <v>21146686</v>
      </c>
      <c r="M18" s="52">
        <v>0</v>
      </c>
      <c r="N18" s="52">
        <v>682379726</v>
      </c>
    </row>
    <row r="19" spans="1:14">
      <c r="A19" s="26">
        <f>'法人一覧(25)'!A20</f>
        <v>17</v>
      </c>
      <c r="B19" s="2" t="str">
        <f>'法人一覧(25)'!B20</f>
        <v>文部科学省</v>
      </c>
      <c r="C19" s="2" t="str">
        <f>'法人一覧(25)'!C20</f>
        <v>国立科学博物館</v>
      </c>
      <c r="D19" s="52">
        <v>2985814068</v>
      </c>
      <c r="E19" s="52">
        <v>1190917965</v>
      </c>
      <c r="F19" s="52">
        <v>0</v>
      </c>
      <c r="G19" s="52">
        <v>33824</v>
      </c>
      <c r="H19" s="52">
        <v>1216370736</v>
      </c>
      <c r="I19" s="52">
        <v>7167319</v>
      </c>
      <c r="J19" s="52">
        <v>41934413</v>
      </c>
      <c r="K19" s="29">
        <f t="shared" si="0"/>
        <v>0</v>
      </c>
      <c r="L19" s="52">
        <v>654464722</v>
      </c>
      <c r="M19" s="52">
        <v>0</v>
      </c>
      <c r="N19" s="52">
        <v>6096703047</v>
      </c>
    </row>
    <row r="20" spans="1:14">
      <c r="A20" s="26">
        <f>'法人一覧(25)'!A21</f>
        <v>18</v>
      </c>
      <c r="B20" s="2" t="str">
        <f>'法人一覧(25)'!B21</f>
        <v>文部科学省</v>
      </c>
      <c r="C20" s="2" t="str">
        <f>'法人一覧(25)'!C21</f>
        <v>物質・材料研究機構</v>
      </c>
      <c r="D20" s="52">
        <v>12216239393</v>
      </c>
      <c r="E20" s="52">
        <v>1885174950</v>
      </c>
      <c r="F20" s="52">
        <v>0</v>
      </c>
      <c r="G20" s="52">
        <v>2934188</v>
      </c>
      <c r="H20" s="52">
        <v>979575</v>
      </c>
      <c r="I20" s="52">
        <v>45163568</v>
      </c>
      <c r="J20" s="52">
        <v>-136581910</v>
      </c>
      <c r="K20" s="29">
        <f t="shared" si="0"/>
        <v>0</v>
      </c>
      <c r="L20" s="52">
        <v>876240998</v>
      </c>
      <c r="M20" s="52">
        <v>0</v>
      </c>
      <c r="N20" s="52">
        <v>14890150762</v>
      </c>
    </row>
    <row r="21" spans="1:14">
      <c r="A21" s="26">
        <f>'法人一覧(25)'!A22</f>
        <v>19</v>
      </c>
      <c r="B21" s="2" t="str">
        <f>'法人一覧(25)'!B22</f>
        <v>文部科学省</v>
      </c>
      <c r="C21" s="2" t="str">
        <f>'法人一覧(25)'!C22</f>
        <v>防災科学技術研究所</v>
      </c>
      <c r="D21" s="52">
        <v>8304231557</v>
      </c>
      <c r="E21" s="52">
        <v>3248969731</v>
      </c>
      <c r="F21" s="52">
        <v>901586244</v>
      </c>
      <c r="G21" s="52">
        <v>0</v>
      </c>
      <c r="H21" s="52">
        <v>81185113</v>
      </c>
      <c r="I21" s="52">
        <v>9231024</v>
      </c>
      <c r="J21" s="52">
        <v>48634845</v>
      </c>
      <c r="K21" s="29">
        <f t="shared" si="0"/>
        <v>0</v>
      </c>
      <c r="L21" s="52">
        <v>392674372</v>
      </c>
      <c r="M21" s="52">
        <v>0</v>
      </c>
      <c r="N21" s="52">
        <v>12986512886</v>
      </c>
    </row>
    <row r="22" spans="1:14">
      <c r="A22" s="26">
        <f>'法人一覧(25)'!A23</f>
        <v>20</v>
      </c>
      <c r="B22" s="2" t="str">
        <f>'法人一覧(25)'!B23</f>
        <v>文部科学省</v>
      </c>
      <c r="C22" s="2" t="str">
        <f>'法人一覧(25)'!C23</f>
        <v>放射線医学総合研究所</v>
      </c>
      <c r="D22" s="52">
        <v>10531001339</v>
      </c>
      <c r="E22" s="52">
        <v>1418425532</v>
      </c>
      <c r="F22" s="52">
        <v>37800</v>
      </c>
      <c r="G22" s="52">
        <v>10909135</v>
      </c>
      <c r="H22" s="52">
        <v>638150</v>
      </c>
      <c r="I22" s="52">
        <v>26539051</v>
      </c>
      <c r="J22" s="52">
        <v>-10161873</v>
      </c>
      <c r="K22" s="29">
        <f t="shared" si="0"/>
        <v>0</v>
      </c>
      <c r="L22" s="52">
        <v>168266165</v>
      </c>
      <c r="M22" s="52">
        <v>0</v>
      </c>
      <c r="N22" s="52">
        <v>12145655299</v>
      </c>
    </row>
    <row r="23" spans="1:14">
      <c r="A23" s="26">
        <f>'法人一覧(25)'!A24</f>
        <v>21</v>
      </c>
      <c r="B23" s="2" t="str">
        <f>'法人一覧(25)'!B24</f>
        <v>文部科学省</v>
      </c>
      <c r="C23" s="2" t="str">
        <f>'法人一覧(25)'!C24</f>
        <v>国立美術館</v>
      </c>
      <c r="D23" s="52">
        <v>3839147941</v>
      </c>
      <c r="E23" s="52">
        <v>2360635259</v>
      </c>
      <c r="F23" s="52">
        <v>0</v>
      </c>
      <c r="G23" s="52">
        <v>0</v>
      </c>
      <c r="H23" s="52">
        <v>2144003</v>
      </c>
      <c r="I23" s="52">
        <v>4138153</v>
      </c>
      <c r="J23" s="52">
        <v>-36008141</v>
      </c>
      <c r="K23" s="29">
        <f t="shared" si="0"/>
        <v>0</v>
      </c>
      <c r="L23" s="52">
        <v>1058153053</v>
      </c>
      <c r="M23" s="52">
        <v>0</v>
      </c>
      <c r="N23" s="52">
        <v>7228210268</v>
      </c>
    </row>
    <row r="24" spans="1:14">
      <c r="A24" s="26">
        <f>'法人一覧(25)'!A25</f>
        <v>22</v>
      </c>
      <c r="B24" s="2" t="str">
        <f>'法人一覧(25)'!B25</f>
        <v>文部科学省</v>
      </c>
      <c r="C24" s="2" t="str">
        <f>'法人一覧(25)'!C25</f>
        <v>国立文化財機構</v>
      </c>
      <c r="D24" s="52">
        <f>9281659580-2434387804</f>
        <v>6847271776</v>
      </c>
      <c r="E24" s="52">
        <v>3264620930</v>
      </c>
      <c r="F24" s="52">
        <v>294658061</v>
      </c>
      <c r="G24" s="52">
        <v>0</v>
      </c>
      <c r="H24" s="52">
        <v>151051284</v>
      </c>
      <c r="I24" s="52">
        <v>20820662</v>
      </c>
      <c r="J24" s="52">
        <v>-76331732</v>
      </c>
      <c r="K24" s="29">
        <f t="shared" si="0"/>
        <v>0</v>
      </c>
      <c r="L24" s="52">
        <v>1397736568</v>
      </c>
      <c r="M24" s="52">
        <v>0</v>
      </c>
      <c r="N24" s="52">
        <v>11899827549</v>
      </c>
    </row>
    <row r="25" spans="1:14">
      <c r="A25" s="26">
        <f>'法人一覧(25)'!A26</f>
        <v>23</v>
      </c>
      <c r="B25" s="2" t="str">
        <f>'法人一覧(25)'!B26</f>
        <v>文部科学省</v>
      </c>
      <c r="C25" s="2" t="str">
        <f>'法人一覧(25)'!C26</f>
        <v>教員研修センター</v>
      </c>
      <c r="D25" s="52">
        <v>924311023</v>
      </c>
      <c r="E25" s="52">
        <v>125454305</v>
      </c>
      <c r="F25" s="52">
        <v>0</v>
      </c>
      <c r="G25" s="52">
        <v>0</v>
      </c>
      <c r="H25" s="52">
        <v>0</v>
      </c>
      <c r="I25" s="52">
        <v>1563200</v>
      </c>
      <c r="J25" s="52">
        <v>-34231050</v>
      </c>
      <c r="K25" s="29">
        <f t="shared" si="0"/>
        <v>0</v>
      </c>
      <c r="L25" s="52">
        <v>28731217</v>
      </c>
      <c r="M25" s="52">
        <v>0</v>
      </c>
      <c r="N25" s="52">
        <v>1045828695</v>
      </c>
    </row>
    <row r="26" spans="1:14">
      <c r="A26" s="26">
        <f>'法人一覧(25)'!A27</f>
        <v>24</v>
      </c>
      <c r="B26" s="2" t="str">
        <f>'法人一覧(25)'!B27</f>
        <v>文部科学省</v>
      </c>
      <c r="C26" s="2" t="str">
        <f>'法人一覧(25)'!C27</f>
        <v>科学技術振興機構</v>
      </c>
      <c r="D26" s="68">
        <v>128410121797</v>
      </c>
      <c r="E26" s="68">
        <v>6525192310</v>
      </c>
      <c r="F26" s="68">
        <v>642242595</v>
      </c>
      <c r="G26" s="68">
        <v>0</v>
      </c>
      <c r="H26" s="68">
        <v>631449362</v>
      </c>
      <c r="I26" s="68">
        <v>73239413</v>
      </c>
      <c r="J26" s="68">
        <v>-1535823786</v>
      </c>
      <c r="K26" s="29">
        <f t="shared" si="0"/>
        <v>0</v>
      </c>
      <c r="L26" s="68">
        <v>1244946649</v>
      </c>
      <c r="M26" s="68">
        <v>-31384300</v>
      </c>
      <c r="N26" s="68">
        <v>135959984040</v>
      </c>
    </row>
    <row r="27" spans="1:14">
      <c r="A27" s="26">
        <f>'法人一覧(25)'!A28</f>
        <v>25</v>
      </c>
      <c r="B27" s="2" t="str">
        <f>'法人一覧(25)'!B28</f>
        <v>文部科学省</v>
      </c>
      <c r="C27" s="2" t="str">
        <f>'法人一覧(25)'!C28</f>
        <v>日本学術振興会</v>
      </c>
      <c r="D27" s="52">
        <v>294421522134</v>
      </c>
      <c r="E27" s="52">
        <v>429650</v>
      </c>
      <c r="F27" s="52">
        <v>0</v>
      </c>
      <c r="G27" s="52">
        <v>0</v>
      </c>
      <c r="H27" s="52">
        <v>-955680</v>
      </c>
      <c r="I27" s="52">
        <v>22426254</v>
      </c>
      <c r="J27" s="52">
        <v>31825481</v>
      </c>
      <c r="K27" s="29">
        <f t="shared" si="0"/>
        <v>0</v>
      </c>
      <c r="L27" s="52">
        <v>2670580</v>
      </c>
      <c r="M27" s="52">
        <v>-70000</v>
      </c>
      <c r="N27" s="52">
        <v>294477848419</v>
      </c>
    </row>
    <row r="28" spans="1:14">
      <c r="A28" s="26">
        <f>'法人一覧(25)'!A29</f>
        <v>26</v>
      </c>
      <c r="B28" s="2" t="str">
        <f>'法人一覧(25)'!B29</f>
        <v>文部科学省</v>
      </c>
      <c r="C28" s="2" t="str">
        <f>'法人一覧(25)'!C29</f>
        <v>理化学研究所</v>
      </c>
      <c r="D28" s="52">
        <v>101405391762</v>
      </c>
      <c r="E28" s="52">
        <v>15499248962</v>
      </c>
      <c r="F28" s="52">
        <v>18363608</v>
      </c>
      <c r="G28" s="52">
        <v>0</v>
      </c>
      <c r="H28" s="52">
        <v>83703773</v>
      </c>
      <c r="I28" s="52">
        <v>-765863</v>
      </c>
      <c r="J28" s="52">
        <v>997729934</v>
      </c>
      <c r="K28" s="29">
        <f t="shared" si="0"/>
        <v>0</v>
      </c>
      <c r="L28" s="52">
        <v>2864333205</v>
      </c>
      <c r="M28" s="52">
        <v>-28389500</v>
      </c>
      <c r="N28" s="52">
        <v>120839615881</v>
      </c>
    </row>
    <row r="29" spans="1:14">
      <c r="A29" s="26">
        <f>'法人一覧(25)'!A30</f>
        <v>27</v>
      </c>
      <c r="B29" s="2" t="str">
        <f>'法人一覧(25)'!B30</f>
        <v>文部科学省</v>
      </c>
      <c r="C29" s="2" t="str">
        <f>'法人一覧(25)'!C30</f>
        <v>宇宙航空研究開発機構</v>
      </c>
      <c r="D29" s="52">
        <v>187165119834</v>
      </c>
      <c r="E29" s="52">
        <v>25466354425</v>
      </c>
      <c r="F29" s="52">
        <v>296885</v>
      </c>
      <c r="G29" s="52">
        <v>1039633</v>
      </c>
      <c r="H29" s="52">
        <v>572595043</v>
      </c>
      <c r="I29" s="52">
        <v>4289296</v>
      </c>
      <c r="J29" s="52">
        <v>968918073</v>
      </c>
      <c r="K29" s="29">
        <f t="shared" si="0"/>
        <v>0</v>
      </c>
      <c r="L29" s="52">
        <v>2009046113</v>
      </c>
      <c r="M29" s="52">
        <v>-2457222380</v>
      </c>
      <c r="N29" s="52">
        <v>213730436922</v>
      </c>
    </row>
    <row r="30" spans="1:14">
      <c r="A30" s="26">
        <f>'法人一覧(25)'!A31</f>
        <v>28</v>
      </c>
      <c r="B30" s="2" t="str">
        <f>'法人一覧(25)'!B31</f>
        <v>文部科学省</v>
      </c>
      <c r="C30" s="2" t="str">
        <f>'法人一覧(25)'!C31</f>
        <v>日本スポーツ振興センター</v>
      </c>
      <c r="D30" s="52">
        <v>-3479207623</v>
      </c>
      <c r="E30" s="52">
        <v>2771377591</v>
      </c>
      <c r="F30" s="52">
        <v>0</v>
      </c>
      <c r="G30" s="52">
        <v>390479</v>
      </c>
      <c r="H30" s="52">
        <v>107589544</v>
      </c>
      <c r="I30" s="52">
        <v>19735867</v>
      </c>
      <c r="J30" s="52">
        <v>-724959658</v>
      </c>
      <c r="K30" s="29">
        <f t="shared" si="0"/>
        <v>0</v>
      </c>
      <c r="L30" s="52">
        <v>1437251091</v>
      </c>
      <c r="M30" s="52">
        <v>-10181685669</v>
      </c>
      <c r="N30" s="52">
        <v>-10049508378</v>
      </c>
    </row>
    <row r="31" spans="1:14">
      <c r="A31" s="26">
        <f>'法人一覧(25)'!A32</f>
        <v>29</v>
      </c>
      <c r="B31" s="2" t="str">
        <f>'法人一覧(25)'!B32</f>
        <v>文部科学省</v>
      </c>
      <c r="C31" s="2" t="str">
        <f>'法人一覧(25)'!C32</f>
        <v>日本芸術文化振興会</v>
      </c>
      <c r="D31" s="52">
        <v>12815723475</v>
      </c>
      <c r="E31" s="52">
        <v>2313363942</v>
      </c>
      <c r="F31" s="52">
        <v>0</v>
      </c>
      <c r="G31" s="52">
        <v>0</v>
      </c>
      <c r="H31" s="52">
        <v>522433</v>
      </c>
      <c r="I31" s="52">
        <v>20513837</v>
      </c>
      <c r="J31" s="52">
        <v>-9295764</v>
      </c>
      <c r="K31" s="29">
        <f t="shared" si="0"/>
        <v>0</v>
      </c>
      <c r="L31" s="52">
        <v>1500980492</v>
      </c>
      <c r="M31" s="52">
        <v>-190000</v>
      </c>
      <c r="N31" s="52">
        <v>16641618415</v>
      </c>
    </row>
    <row r="32" spans="1:14">
      <c r="A32" s="26">
        <f>'法人一覧(25)'!A33</f>
        <v>30</v>
      </c>
      <c r="B32" s="2" t="str">
        <f>'法人一覧(25)'!B33</f>
        <v>文部科学省</v>
      </c>
      <c r="C32" s="2" t="str">
        <f>'法人一覧(25)'!C33</f>
        <v>日本学生支援機構</v>
      </c>
      <c r="D32" s="52">
        <v>64409872537</v>
      </c>
      <c r="E32" s="52">
        <v>1046212436</v>
      </c>
      <c r="F32" s="52">
        <v>0</v>
      </c>
      <c r="G32" s="52">
        <v>0</v>
      </c>
      <c r="H32" s="52">
        <v>23705404</v>
      </c>
      <c r="I32" s="52">
        <v>-1433009</v>
      </c>
      <c r="J32" s="52">
        <v>298163000</v>
      </c>
      <c r="K32" s="29">
        <f t="shared" si="0"/>
        <v>0</v>
      </c>
      <c r="L32" s="52">
        <v>11952740082</v>
      </c>
      <c r="M32" s="52">
        <v>0</v>
      </c>
      <c r="N32" s="52">
        <v>77729260450</v>
      </c>
    </row>
    <row r="33" spans="1:14">
      <c r="A33" s="26">
        <f>'法人一覧(25)'!A34</f>
        <v>31</v>
      </c>
      <c r="B33" s="2" t="str">
        <f>'法人一覧(25)'!B34</f>
        <v>文部科学省</v>
      </c>
      <c r="C33" s="2" t="str">
        <f>'法人一覧(25)'!C34</f>
        <v>海洋研究開発機構</v>
      </c>
      <c r="D33" s="52">
        <v>40232814526</v>
      </c>
      <c r="E33" s="52">
        <v>5721984275</v>
      </c>
      <c r="F33" s="52">
        <v>0</v>
      </c>
      <c r="G33" s="52">
        <v>0</v>
      </c>
      <c r="H33" s="52">
        <v>6295059</v>
      </c>
      <c r="I33" s="52">
        <v>22982253</v>
      </c>
      <c r="J33" s="52">
        <v>2344496489</v>
      </c>
      <c r="K33" s="29">
        <f t="shared" si="0"/>
        <v>0</v>
      </c>
      <c r="L33" s="52">
        <v>1919772654</v>
      </c>
      <c r="M33" s="52">
        <v>-13094500</v>
      </c>
      <c r="N33" s="52">
        <v>50235250756</v>
      </c>
    </row>
    <row r="34" spans="1:14">
      <c r="A34" s="26">
        <f>'法人一覧(25)'!A35</f>
        <v>32</v>
      </c>
      <c r="B34" s="2" t="str">
        <f>'法人一覧(25)'!B35</f>
        <v>文部科学省</v>
      </c>
      <c r="C34" s="2" t="str">
        <f>'法人一覧(25)'!C35</f>
        <v>国立高等専門学校機構</v>
      </c>
      <c r="D34" s="52">
        <v>64794873776</v>
      </c>
      <c r="E34" s="52">
        <v>7921749824</v>
      </c>
      <c r="F34" s="52">
        <v>434300734</v>
      </c>
      <c r="G34" s="52">
        <v>4993623</v>
      </c>
      <c r="H34" s="52">
        <v>182991344</v>
      </c>
      <c r="I34" s="52">
        <v>321930164</v>
      </c>
      <c r="J34" s="52">
        <v>-5308486058</v>
      </c>
      <c r="K34" s="29">
        <f t="shared" si="0"/>
        <v>0</v>
      </c>
      <c r="L34" s="52">
        <v>1729540666</v>
      </c>
      <c r="M34" s="52">
        <v>0</v>
      </c>
      <c r="N34" s="52">
        <v>70081894073</v>
      </c>
    </row>
    <row r="35" spans="1:14">
      <c r="A35" s="26">
        <f>'法人一覧(25)'!A36</f>
        <v>33</v>
      </c>
      <c r="B35" s="2" t="str">
        <f>'法人一覧(25)'!B36</f>
        <v>文部科学省</v>
      </c>
      <c r="C35" s="2" t="str">
        <f>'法人一覧(25)'!C36</f>
        <v>大学評価・学位授与機構</v>
      </c>
      <c r="D35" s="52">
        <v>1263267413</v>
      </c>
      <c r="E35" s="52">
        <v>134021308</v>
      </c>
      <c r="F35" s="52">
        <v>0</v>
      </c>
      <c r="G35" s="52">
        <v>0</v>
      </c>
      <c r="H35" s="52">
        <v>0</v>
      </c>
      <c r="I35" s="52">
        <v>-4620282</v>
      </c>
      <c r="J35" s="52">
        <v>17370253</v>
      </c>
      <c r="K35" s="29">
        <f t="shared" si="0"/>
        <v>0</v>
      </c>
      <c r="L35" s="52">
        <v>45884567</v>
      </c>
      <c r="M35" s="52">
        <v>0</v>
      </c>
      <c r="N35" s="52">
        <v>1455923259</v>
      </c>
    </row>
    <row r="36" spans="1:14">
      <c r="A36" s="26">
        <f>'法人一覧(25)'!A37</f>
        <v>34</v>
      </c>
      <c r="B36" s="2" t="str">
        <f>'法人一覧(25)'!B37</f>
        <v>文部科学省</v>
      </c>
      <c r="C36" s="2" t="str">
        <f>'法人一覧(25)'!C37</f>
        <v>国立大学財務・経営センター</v>
      </c>
      <c r="D36" s="52">
        <v>-804852542</v>
      </c>
      <c r="E36" s="52">
        <v>35888771</v>
      </c>
      <c r="F36" s="52">
        <v>0</v>
      </c>
      <c r="G36" s="52">
        <v>0</v>
      </c>
      <c r="H36" s="52">
        <v>0</v>
      </c>
      <c r="I36" s="52">
        <v>2231562</v>
      </c>
      <c r="J36" s="52">
        <v>3053143</v>
      </c>
      <c r="K36" s="29">
        <f t="shared" si="0"/>
        <v>0</v>
      </c>
      <c r="L36" s="52">
        <v>6499905</v>
      </c>
      <c r="M36" s="52">
        <v>0</v>
      </c>
      <c r="N36" s="52">
        <v>-757179161</v>
      </c>
    </row>
    <row r="37" spans="1:14">
      <c r="A37" s="26">
        <f>'法人一覧(25)'!A38</f>
        <v>35</v>
      </c>
      <c r="B37" s="2" t="str">
        <f>'法人一覧(25)'!B38</f>
        <v>文部科学省</v>
      </c>
      <c r="C37" s="2" t="str">
        <f>'法人一覧(25)'!C38</f>
        <v>日本原子力研究開発機構</v>
      </c>
      <c r="D37" s="52">
        <v>155148654038</v>
      </c>
      <c r="E37" s="52">
        <v>18309281066</v>
      </c>
      <c r="F37" s="52">
        <v>2242680687</v>
      </c>
      <c r="G37" s="52">
        <v>12139016</v>
      </c>
      <c r="H37" s="52">
        <v>-105833568</v>
      </c>
      <c r="I37" s="52">
        <v>-24529415</v>
      </c>
      <c r="J37" s="52">
        <v>-8531255670</v>
      </c>
      <c r="K37" s="29">
        <f t="shared" si="0"/>
        <v>0</v>
      </c>
      <c r="L37" s="52">
        <v>4502769198</v>
      </c>
      <c r="M37" s="52">
        <v>-62748800</v>
      </c>
      <c r="N37" s="52">
        <v>171491156552</v>
      </c>
    </row>
    <row r="38" spans="1:14">
      <c r="A38" s="26">
        <f>'法人一覧(25)'!A39</f>
        <v>36</v>
      </c>
      <c r="B38" s="2" t="str">
        <f>'法人一覧(25)'!B39</f>
        <v>厚生労働省</v>
      </c>
      <c r="C38" s="2" t="str">
        <f>'法人一覧(25)'!C39</f>
        <v>国立健康・栄養研究所</v>
      </c>
      <c r="D38" s="52">
        <v>569687238</v>
      </c>
      <c r="E38" s="52">
        <v>0</v>
      </c>
      <c r="F38" s="52">
        <v>0</v>
      </c>
      <c r="G38" s="52">
        <v>0</v>
      </c>
      <c r="H38" s="52">
        <v>0</v>
      </c>
      <c r="I38" s="52">
        <v>-1045151</v>
      </c>
      <c r="J38" s="52">
        <v>-52992882</v>
      </c>
      <c r="K38" s="29">
        <f t="shared" si="0"/>
        <v>0</v>
      </c>
      <c r="L38" s="52">
        <v>107854142</v>
      </c>
      <c r="M38" s="52">
        <v>0</v>
      </c>
      <c r="N38" s="52">
        <v>623503347</v>
      </c>
    </row>
    <row r="39" spans="1:14">
      <c r="A39" s="26">
        <f>'法人一覧(25)'!A40</f>
        <v>37</v>
      </c>
      <c r="B39" s="2" t="str">
        <f>'法人一覧(25)'!B40</f>
        <v>厚生労働省</v>
      </c>
      <c r="C39" s="2" t="str">
        <f>'法人一覧(25)'!C40</f>
        <v>労働安全衛生総合研究所</v>
      </c>
      <c r="D39" s="52">
        <v>1948511281</v>
      </c>
      <c r="E39" s="52">
        <v>251397690</v>
      </c>
      <c r="F39" s="52">
        <v>0</v>
      </c>
      <c r="G39" s="52">
        <v>0</v>
      </c>
      <c r="H39" s="52">
        <v>0</v>
      </c>
      <c r="I39" s="52">
        <v>3119338</v>
      </c>
      <c r="J39" s="52">
        <v>15693111</v>
      </c>
      <c r="K39" s="29">
        <f t="shared" si="0"/>
        <v>0</v>
      </c>
      <c r="L39" s="52">
        <v>64176036</v>
      </c>
      <c r="M39" s="52">
        <v>0</v>
      </c>
      <c r="N39" s="52">
        <v>2282897456</v>
      </c>
    </row>
    <row r="40" spans="1:14">
      <c r="A40" s="26">
        <f>'法人一覧(25)'!A41</f>
        <v>38</v>
      </c>
      <c r="B40" s="2" t="str">
        <f>'法人一覧(25)'!B41</f>
        <v>厚生労働省</v>
      </c>
      <c r="C40" s="2" t="str">
        <f>'法人一覧(25)'!C41</f>
        <v>勤労者退職金共済機構</v>
      </c>
      <c r="D40" s="52">
        <v>-174968760424</v>
      </c>
      <c r="E40" s="52">
        <v>0</v>
      </c>
      <c r="F40" s="52">
        <v>0</v>
      </c>
      <c r="G40" s="52">
        <v>0</v>
      </c>
      <c r="H40" s="52">
        <v>0</v>
      </c>
      <c r="I40" s="52">
        <v>141717</v>
      </c>
      <c r="J40" s="52">
        <v>-120795483</v>
      </c>
      <c r="K40" s="29">
        <f t="shared" si="0"/>
        <v>0</v>
      </c>
      <c r="L40" s="52">
        <v>12596</v>
      </c>
      <c r="M40" s="52">
        <v>0</v>
      </c>
      <c r="N40" s="52">
        <v>-175089401594</v>
      </c>
    </row>
    <row r="41" spans="1:14">
      <c r="A41" s="26">
        <f>'法人一覧(25)'!A42</f>
        <v>39</v>
      </c>
      <c r="B41" s="2" t="str">
        <f>'法人一覧(25)'!B42</f>
        <v>厚生労働省</v>
      </c>
      <c r="C41" s="2" t="str">
        <f>'法人一覧(25)'!C42</f>
        <v>高齢・障害・求職者雇用支援機構</v>
      </c>
      <c r="D41" s="52">
        <v>62679945997</v>
      </c>
      <c r="E41" s="52">
        <v>8123771430</v>
      </c>
      <c r="F41" s="52">
        <v>1438320171</v>
      </c>
      <c r="G41" s="52">
        <v>210042418</v>
      </c>
      <c r="H41" s="52">
        <v>2570834076</v>
      </c>
      <c r="I41" s="52">
        <v>144528994</v>
      </c>
      <c r="J41" s="52">
        <v>-10977107264</v>
      </c>
      <c r="K41" s="29">
        <f t="shared" si="0"/>
        <v>0</v>
      </c>
      <c r="L41" s="52">
        <v>2955203664</v>
      </c>
      <c r="M41" s="52">
        <v>0</v>
      </c>
      <c r="N41" s="52">
        <v>67145539486</v>
      </c>
    </row>
    <row r="42" spans="1:14">
      <c r="A42" s="26">
        <f>'法人一覧(25)'!A43</f>
        <v>40</v>
      </c>
      <c r="B42" s="2" t="str">
        <f>'法人一覧(25)'!B43</f>
        <v>厚生労働省</v>
      </c>
      <c r="C42" s="2" t="str">
        <f>'法人一覧(25)'!C43</f>
        <v>福祉医療機構</v>
      </c>
      <c r="D42" s="52">
        <v>10285666388</v>
      </c>
      <c r="E42" s="52">
        <v>24897931</v>
      </c>
      <c r="F42" s="52">
        <v>371184873</v>
      </c>
      <c r="G42" s="52">
        <v>0</v>
      </c>
      <c r="H42" s="52">
        <v>38183</v>
      </c>
      <c r="I42" s="52">
        <v>10375462</v>
      </c>
      <c r="J42" s="52">
        <v>-353533581</v>
      </c>
      <c r="K42" s="29">
        <f t="shared" si="0"/>
        <v>0</v>
      </c>
      <c r="L42" s="52">
        <v>9010032728</v>
      </c>
      <c r="M42" s="52">
        <v>-520631</v>
      </c>
      <c r="N42" s="52">
        <v>19348141353</v>
      </c>
    </row>
    <row r="43" spans="1:14">
      <c r="A43" s="26">
        <f>'法人一覧(25)'!A44</f>
        <v>41</v>
      </c>
      <c r="B43" s="2" t="str">
        <f>'法人一覧(25)'!B44</f>
        <v>厚生労働省</v>
      </c>
      <c r="C43" s="2" t="str">
        <f>'法人一覧(25)'!C44</f>
        <v>国立重度知的障害者総合施設のぞみの園</v>
      </c>
      <c r="D43" s="52">
        <v>1463529376</v>
      </c>
      <c r="E43" s="52">
        <v>263501152</v>
      </c>
      <c r="F43" s="52">
        <v>0</v>
      </c>
      <c r="G43" s="52">
        <v>0</v>
      </c>
      <c r="H43" s="52">
        <v>64285</v>
      </c>
      <c r="I43" s="52">
        <v>5975223</v>
      </c>
      <c r="J43" s="52">
        <v>-341721400</v>
      </c>
      <c r="K43" s="29">
        <f t="shared" si="0"/>
        <v>0</v>
      </c>
      <c r="L43" s="52">
        <v>88916110</v>
      </c>
      <c r="M43" s="52">
        <v>0</v>
      </c>
      <c r="N43" s="52">
        <v>1480264746</v>
      </c>
    </row>
    <row r="44" spans="1:14">
      <c r="A44" s="26">
        <f>'法人一覧(25)'!A45</f>
        <v>42</v>
      </c>
      <c r="B44" s="2" t="str">
        <f>'法人一覧(25)'!B45</f>
        <v>厚生労働省</v>
      </c>
      <c r="C44" s="2" t="str">
        <f>'法人一覧(25)'!C45</f>
        <v>労働政策研究・研修機構</v>
      </c>
      <c r="D44" s="52">
        <v>2249533830</v>
      </c>
      <c r="E44" s="52">
        <v>141469186</v>
      </c>
      <c r="F44" s="52">
        <v>0</v>
      </c>
      <c r="G44" s="52">
        <v>16777</v>
      </c>
      <c r="H44" s="52">
        <v>5</v>
      </c>
      <c r="I44" s="52">
        <v>9232185</v>
      </c>
      <c r="J44" s="52">
        <v>-67122310</v>
      </c>
      <c r="K44" s="29">
        <f t="shared" si="0"/>
        <v>0</v>
      </c>
      <c r="L44" s="52">
        <v>42391798</v>
      </c>
      <c r="M44" s="52">
        <v>0</v>
      </c>
      <c r="N44" s="52">
        <v>2375521471</v>
      </c>
    </row>
    <row r="45" spans="1:14">
      <c r="A45" s="26">
        <f>'法人一覧(25)'!A46</f>
        <v>43</v>
      </c>
      <c r="B45" s="2" t="str">
        <f>'法人一覧(25)'!B46</f>
        <v>厚生労働省</v>
      </c>
      <c r="C45" s="2" t="str">
        <f>'法人一覧(25)'!C46</f>
        <v>労働者健康福祉機構</v>
      </c>
      <c r="D45" s="52">
        <v>24677228751</v>
      </c>
      <c r="E45" s="52">
        <v>709491094</v>
      </c>
      <c r="F45" s="52">
        <v>86014015</v>
      </c>
      <c r="G45" s="52">
        <v>0</v>
      </c>
      <c r="H45" s="52">
        <v>866474888</v>
      </c>
      <c r="I45" s="52">
        <v>23773170</v>
      </c>
      <c r="J45" s="52">
        <v>-5635350</v>
      </c>
      <c r="K45" s="29">
        <f t="shared" si="0"/>
        <v>0</v>
      </c>
      <c r="L45" s="52">
        <v>1378893700</v>
      </c>
      <c r="M45" s="52">
        <v>-13976807</v>
      </c>
      <c r="N45" s="52">
        <v>27722263461</v>
      </c>
    </row>
    <row r="46" spans="1:14">
      <c r="A46" s="26">
        <f>'法人一覧(25)'!A47</f>
        <v>44</v>
      </c>
      <c r="B46" s="2" t="str">
        <f>'法人一覧(25)'!B47</f>
        <v>厚生労働省</v>
      </c>
      <c r="C46" s="2" t="str">
        <f>'法人一覧(25)'!C47</f>
        <v>国立病院機構</v>
      </c>
      <c r="D46" s="52">
        <v>25641922520</v>
      </c>
      <c r="E46" s="52">
        <v>-15151016797</v>
      </c>
      <c r="F46" s="52">
        <v>-699713333</v>
      </c>
      <c r="G46" s="52">
        <v>0</v>
      </c>
      <c r="H46" s="52">
        <v>330097455</v>
      </c>
      <c r="I46" s="52">
        <v>0</v>
      </c>
      <c r="J46" s="52">
        <v>0</v>
      </c>
      <c r="K46" s="29">
        <f t="shared" si="0"/>
        <v>0</v>
      </c>
      <c r="L46" s="52">
        <v>2757392346</v>
      </c>
      <c r="M46" s="52">
        <v>0</v>
      </c>
      <c r="N46" s="52">
        <v>12878682191</v>
      </c>
    </row>
    <row r="47" spans="1:14">
      <c r="A47" s="26">
        <f>'法人一覧(25)'!A48</f>
        <v>45</v>
      </c>
      <c r="B47" s="2" t="str">
        <f>'法人一覧(25)'!B48</f>
        <v>厚生労働省</v>
      </c>
      <c r="C47" s="2" t="str">
        <f>'法人一覧(25)'!C48</f>
        <v>医薬品医療機器総合機構</v>
      </c>
      <c r="D47" s="52">
        <v>-362956122</v>
      </c>
      <c r="E47" s="52">
        <v>15397250</v>
      </c>
      <c r="F47" s="52">
        <v>0</v>
      </c>
      <c r="G47" s="52">
        <v>0</v>
      </c>
      <c r="H47" s="52">
        <v>22330182</v>
      </c>
      <c r="I47" s="52">
        <v>15864790</v>
      </c>
      <c r="J47" s="52">
        <v>80943191</v>
      </c>
      <c r="K47" s="29">
        <f t="shared" si="0"/>
        <v>0</v>
      </c>
      <c r="L47" s="52">
        <v>2912554</v>
      </c>
      <c r="M47" s="52">
        <v>0</v>
      </c>
      <c r="N47" s="52">
        <v>-225508155</v>
      </c>
    </row>
    <row r="48" spans="1:14">
      <c r="A48" s="26">
        <f>'法人一覧(25)'!A49</f>
        <v>46</v>
      </c>
      <c r="B48" s="2" t="str">
        <f>'法人一覧(25)'!B49</f>
        <v>厚生労働省</v>
      </c>
      <c r="C48" s="2" t="str">
        <f>'法人一覧(25)'!C49</f>
        <v>医薬基盤研究所</v>
      </c>
      <c r="D48" s="52">
        <v>6949666477</v>
      </c>
      <c r="E48" s="52">
        <v>549017042</v>
      </c>
      <c r="F48" s="52">
        <v>0</v>
      </c>
      <c r="G48" s="52">
        <v>0</v>
      </c>
      <c r="H48" s="52">
        <v>0</v>
      </c>
      <c r="I48" s="52">
        <v>12832399</v>
      </c>
      <c r="J48" s="52">
        <v>14302830</v>
      </c>
      <c r="K48" s="29">
        <f t="shared" si="0"/>
        <v>0</v>
      </c>
      <c r="L48" s="52">
        <v>331489019</v>
      </c>
      <c r="M48" s="52">
        <v>0</v>
      </c>
      <c r="N48" s="52">
        <v>7857307767</v>
      </c>
    </row>
    <row r="49" spans="1:14">
      <c r="A49" s="26">
        <f>'法人一覧(25)'!A50</f>
        <v>47</v>
      </c>
      <c r="B49" s="2" t="str">
        <f>'法人一覧(25)'!B50</f>
        <v>厚生労働省</v>
      </c>
      <c r="C49" s="2" t="str">
        <f>'法人一覧(25)'!C50</f>
        <v>年金・健康保険福祉施設整理機構</v>
      </c>
      <c r="D49" s="52">
        <v>-86652249361</v>
      </c>
      <c r="E49" s="52">
        <v>0</v>
      </c>
      <c r="F49" s="52">
        <v>0</v>
      </c>
      <c r="G49" s="52">
        <v>0</v>
      </c>
      <c r="H49" s="52">
        <v>0</v>
      </c>
      <c r="I49" s="52">
        <v>0</v>
      </c>
      <c r="J49" s="52">
        <v>12309362</v>
      </c>
      <c r="K49" s="29">
        <f t="shared" si="0"/>
        <v>1590544604</v>
      </c>
      <c r="L49" s="52">
        <v>460437083</v>
      </c>
      <c r="M49" s="52">
        <v>0</v>
      </c>
      <c r="N49" s="52">
        <v>-84588958312</v>
      </c>
    </row>
    <row r="50" spans="1:14">
      <c r="A50" s="26">
        <f>'法人一覧(25)'!A51</f>
        <v>48</v>
      </c>
      <c r="B50" s="2" t="str">
        <f>'法人一覧(25)'!B51</f>
        <v>厚生労働省</v>
      </c>
      <c r="C50" s="2" t="str">
        <f>'法人一覧(25)'!C51</f>
        <v>年金積立金管理運用</v>
      </c>
      <c r="D50" s="52">
        <v>-10193828992012</v>
      </c>
      <c r="E50" s="52">
        <v>0</v>
      </c>
      <c r="F50" s="52">
        <v>0</v>
      </c>
      <c r="G50" s="52">
        <v>0</v>
      </c>
      <c r="H50" s="52">
        <v>0</v>
      </c>
      <c r="I50" s="52">
        <v>0</v>
      </c>
      <c r="J50" s="52">
        <v>-4473750</v>
      </c>
      <c r="K50" s="29">
        <f t="shared" si="0"/>
        <v>0</v>
      </c>
      <c r="L50" s="52">
        <v>640000</v>
      </c>
      <c r="M50" s="52">
        <v>0</v>
      </c>
      <c r="N50" s="52">
        <v>-10193832825762</v>
      </c>
    </row>
    <row r="51" spans="1:14">
      <c r="A51" s="26">
        <f>'法人一覧(25)'!A52</f>
        <v>49</v>
      </c>
      <c r="B51" s="2" t="str">
        <f>'法人一覧(25)'!B52</f>
        <v>厚生労働省</v>
      </c>
      <c r="C51" s="2" t="str">
        <f>'法人一覧(25)'!C52</f>
        <v>国立がん研究センター</v>
      </c>
      <c r="D51" s="52">
        <v>10359238458</v>
      </c>
      <c r="E51" s="52">
        <v>1090972515</v>
      </c>
      <c r="F51" s="52">
        <v>0</v>
      </c>
      <c r="G51" s="52">
        <v>3200953</v>
      </c>
      <c r="H51" s="52">
        <v>793000</v>
      </c>
      <c r="I51" s="52">
        <v>0</v>
      </c>
      <c r="J51" s="52">
        <v>227904607</v>
      </c>
      <c r="K51" s="29">
        <f t="shared" si="0"/>
        <v>0</v>
      </c>
      <c r="L51" s="52">
        <v>600838358</v>
      </c>
      <c r="M51" s="52">
        <v>0</v>
      </c>
      <c r="N51" s="52">
        <v>12282947891</v>
      </c>
    </row>
    <row r="52" spans="1:14">
      <c r="A52" s="26">
        <f>'法人一覧(25)'!A53</f>
        <v>50</v>
      </c>
      <c r="B52" s="2" t="str">
        <f>'法人一覧(25)'!B53</f>
        <v>厚生労働省</v>
      </c>
      <c r="C52" s="2" t="str">
        <f>'法人一覧(25)'!C53</f>
        <v>国立循環器病研究センター</v>
      </c>
      <c r="D52" s="52">
        <v>5875950983</v>
      </c>
      <c r="E52" s="52">
        <v>527031486</v>
      </c>
      <c r="F52" s="52">
        <v>0</v>
      </c>
      <c r="G52" s="52">
        <v>0</v>
      </c>
      <c r="H52" s="52">
        <v>0</v>
      </c>
      <c r="I52" s="52">
        <v>0</v>
      </c>
      <c r="J52" s="52">
        <v>44247640</v>
      </c>
      <c r="K52" s="29">
        <f t="shared" si="0"/>
        <v>0</v>
      </c>
      <c r="L52" s="52">
        <v>190739778</v>
      </c>
      <c r="M52" s="52">
        <v>0</v>
      </c>
      <c r="N52" s="52">
        <v>6637969887</v>
      </c>
    </row>
    <row r="53" spans="1:14">
      <c r="A53" s="26">
        <f>'法人一覧(25)'!A54</f>
        <v>51</v>
      </c>
      <c r="B53" s="2" t="str">
        <f>'法人一覧(25)'!B54</f>
        <v>厚生労働省</v>
      </c>
      <c r="C53" s="2" t="str">
        <f>'法人一覧(25)'!C54</f>
        <v>国立精神・神経医療研究センター</v>
      </c>
      <c r="D53" s="52">
        <v>5327378909</v>
      </c>
      <c r="E53" s="52">
        <v>1113226926</v>
      </c>
      <c r="F53" s="52">
        <v>0</v>
      </c>
      <c r="G53" s="52">
        <v>2828518</v>
      </c>
      <c r="H53" s="52">
        <v>0</v>
      </c>
      <c r="I53" s="52">
        <v>0</v>
      </c>
      <c r="J53" s="52">
        <v>-43586753</v>
      </c>
      <c r="K53" s="29">
        <f t="shared" si="0"/>
        <v>0</v>
      </c>
      <c r="L53" s="52">
        <v>235042780</v>
      </c>
      <c r="M53" s="52">
        <v>0</v>
      </c>
      <c r="N53" s="52">
        <v>6634890380</v>
      </c>
    </row>
    <row r="54" spans="1:14">
      <c r="A54" s="26">
        <f>'法人一覧(25)'!A55</f>
        <v>52</v>
      </c>
      <c r="B54" s="2" t="str">
        <f>'法人一覧(25)'!B55</f>
        <v>厚生労働省</v>
      </c>
      <c r="C54" s="2" t="str">
        <f>'法人一覧(25)'!C55</f>
        <v>国立国際医療研究センター</v>
      </c>
      <c r="D54" s="52">
        <v>7040987189</v>
      </c>
      <c r="E54" s="52">
        <v>794296364</v>
      </c>
      <c r="F54" s="52">
        <v>0</v>
      </c>
      <c r="G54" s="52">
        <v>0</v>
      </c>
      <c r="H54" s="52">
        <v>15</v>
      </c>
      <c r="I54" s="52">
        <v>0</v>
      </c>
      <c r="J54" s="52">
        <v>-410089603</v>
      </c>
      <c r="K54" s="29">
        <f t="shared" si="0"/>
        <v>0</v>
      </c>
      <c r="L54" s="52">
        <v>445478140</v>
      </c>
      <c r="M54" s="52">
        <v>0</v>
      </c>
      <c r="N54" s="52">
        <v>7870672105</v>
      </c>
    </row>
    <row r="55" spans="1:14">
      <c r="A55" s="26">
        <f>'法人一覧(25)'!A56</f>
        <v>53</v>
      </c>
      <c r="B55" s="2" t="str">
        <f>'法人一覧(25)'!B56</f>
        <v>厚生労働省</v>
      </c>
      <c r="C55" s="2" t="str">
        <f>'法人一覧(25)'!C56</f>
        <v>国立成育医療研究センター</v>
      </c>
      <c r="D55" s="52">
        <v>5539738719</v>
      </c>
      <c r="E55" s="52">
        <v>447294681</v>
      </c>
      <c r="F55" s="52">
        <v>0</v>
      </c>
      <c r="G55" s="52">
        <v>0</v>
      </c>
      <c r="H55" s="52">
        <v>9977</v>
      </c>
      <c r="I55" s="52">
        <v>0</v>
      </c>
      <c r="J55" s="52">
        <v>109843083</v>
      </c>
      <c r="K55" s="29">
        <f t="shared" si="0"/>
        <v>0</v>
      </c>
      <c r="L55" s="52">
        <v>244652485</v>
      </c>
      <c r="M55" s="52">
        <v>0</v>
      </c>
      <c r="N55" s="52">
        <v>6341538945</v>
      </c>
    </row>
    <row r="56" spans="1:14">
      <c r="A56" s="26">
        <f>'法人一覧(25)'!A57</f>
        <v>54</v>
      </c>
      <c r="B56" s="2" t="str">
        <f>'法人一覧(25)'!B57</f>
        <v>厚生労働省</v>
      </c>
      <c r="C56" s="2" t="str">
        <f>'法人一覧(25)'!C57</f>
        <v>国立長寿医療研究センター</v>
      </c>
      <c r="D56" s="52">
        <v>3067962172</v>
      </c>
      <c r="E56" s="52">
        <v>823946310</v>
      </c>
      <c r="F56" s="52">
        <v>0</v>
      </c>
      <c r="G56" s="52">
        <v>0</v>
      </c>
      <c r="H56" s="52">
        <v>127797</v>
      </c>
      <c r="I56" s="52">
        <v>0</v>
      </c>
      <c r="J56" s="52">
        <v>-27779702</v>
      </c>
      <c r="K56" s="29">
        <f t="shared" si="0"/>
        <v>0</v>
      </c>
      <c r="L56" s="52">
        <v>60593574</v>
      </c>
      <c r="M56" s="52">
        <v>0</v>
      </c>
      <c r="N56" s="52">
        <v>3924850151</v>
      </c>
    </row>
    <row r="57" spans="1:14">
      <c r="A57" s="26">
        <f>'法人一覧(25)'!A58</f>
        <v>55</v>
      </c>
      <c r="B57" s="2" t="str">
        <f>'法人一覧(25)'!B58</f>
        <v>農林水産省</v>
      </c>
      <c r="C57" s="2" t="str">
        <f>'法人一覧(25)'!C58</f>
        <v>農林水産消費安全技術センター</v>
      </c>
      <c r="D57" s="52">
        <v>6239295481</v>
      </c>
      <c r="E57" s="52">
        <v>400855293</v>
      </c>
      <c r="F57" s="52">
        <v>9493947</v>
      </c>
      <c r="G57" s="52">
        <v>4154675</v>
      </c>
      <c r="H57" s="52">
        <v>8975956</v>
      </c>
      <c r="I57" s="52">
        <v>31664690</v>
      </c>
      <c r="J57" s="52">
        <v>-369203417</v>
      </c>
      <c r="K57" s="29">
        <f t="shared" si="0"/>
        <v>0</v>
      </c>
      <c r="L57" s="52">
        <v>444568516</v>
      </c>
      <c r="M57" s="52">
        <v>0</v>
      </c>
      <c r="N57" s="52">
        <v>6769805141</v>
      </c>
    </row>
    <row r="58" spans="1:14">
      <c r="A58" s="26">
        <f>'法人一覧(25)'!A59</f>
        <v>56</v>
      </c>
      <c r="B58" s="2" t="str">
        <f>'法人一覧(25)'!B59</f>
        <v>農林水産省</v>
      </c>
      <c r="C58" s="2" t="str">
        <f>'法人一覧(25)'!C59</f>
        <v>種苗管理センター</v>
      </c>
      <c r="D58" s="29">
        <v>2514272711</v>
      </c>
      <c r="E58" s="29">
        <v>260092885</v>
      </c>
      <c r="F58" s="29">
        <v>12038877</v>
      </c>
      <c r="G58" s="29">
        <v>0</v>
      </c>
      <c r="H58" s="29">
        <v>26587</v>
      </c>
      <c r="I58" s="29">
        <v>-3688840</v>
      </c>
      <c r="J58" s="29">
        <v>-203669430</v>
      </c>
      <c r="K58" s="29">
        <f t="shared" si="0"/>
        <v>0</v>
      </c>
      <c r="L58" s="29">
        <v>55238033</v>
      </c>
      <c r="M58" s="29">
        <v>0</v>
      </c>
      <c r="N58" s="29">
        <v>2634310823</v>
      </c>
    </row>
    <row r="59" spans="1:14">
      <c r="A59" s="26">
        <f>'法人一覧(25)'!A60</f>
        <v>57</v>
      </c>
      <c r="B59" s="2" t="str">
        <f>'法人一覧(25)'!B60</f>
        <v>農林水産省</v>
      </c>
      <c r="C59" s="2" t="str">
        <f>'法人一覧(25)'!C60</f>
        <v>家畜改良センター</v>
      </c>
      <c r="D59" s="29">
        <v>6707301165</v>
      </c>
      <c r="E59" s="29">
        <v>775574581</v>
      </c>
      <c r="F59" s="29">
        <v>0</v>
      </c>
      <c r="G59" s="29">
        <v>0</v>
      </c>
      <c r="H59" s="29">
        <v>21798490</v>
      </c>
      <c r="I59" s="29">
        <v>34103078</v>
      </c>
      <c r="J59" s="29">
        <v>-171827605</v>
      </c>
      <c r="K59" s="29">
        <f t="shared" si="0"/>
        <v>0</v>
      </c>
      <c r="L59" s="29">
        <v>245474993</v>
      </c>
      <c r="M59" s="29">
        <v>0</v>
      </c>
      <c r="N59" s="29">
        <v>7612424702</v>
      </c>
    </row>
    <row r="60" spans="1:14">
      <c r="A60" s="26">
        <f>'法人一覧(25)'!A61</f>
        <v>58</v>
      </c>
      <c r="B60" s="2" t="str">
        <f>'法人一覧(25)'!B61</f>
        <v>農林水産省</v>
      </c>
      <c r="C60" s="2" t="str">
        <f>'法人一覧(25)'!C61</f>
        <v>水産大学校</v>
      </c>
      <c r="D60" s="29">
        <v>1600762861</v>
      </c>
      <c r="E60" s="29">
        <v>614159130</v>
      </c>
      <c r="F60" s="29">
        <v>0</v>
      </c>
      <c r="G60" s="29">
        <v>0</v>
      </c>
      <c r="H60" s="29">
        <v>384100</v>
      </c>
      <c r="I60" s="29">
        <v>7026763</v>
      </c>
      <c r="J60" s="29">
        <v>-55714268</v>
      </c>
      <c r="K60" s="29">
        <f t="shared" si="0"/>
        <v>0</v>
      </c>
      <c r="L60" s="29">
        <v>71185762</v>
      </c>
      <c r="M60" s="29">
        <v>0</v>
      </c>
      <c r="N60" s="29">
        <v>2237804348</v>
      </c>
    </row>
    <row r="61" spans="1:14">
      <c r="A61" s="26">
        <f>'法人一覧(25)'!A62</f>
        <v>59</v>
      </c>
      <c r="B61" s="2" t="str">
        <f>'法人一覧(25)'!B62</f>
        <v>農林水産省</v>
      </c>
      <c r="C61" s="2" t="str">
        <f>'法人一覧(25)'!C62</f>
        <v>農業・食品産業技術総合研究機構</v>
      </c>
      <c r="D61" s="29">
        <v>39437942589</v>
      </c>
      <c r="E61" s="29">
        <v>3894628823</v>
      </c>
      <c r="F61" s="29">
        <v>34321829</v>
      </c>
      <c r="G61" s="29">
        <v>0</v>
      </c>
      <c r="H61" s="29">
        <v>327733265</v>
      </c>
      <c r="I61" s="29">
        <v>115818736</v>
      </c>
      <c r="J61" s="29">
        <v>-1408965299</v>
      </c>
      <c r="K61" s="29">
        <f t="shared" si="0"/>
        <v>0</v>
      </c>
      <c r="L61" s="29">
        <v>1849257042</v>
      </c>
      <c r="M61" s="29">
        <v>-70586000</v>
      </c>
      <c r="N61" s="29">
        <v>44180150985</v>
      </c>
    </row>
    <row r="62" spans="1:14">
      <c r="A62" s="26">
        <f>'法人一覧(25)'!A63</f>
        <v>60</v>
      </c>
      <c r="B62" s="2" t="str">
        <f>'法人一覧(25)'!B63</f>
        <v>農林水産省</v>
      </c>
      <c r="C62" s="2" t="str">
        <f>'法人一覧(25)'!C63</f>
        <v>農業生物資源研究所</v>
      </c>
      <c r="D62" s="29">
        <v>6641835196</v>
      </c>
      <c r="E62" s="29">
        <v>652690589</v>
      </c>
      <c r="F62" s="29">
        <v>3926802</v>
      </c>
      <c r="G62" s="29">
        <v>14222</v>
      </c>
      <c r="H62" s="29">
        <v>68090913</v>
      </c>
      <c r="I62" s="29">
        <v>17126728</v>
      </c>
      <c r="J62" s="29">
        <v>-196177681</v>
      </c>
      <c r="K62" s="29">
        <f t="shared" si="0"/>
        <v>0</v>
      </c>
      <c r="L62" s="29">
        <v>178040191</v>
      </c>
      <c r="M62" s="29">
        <v>0</v>
      </c>
      <c r="N62" s="29">
        <v>7365546960</v>
      </c>
    </row>
    <row r="63" spans="1:14">
      <c r="A63" s="26">
        <f>'法人一覧(25)'!A64</f>
        <v>61</v>
      </c>
      <c r="B63" s="2" t="str">
        <f>'法人一覧(25)'!B64</f>
        <v>農林水産省</v>
      </c>
      <c r="C63" s="2" t="str">
        <f>'法人一覧(25)'!C64</f>
        <v>農業環境技術研究所</v>
      </c>
      <c r="D63" s="29">
        <v>2929244208</v>
      </c>
      <c r="E63" s="29">
        <v>276630720</v>
      </c>
      <c r="F63" s="29">
        <v>0</v>
      </c>
      <c r="G63" s="29">
        <v>173783</v>
      </c>
      <c r="H63" s="29">
        <v>103795258</v>
      </c>
      <c r="I63" s="29">
        <v>11940083</v>
      </c>
      <c r="J63" s="29">
        <v>-106868866</v>
      </c>
      <c r="K63" s="29">
        <f t="shared" si="0"/>
        <v>0</v>
      </c>
      <c r="L63" s="29">
        <v>200334210</v>
      </c>
      <c r="M63" s="29">
        <v>0</v>
      </c>
      <c r="N63" s="29">
        <v>3415249396</v>
      </c>
    </row>
    <row r="64" spans="1:14">
      <c r="A64" s="26">
        <f>'法人一覧(25)'!A65</f>
        <v>62</v>
      </c>
      <c r="B64" s="2" t="str">
        <f>'法人一覧(25)'!B65</f>
        <v>農林水産省</v>
      </c>
      <c r="C64" s="2" t="str">
        <f>'法人一覧(25)'!C65</f>
        <v>国際農林水産業研究センター</v>
      </c>
      <c r="D64" s="29">
        <v>3379494618</v>
      </c>
      <c r="E64" s="29">
        <v>146486419</v>
      </c>
      <c r="F64" s="29">
        <v>0</v>
      </c>
      <c r="G64" s="29">
        <v>0</v>
      </c>
      <c r="H64" s="29">
        <v>0</v>
      </c>
      <c r="I64" s="29">
        <v>8479055</v>
      </c>
      <c r="J64" s="29">
        <v>-147514766</v>
      </c>
      <c r="K64" s="29">
        <f t="shared" si="0"/>
        <v>0</v>
      </c>
      <c r="L64" s="29">
        <v>46511455</v>
      </c>
      <c r="M64" s="29">
        <v>0</v>
      </c>
      <c r="N64" s="29">
        <v>3433456781</v>
      </c>
    </row>
    <row r="65" spans="1:14">
      <c r="A65" s="26">
        <f>'法人一覧(25)'!A66</f>
        <v>63</v>
      </c>
      <c r="B65" s="2" t="str">
        <f>'法人一覧(25)'!B66</f>
        <v>農林水産省</v>
      </c>
      <c r="C65" s="2" t="str">
        <f>'法人一覧(25)'!C66</f>
        <v>森林総合研究所</v>
      </c>
      <c r="D65" s="52">
        <v>43838828153</v>
      </c>
      <c r="E65" s="52">
        <v>789663659</v>
      </c>
      <c r="F65" s="52">
        <v>51173458</v>
      </c>
      <c r="G65" s="29">
        <v>0</v>
      </c>
      <c r="H65" s="52">
        <v>1828860656</v>
      </c>
      <c r="I65" s="52">
        <v>51629011</v>
      </c>
      <c r="J65" s="52">
        <v>-404669840</v>
      </c>
      <c r="K65" s="29">
        <f t="shared" si="0"/>
        <v>0</v>
      </c>
      <c r="L65" s="52">
        <v>5363253416</v>
      </c>
      <c r="M65" s="29">
        <v>0</v>
      </c>
      <c r="N65" s="52">
        <v>51518738513</v>
      </c>
    </row>
    <row r="66" spans="1:14">
      <c r="A66" s="26">
        <f>'法人一覧(25)'!A67</f>
        <v>64</v>
      </c>
      <c r="B66" s="2" t="str">
        <f>'法人一覧(25)'!B67</f>
        <v>農林水産省</v>
      </c>
      <c r="C66" s="2" t="str">
        <f>'法人一覧(25)'!C67</f>
        <v>水産総合研究センター</v>
      </c>
      <c r="D66" s="29">
        <v>14617260807</v>
      </c>
      <c r="E66" s="29">
        <v>3283663265</v>
      </c>
      <c r="F66" s="29">
        <v>67067029</v>
      </c>
      <c r="G66" s="29">
        <v>561401</v>
      </c>
      <c r="H66" s="29">
        <v>337576031</v>
      </c>
      <c r="I66" s="29">
        <v>37052765</v>
      </c>
      <c r="J66" s="29">
        <v>-785950436</v>
      </c>
      <c r="K66" s="29">
        <f t="shared" si="0"/>
        <v>0</v>
      </c>
      <c r="L66" s="29">
        <v>332438845</v>
      </c>
      <c r="M66" s="29">
        <v>0</v>
      </c>
      <c r="N66" s="29">
        <v>17889669707</v>
      </c>
    </row>
    <row r="67" spans="1:14">
      <c r="A67" s="26">
        <f>'法人一覧(25)'!A68</f>
        <v>65</v>
      </c>
      <c r="B67" s="2" t="str">
        <f>'法人一覧(25)'!B68</f>
        <v>農林水産省</v>
      </c>
      <c r="C67" s="2" t="str">
        <f>'法人一覧(25)'!C68</f>
        <v>農畜産業振興機構</v>
      </c>
      <c r="D67" s="29">
        <v>95090181042</v>
      </c>
      <c r="E67" s="29">
        <v>0</v>
      </c>
      <c r="F67" s="29">
        <v>0</v>
      </c>
      <c r="G67" s="29">
        <v>0</v>
      </c>
      <c r="H67" s="29">
        <v>0</v>
      </c>
      <c r="I67" s="29">
        <v>6946083</v>
      </c>
      <c r="J67" s="29">
        <v>-589913352</v>
      </c>
      <c r="K67" s="29">
        <f t="shared" si="0"/>
        <v>0</v>
      </c>
      <c r="L67" s="29">
        <v>198135761</v>
      </c>
      <c r="M67" s="29">
        <v>-29679984647</v>
      </c>
      <c r="N67" s="29">
        <v>65025364887</v>
      </c>
    </row>
    <row r="68" spans="1:14">
      <c r="A68" s="26">
        <f>'法人一覧(25)'!A69</f>
        <v>66</v>
      </c>
      <c r="B68" s="2" t="str">
        <f>'法人一覧(25)'!B69</f>
        <v>農林水産省</v>
      </c>
      <c r="C68" s="2" t="str">
        <f>'法人一覧(25)'!C69</f>
        <v>農業者年金基金</v>
      </c>
      <c r="D68" s="29">
        <v>123518497207</v>
      </c>
      <c r="E68" s="29">
        <v>0</v>
      </c>
      <c r="F68" s="29">
        <v>0</v>
      </c>
      <c r="G68" s="29">
        <v>0</v>
      </c>
      <c r="H68" s="29">
        <v>0</v>
      </c>
      <c r="I68" s="29">
        <v>6590268</v>
      </c>
      <c r="J68" s="29">
        <v>-51209740</v>
      </c>
      <c r="K68" s="29">
        <f t="shared" ref="K68:K103" si="1">N68-SUM(D68:J68,L68:M68)</f>
        <v>0</v>
      </c>
      <c r="L68" s="29">
        <v>0</v>
      </c>
      <c r="M68" s="29">
        <v>-4450</v>
      </c>
      <c r="N68" s="29">
        <v>123473873285</v>
      </c>
    </row>
    <row r="69" spans="1:14">
      <c r="A69" s="26">
        <f>'法人一覧(25)'!A70</f>
        <v>67</v>
      </c>
      <c r="B69" s="2" t="str">
        <f>'法人一覧(25)'!B70</f>
        <v>農林水産省</v>
      </c>
      <c r="C69" s="2" t="str">
        <f>'法人一覧(25)'!C70</f>
        <v>農林漁業信用基金</v>
      </c>
      <c r="D69" s="29">
        <v>2188619155</v>
      </c>
      <c r="E69" s="29">
        <v>0</v>
      </c>
      <c r="F69" s="29">
        <v>0</v>
      </c>
      <c r="G69" s="29">
        <v>0</v>
      </c>
      <c r="H69" s="29">
        <v>0</v>
      </c>
      <c r="I69" s="29">
        <v>0</v>
      </c>
      <c r="J69" s="29">
        <v>-83880408</v>
      </c>
      <c r="K69" s="29">
        <f t="shared" si="1"/>
        <v>0</v>
      </c>
      <c r="L69" s="29">
        <v>1095889161</v>
      </c>
      <c r="M69" s="29">
        <v>0</v>
      </c>
      <c r="N69" s="29">
        <v>3200627908</v>
      </c>
    </row>
    <row r="70" spans="1:14">
      <c r="A70" s="26">
        <f>'法人一覧(25)'!A71</f>
        <v>68</v>
      </c>
      <c r="B70" s="2" t="str">
        <f>'法人一覧(25)'!B71</f>
        <v>経済産業省</v>
      </c>
      <c r="C70" s="2" t="str">
        <f>'法人一覧(25)'!C71</f>
        <v>経済産業研究所</v>
      </c>
      <c r="D70" s="29">
        <v>1301715740</v>
      </c>
      <c r="E70" s="29">
        <v>0</v>
      </c>
      <c r="F70" s="29">
        <v>0</v>
      </c>
      <c r="G70" s="29">
        <v>0</v>
      </c>
      <c r="H70" s="29">
        <v>0</v>
      </c>
      <c r="I70" s="29">
        <v>155131</v>
      </c>
      <c r="J70" s="29">
        <v>-13441409</v>
      </c>
      <c r="K70" s="29">
        <f t="shared" si="1"/>
        <v>0</v>
      </c>
      <c r="L70" s="29">
        <v>106649200</v>
      </c>
      <c r="M70" s="29">
        <v>0</v>
      </c>
      <c r="N70" s="29">
        <v>1395078662</v>
      </c>
    </row>
    <row r="71" spans="1:14">
      <c r="A71" s="26">
        <f>'法人一覧(25)'!A72</f>
        <v>69</v>
      </c>
      <c r="B71" s="2" t="str">
        <f>'法人一覧(25)'!B72</f>
        <v>経済産業省</v>
      </c>
      <c r="C71" s="2" t="str">
        <f>'法人一覧(25)'!C72</f>
        <v>工業所有権情報・研修館</v>
      </c>
      <c r="D71" s="29">
        <v>7910551578</v>
      </c>
      <c r="E71" s="29">
        <v>0</v>
      </c>
      <c r="F71" s="29">
        <v>0</v>
      </c>
      <c r="G71" s="29">
        <v>0</v>
      </c>
      <c r="H71" s="29">
        <v>0</v>
      </c>
      <c r="I71" s="29">
        <v>-4062599</v>
      </c>
      <c r="J71" s="29">
        <v>-206559193</v>
      </c>
      <c r="K71" s="29">
        <f t="shared" si="1"/>
        <v>0</v>
      </c>
      <c r="L71" s="29">
        <v>128932319</v>
      </c>
      <c r="M71" s="29">
        <v>0</v>
      </c>
      <c r="N71" s="29">
        <v>7828862105</v>
      </c>
    </row>
    <row r="72" spans="1:14">
      <c r="A72" s="26">
        <f>'法人一覧(25)'!A73</f>
        <v>70</v>
      </c>
      <c r="B72" s="2" t="str">
        <f>'法人一覧(25)'!B73</f>
        <v>経済産業省</v>
      </c>
      <c r="C72" s="2" t="str">
        <f>'法人一覧(25)'!C73</f>
        <v>日本貿易保険</v>
      </c>
      <c r="D72" s="29">
        <v>-15427000000</v>
      </c>
      <c r="E72" s="29">
        <v>0</v>
      </c>
      <c r="F72" s="29">
        <v>0</v>
      </c>
      <c r="G72" s="29">
        <v>0</v>
      </c>
      <c r="H72" s="29">
        <v>0</v>
      </c>
      <c r="I72" s="29">
        <v>0</v>
      </c>
      <c r="J72" s="29">
        <v>33000000</v>
      </c>
      <c r="K72" s="29">
        <f t="shared" si="1"/>
        <v>0</v>
      </c>
      <c r="L72" s="29">
        <v>668000000</v>
      </c>
      <c r="M72" s="29">
        <v>0</v>
      </c>
      <c r="N72" s="29">
        <v>-14726000000</v>
      </c>
    </row>
    <row r="73" spans="1:14">
      <c r="A73" s="26">
        <f>'法人一覧(25)'!A74</f>
        <v>71</v>
      </c>
      <c r="B73" s="2" t="str">
        <f>'法人一覧(25)'!B74</f>
        <v>経済産業省</v>
      </c>
      <c r="C73" s="2" t="str">
        <f>'法人一覧(25)'!C74</f>
        <v>産業技術総合研究所</v>
      </c>
      <c r="D73" s="29">
        <v>66673220704</v>
      </c>
      <c r="E73" s="29">
        <v>12682330932</v>
      </c>
      <c r="F73" s="29">
        <v>611662856</v>
      </c>
      <c r="G73" s="29">
        <v>0</v>
      </c>
      <c r="H73" s="29">
        <v>153893551</v>
      </c>
      <c r="I73" s="29">
        <v>302643169</v>
      </c>
      <c r="J73" s="29">
        <v>-5950697141</v>
      </c>
      <c r="K73" s="29">
        <f t="shared" si="1"/>
        <v>0</v>
      </c>
      <c r="L73" s="29">
        <v>2033219304</v>
      </c>
      <c r="M73" s="29">
        <v>0</v>
      </c>
      <c r="N73" s="29">
        <v>76506273375</v>
      </c>
    </row>
    <row r="74" spans="1:14">
      <c r="A74" s="26">
        <f>'法人一覧(25)'!A75</f>
        <v>72</v>
      </c>
      <c r="B74" s="2" t="str">
        <f>'法人一覧(25)'!B75</f>
        <v>経済産業省</v>
      </c>
      <c r="C74" s="2" t="str">
        <f>'法人一覧(25)'!C75</f>
        <v>製品評価技術基盤機構</v>
      </c>
      <c r="D74" s="29">
        <v>6405442803</v>
      </c>
      <c r="E74" s="29">
        <v>520439249</v>
      </c>
      <c r="F74" s="29">
        <v>0</v>
      </c>
      <c r="G74" s="29">
        <v>0</v>
      </c>
      <c r="H74" s="29">
        <v>41371205</v>
      </c>
      <c r="I74" s="29">
        <v>29845402</v>
      </c>
      <c r="J74" s="29">
        <v>-183119020</v>
      </c>
      <c r="K74" s="29">
        <f t="shared" si="1"/>
        <v>0</v>
      </c>
      <c r="L74" s="29">
        <v>372467183</v>
      </c>
      <c r="M74" s="29">
        <v>0</v>
      </c>
      <c r="N74" s="29">
        <v>7186446822</v>
      </c>
    </row>
    <row r="75" spans="1:14">
      <c r="A75" s="26">
        <f>'法人一覧(25)'!A76</f>
        <v>73</v>
      </c>
      <c r="B75" s="2" t="str">
        <f>'法人一覧(25)'!B76</f>
        <v>経済産業省</v>
      </c>
      <c r="C75" s="2" t="str">
        <f>'法人一覧(25)'!C76</f>
        <v>新エネルギー・産業技術総合開発機構</v>
      </c>
      <c r="D75" s="52">
        <v>92377240442</v>
      </c>
      <c r="E75" s="52">
        <v>1200747</v>
      </c>
      <c r="F75" s="52">
        <v>5050000</v>
      </c>
      <c r="G75" s="29">
        <v>0</v>
      </c>
      <c r="H75" s="52">
        <v>109533</v>
      </c>
      <c r="I75" s="52">
        <v>37472949</v>
      </c>
      <c r="J75" s="52">
        <v>231897350</v>
      </c>
      <c r="K75" s="29">
        <f t="shared" si="1"/>
        <v>0</v>
      </c>
      <c r="L75" s="52">
        <v>1977981261</v>
      </c>
      <c r="M75" s="52">
        <v>-726459355</v>
      </c>
      <c r="N75" s="52">
        <v>93904492927</v>
      </c>
    </row>
    <row r="76" spans="1:14">
      <c r="A76" s="26">
        <f>'法人一覧(25)'!A77</f>
        <v>74</v>
      </c>
      <c r="B76" s="2" t="str">
        <f>'法人一覧(25)'!B77</f>
        <v>経済産業省</v>
      </c>
      <c r="C76" s="2" t="str">
        <f>'法人一覧(25)'!C77</f>
        <v>日本貿易振興機構</v>
      </c>
      <c r="D76" s="52">
        <v>27223529324</v>
      </c>
      <c r="E76" s="52">
        <v>420318800</v>
      </c>
      <c r="F76" s="29">
        <v>0</v>
      </c>
      <c r="G76" s="52">
        <v>-6435082</v>
      </c>
      <c r="H76" s="52">
        <v>61491461</v>
      </c>
      <c r="I76" s="52">
        <v>67713214</v>
      </c>
      <c r="J76" s="52">
        <v>-3126613625</v>
      </c>
      <c r="K76" s="29">
        <f t="shared" si="1"/>
        <v>0</v>
      </c>
      <c r="L76" s="52">
        <v>310361544</v>
      </c>
      <c r="M76" s="29">
        <v>0</v>
      </c>
      <c r="N76" s="52">
        <v>24950365636</v>
      </c>
    </row>
    <row r="77" spans="1:14">
      <c r="A77" s="26">
        <f>'法人一覧(25)'!A78</f>
        <v>75</v>
      </c>
      <c r="B77" s="2" t="str">
        <f>'法人一覧(25)'!B78</f>
        <v>経済産業省</v>
      </c>
      <c r="C77" s="2" t="str">
        <f>'法人一覧(25)'!C78</f>
        <v>情報処理推進機構</v>
      </c>
      <c r="D77" s="52">
        <v>3724587538</v>
      </c>
      <c r="E77" s="52">
        <v>344431865</v>
      </c>
      <c r="F77" s="29">
        <v>0</v>
      </c>
      <c r="G77" s="29">
        <v>0</v>
      </c>
      <c r="H77" s="52">
        <v>3552806</v>
      </c>
      <c r="I77" s="52">
        <v>11115779</v>
      </c>
      <c r="J77" s="52">
        <v>412706</v>
      </c>
      <c r="K77" s="29">
        <f t="shared" si="1"/>
        <v>0</v>
      </c>
      <c r="L77" s="52">
        <v>112489324</v>
      </c>
      <c r="M77" s="52">
        <v>-3800000</v>
      </c>
      <c r="N77" s="52">
        <v>4192790018</v>
      </c>
    </row>
    <row r="78" spans="1:14">
      <c r="A78" s="26">
        <f>'法人一覧(25)'!A79</f>
        <v>76</v>
      </c>
      <c r="B78" s="2" t="str">
        <f>'法人一覧(25)'!B79</f>
        <v>経済産業省</v>
      </c>
      <c r="C78" s="2" t="str">
        <f>'法人一覧(25)'!C79</f>
        <v>石油天然ガス・金属鉱物資源機構</v>
      </c>
      <c r="D78" s="29">
        <v>51795843729</v>
      </c>
      <c r="E78" s="29">
        <v>2789910764</v>
      </c>
      <c r="F78" s="29">
        <v>46000</v>
      </c>
      <c r="G78" s="29">
        <v>0</v>
      </c>
      <c r="H78" s="29">
        <v>7488729</v>
      </c>
      <c r="I78" s="29">
        <v>22222381</v>
      </c>
      <c r="J78" s="29">
        <v>46220281</v>
      </c>
      <c r="K78" s="29">
        <f t="shared" si="1"/>
        <v>0</v>
      </c>
      <c r="L78" s="29">
        <v>3758546179</v>
      </c>
      <c r="M78" s="29">
        <v>-15104078678</v>
      </c>
      <c r="N78" s="29">
        <v>43316199385</v>
      </c>
    </row>
    <row r="79" spans="1:14">
      <c r="A79" s="26">
        <f>'法人一覧(25)'!A80</f>
        <v>77</v>
      </c>
      <c r="B79" s="2" t="str">
        <f>'法人一覧(25)'!B80</f>
        <v>経済産業省</v>
      </c>
      <c r="C79" s="2" t="str">
        <f>'法人一覧(25)'!C80</f>
        <v>中小企業基盤整備機構</v>
      </c>
      <c r="D79" s="29">
        <v>-233337251334</v>
      </c>
      <c r="E79" s="29">
        <v>813900815</v>
      </c>
      <c r="F79" s="29">
        <v>0</v>
      </c>
      <c r="G79" s="29">
        <v>0</v>
      </c>
      <c r="H79" s="29">
        <v>797673</v>
      </c>
      <c r="I79" s="29">
        <v>51596533</v>
      </c>
      <c r="J79" s="29">
        <v>-2619793339</v>
      </c>
      <c r="K79" s="29">
        <f t="shared" si="1"/>
        <v>0</v>
      </c>
      <c r="L79" s="29">
        <v>7085721544</v>
      </c>
      <c r="M79" s="29">
        <v>-47512300</v>
      </c>
      <c r="N79" s="29">
        <v>-228052540408</v>
      </c>
    </row>
    <row r="80" spans="1:14">
      <c r="A80" s="26">
        <f>'法人一覧(25)'!A81</f>
        <v>78</v>
      </c>
      <c r="B80" s="2" t="str">
        <f>'法人一覧(25)'!B81</f>
        <v>国土交通省</v>
      </c>
      <c r="C80" s="2" t="str">
        <f>'法人一覧(25)'!C81</f>
        <v>土木研究所</v>
      </c>
      <c r="D80" s="65">
        <v>9327550046</v>
      </c>
      <c r="E80" s="65">
        <v>935739032</v>
      </c>
      <c r="F80" s="65">
        <v>0</v>
      </c>
      <c r="G80" s="65">
        <v>0</v>
      </c>
      <c r="H80" s="65">
        <v>22453590</v>
      </c>
      <c r="I80" s="65">
        <v>61180489</v>
      </c>
      <c r="J80" s="65">
        <v>702755041</v>
      </c>
      <c r="K80" s="29">
        <f t="shared" si="1"/>
        <v>0</v>
      </c>
      <c r="L80" s="65">
        <v>790007157</v>
      </c>
      <c r="M80" s="65">
        <v>0</v>
      </c>
      <c r="N80" s="65">
        <v>11839685355</v>
      </c>
    </row>
    <row r="81" spans="1:14">
      <c r="A81" s="26">
        <f>'法人一覧(25)'!A82</f>
        <v>79</v>
      </c>
      <c r="B81" s="2" t="str">
        <f>'法人一覧(25)'!B82</f>
        <v>国土交通省</v>
      </c>
      <c r="C81" s="2" t="str">
        <f>'法人一覧(25)'!C82</f>
        <v>建築研究所</v>
      </c>
      <c r="D81" s="65">
        <v>1667470395</v>
      </c>
      <c r="E81" s="65">
        <v>389966887</v>
      </c>
      <c r="F81" s="65">
        <v>2486827</v>
      </c>
      <c r="G81" s="65">
        <v>0</v>
      </c>
      <c r="H81" s="65">
        <v>5936421</v>
      </c>
      <c r="I81" s="65">
        <v>5769155</v>
      </c>
      <c r="J81" s="65">
        <v>-41831197</v>
      </c>
      <c r="K81" s="29">
        <f t="shared" si="1"/>
        <v>0</v>
      </c>
      <c r="L81" s="65">
        <v>390711475</v>
      </c>
      <c r="M81" s="65">
        <v>0</v>
      </c>
      <c r="N81" s="65">
        <v>2420509963</v>
      </c>
    </row>
    <row r="82" spans="1:14">
      <c r="A82" s="26">
        <f>'法人一覧(25)'!A83</f>
        <v>80</v>
      </c>
      <c r="B82" s="2" t="str">
        <f>'法人一覧(25)'!B83</f>
        <v>国土交通省</v>
      </c>
      <c r="C82" s="2" t="str">
        <f>'法人一覧(25)'!C83</f>
        <v>交通安全環境研究所</v>
      </c>
      <c r="D82" s="65">
        <v>1487563825</v>
      </c>
      <c r="E82" s="65">
        <v>451818569</v>
      </c>
      <c r="F82" s="65">
        <v>0</v>
      </c>
      <c r="G82" s="65">
        <v>0</v>
      </c>
      <c r="H82" s="65">
        <v>0</v>
      </c>
      <c r="I82" s="65">
        <v>5452986</v>
      </c>
      <c r="J82" s="65">
        <v>-41159101</v>
      </c>
      <c r="K82" s="29">
        <f t="shared" si="1"/>
        <v>0</v>
      </c>
      <c r="L82" s="65">
        <v>87528526</v>
      </c>
      <c r="M82" s="65">
        <v>0</v>
      </c>
      <c r="N82" s="65">
        <v>1991204805</v>
      </c>
    </row>
    <row r="83" spans="1:14">
      <c r="A83" s="26">
        <f>'法人一覧(25)'!A84</f>
        <v>81</v>
      </c>
      <c r="B83" s="2" t="str">
        <f>'法人一覧(25)'!B84</f>
        <v>国土交通省</v>
      </c>
      <c r="C83" s="2" t="str">
        <f>'法人一覧(25)'!C84</f>
        <v>海上技術安全研究所</v>
      </c>
      <c r="D83" s="65">
        <v>2453409817</v>
      </c>
      <c r="E83" s="65">
        <v>278778291</v>
      </c>
      <c r="F83" s="65">
        <v>0</v>
      </c>
      <c r="G83" s="65">
        <v>0</v>
      </c>
      <c r="H83" s="65">
        <v>294771061</v>
      </c>
      <c r="I83" s="65">
        <v>19761282</v>
      </c>
      <c r="J83" s="65">
        <v>-165894555</v>
      </c>
      <c r="K83" s="29">
        <f t="shared" si="1"/>
        <v>0</v>
      </c>
      <c r="L83" s="65">
        <v>209716376</v>
      </c>
      <c r="M83" s="65">
        <v>0</v>
      </c>
      <c r="N83" s="65">
        <v>3090542272</v>
      </c>
    </row>
    <row r="84" spans="1:14">
      <c r="A84" s="26">
        <f>'法人一覧(25)'!A85</f>
        <v>82</v>
      </c>
      <c r="B84" s="2" t="str">
        <f>'法人一覧(25)'!B85</f>
        <v>国土交通省</v>
      </c>
      <c r="C84" s="2" t="str">
        <f>'法人一覧(25)'!C85</f>
        <v>港湾空港技術研究所</v>
      </c>
      <c r="D84" s="65">
        <v>1076343581</v>
      </c>
      <c r="E84" s="65">
        <v>546244953</v>
      </c>
      <c r="F84" s="65">
        <v>1354727</v>
      </c>
      <c r="G84" s="65">
        <v>0</v>
      </c>
      <c r="H84" s="65">
        <v>26231846</v>
      </c>
      <c r="I84" s="65">
        <v>-4120389</v>
      </c>
      <c r="J84" s="65">
        <v>-27899378</v>
      </c>
      <c r="K84" s="29">
        <f t="shared" si="1"/>
        <v>0</v>
      </c>
      <c r="L84" s="65">
        <v>75907031</v>
      </c>
      <c r="M84" s="65">
        <v>0</v>
      </c>
      <c r="N84" s="65">
        <v>1694062371</v>
      </c>
    </row>
    <row r="85" spans="1:14">
      <c r="A85" s="26">
        <f>'法人一覧(25)'!A86</f>
        <v>83</v>
      </c>
      <c r="B85" s="2" t="str">
        <f>'法人一覧(25)'!B86</f>
        <v>国土交通省</v>
      </c>
      <c r="C85" s="2" t="str">
        <f>'法人一覧(25)'!C86</f>
        <v>電子航法研究所</v>
      </c>
      <c r="D85" s="65">
        <v>1310995713</v>
      </c>
      <c r="E85" s="65">
        <v>136122958</v>
      </c>
      <c r="F85" s="65">
        <v>0</v>
      </c>
      <c r="G85" s="65">
        <v>0</v>
      </c>
      <c r="H85" s="65">
        <v>824250</v>
      </c>
      <c r="I85" s="65">
        <v>2563880</v>
      </c>
      <c r="J85" s="65">
        <v>-39135433</v>
      </c>
      <c r="K85" s="29">
        <f t="shared" si="1"/>
        <v>0</v>
      </c>
      <c r="L85" s="65">
        <v>26920735</v>
      </c>
      <c r="M85" s="65">
        <v>0</v>
      </c>
      <c r="N85" s="65">
        <v>1438292103</v>
      </c>
    </row>
    <row r="86" spans="1:14">
      <c r="A86" s="26">
        <f>'法人一覧(25)'!A87</f>
        <v>84</v>
      </c>
      <c r="B86" s="2" t="str">
        <f>'法人一覧(25)'!B87</f>
        <v>国土交通省</v>
      </c>
      <c r="C86" s="2" t="str">
        <f>'法人一覧(25)'!C87</f>
        <v>航海訓練所</v>
      </c>
      <c r="D86" s="65">
        <v>5246188357</v>
      </c>
      <c r="E86" s="65">
        <v>354061589</v>
      </c>
      <c r="F86" s="65">
        <v>0</v>
      </c>
      <c r="G86" s="65">
        <v>4981554</v>
      </c>
      <c r="H86" s="65">
        <v>54154</v>
      </c>
      <c r="I86" s="65">
        <v>16714574</v>
      </c>
      <c r="J86" s="65">
        <v>-216145274</v>
      </c>
      <c r="K86" s="29">
        <f t="shared" si="1"/>
        <v>0</v>
      </c>
      <c r="L86" s="65">
        <v>155200206</v>
      </c>
      <c r="M86" s="65">
        <v>0</v>
      </c>
      <c r="N86" s="65">
        <v>5561055160</v>
      </c>
    </row>
    <row r="87" spans="1:14">
      <c r="A87" s="26">
        <f>'法人一覧(25)'!A88</f>
        <v>85</v>
      </c>
      <c r="B87" s="2" t="str">
        <f>'法人一覧(25)'!B88</f>
        <v>国土交通省</v>
      </c>
      <c r="C87" s="2" t="str">
        <f>'法人一覧(25)'!C88</f>
        <v>海技教育機構</v>
      </c>
      <c r="D87" s="65">
        <v>2181393460</v>
      </c>
      <c r="E87" s="65">
        <v>247382432</v>
      </c>
      <c r="F87" s="65">
        <v>0</v>
      </c>
      <c r="G87" s="65">
        <v>6129605</v>
      </c>
      <c r="H87" s="65">
        <v>4169695</v>
      </c>
      <c r="I87" s="65">
        <v>11264189</v>
      </c>
      <c r="J87" s="65">
        <v>-14433821</v>
      </c>
      <c r="K87" s="29">
        <f t="shared" si="1"/>
        <v>0</v>
      </c>
      <c r="L87" s="65">
        <v>66207967</v>
      </c>
      <c r="M87" s="65">
        <v>0</v>
      </c>
      <c r="N87" s="65">
        <v>2502113527</v>
      </c>
    </row>
    <row r="88" spans="1:14">
      <c r="A88" s="26">
        <f>'法人一覧(25)'!A89</f>
        <v>86</v>
      </c>
      <c r="B88" s="2" t="str">
        <f>'法人一覧(25)'!B89</f>
        <v>国土交通省</v>
      </c>
      <c r="C88" s="2" t="str">
        <f>'法人一覧(25)'!C89</f>
        <v>航空大学校</v>
      </c>
      <c r="D88" s="29">
        <v>2014614276</v>
      </c>
      <c r="E88" s="29">
        <v>106240804</v>
      </c>
      <c r="F88" s="29">
        <v>0</v>
      </c>
      <c r="G88" s="29">
        <v>0</v>
      </c>
      <c r="H88" s="29">
        <v>0</v>
      </c>
      <c r="I88" s="29">
        <v>6225441</v>
      </c>
      <c r="J88" s="29">
        <v>-149810273</v>
      </c>
      <c r="K88" s="29">
        <f t="shared" si="1"/>
        <v>0</v>
      </c>
      <c r="L88" s="29">
        <v>35613057</v>
      </c>
      <c r="M88" s="29">
        <v>0</v>
      </c>
      <c r="N88" s="29">
        <v>2012883305</v>
      </c>
    </row>
    <row r="89" spans="1:14">
      <c r="A89" s="26">
        <f>'法人一覧(25)'!A90</f>
        <v>87</v>
      </c>
      <c r="B89" s="2" t="str">
        <f>'法人一覧(25)'!B90</f>
        <v>国土交通省</v>
      </c>
      <c r="C89" s="2" t="str">
        <f>'法人一覧(25)'!C90</f>
        <v>自動車検査</v>
      </c>
      <c r="D89" s="65">
        <v>672042587</v>
      </c>
      <c r="E89" s="65">
        <v>2660209363</v>
      </c>
      <c r="F89" s="65">
        <v>0</v>
      </c>
      <c r="G89" s="65">
        <v>52100477</v>
      </c>
      <c r="H89" s="65">
        <v>85661635</v>
      </c>
      <c r="I89" s="65">
        <v>0</v>
      </c>
      <c r="J89" s="65">
        <v>-164059418</v>
      </c>
      <c r="K89" s="29">
        <f t="shared" si="1"/>
        <v>0</v>
      </c>
      <c r="L89" s="65">
        <v>685606435</v>
      </c>
      <c r="M89" s="65">
        <v>0</v>
      </c>
      <c r="N89" s="65">
        <v>3991561079</v>
      </c>
    </row>
    <row r="90" spans="1:14">
      <c r="A90" s="26">
        <f>'法人一覧(25)'!A91</f>
        <v>88</v>
      </c>
      <c r="B90" s="2" t="str">
        <f>'法人一覧(25)'!B91</f>
        <v>国土交通省</v>
      </c>
      <c r="C90" s="2" t="str">
        <f>'法人一覧(25)'!C91</f>
        <v>鉄道建設・運輸施設整備支援機構</v>
      </c>
      <c r="D90" s="65">
        <v>78332572917</v>
      </c>
      <c r="E90" s="65">
        <v>920630653</v>
      </c>
      <c r="F90" s="65">
        <v>-59337383</v>
      </c>
      <c r="G90" s="65">
        <v>0</v>
      </c>
      <c r="H90" s="65">
        <v>735289</v>
      </c>
      <c r="I90" s="65">
        <v>-281250</v>
      </c>
      <c r="J90" s="65">
        <v>54001403</v>
      </c>
      <c r="K90" s="29">
        <f t="shared" si="1"/>
        <v>0</v>
      </c>
      <c r="L90" s="65">
        <v>3115596536</v>
      </c>
      <c r="M90" s="65">
        <v>-6188</v>
      </c>
      <c r="N90" s="65">
        <v>82363911977</v>
      </c>
    </row>
    <row r="91" spans="1:14">
      <c r="A91" s="26">
        <f>'法人一覧(25)'!A92</f>
        <v>89</v>
      </c>
      <c r="B91" s="2" t="str">
        <f>'法人一覧(25)'!B92</f>
        <v>国土交通省</v>
      </c>
      <c r="C91" s="2" t="str">
        <f>'法人一覧(25)'!C92</f>
        <v>国際観光振興機構</v>
      </c>
      <c r="D91" s="65">
        <v>1778880574</v>
      </c>
      <c r="E91" s="65">
        <v>191294</v>
      </c>
      <c r="F91" s="65">
        <v>0</v>
      </c>
      <c r="G91" s="65">
        <v>0</v>
      </c>
      <c r="H91" s="65">
        <v>0</v>
      </c>
      <c r="I91" s="65">
        <v>279353</v>
      </c>
      <c r="J91" s="65">
        <v>212378097</v>
      </c>
      <c r="K91" s="29">
        <f t="shared" si="1"/>
        <v>0</v>
      </c>
      <c r="L91" s="65">
        <v>4448369</v>
      </c>
      <c r="M91" s="65">
        <v>0</v>
      </c>
      <c r="N91" s="65">
        <v>1996177687</v>
      </c>
    </row>
    <row r="92" spans="1:14">
      <c r="A92" s="26">
        <f>'法人一覧(25)'!A93</f>
        <v>90</v>
      </c>
      <c r="B92" s="2" t="str">
        <f>'法人一覧(25)'!B93</f>
        <v>国土交通省</v>
      </c>
      <c r="C92" s="2" t="str">
        <f>'法人一覧(25)'!C93</f>
        <v>水資源機構</v>
      </c>
      <c r="D92" s="65">
        <v>52872403729</v>
      </c>
      <c r="E92" s="65">
        <v>249770814</v>
      </c>
      <c r="F92" s="65">
        <v>238290185</v>
      </c>
      <c r="G92" s="65">
        <v>0</v>
      </c>
      <c r="H92" s="65">
        <v>24492658</v>
      </c>
      <c r="I92" s="65">
        <v>42985419</v>
      </c>
      <c r="J92" s="65">
        <v>28515300</v>
      </c>
      <c r="K92" s="29">
        <f t="shared" si="1"/>
        <v>0</v>
      </c>
      <c r="L92" s="65">
        <v>37733802</v>
      </c>
      <c r="M92" s="65">
        <v>0</v>
      </c>
      <c r="N92" s="65">
        <v>53494191907</v>
      </c>
    </row>
    <row r="93" spans="1:14">
      <c r="A93" s="26">
        <f>'法人一覧(25)'!A94</f>
        <v>91</v>
      </c>
      <c r="B93" s="2" t="str">
        <f>'法人一覧(25)'!B94</f>
        <v>国土交通省</v>
      </c>
      <c r="C93" s="2" t="str">
        <f>'法人一覧(25)'!C94</f>
        <v>自動車事故対策機構</v>
      </c>
      <c r="D93" s="65">
        <v>9429890136</v>
      </c>
      <c r="E93" s="65">
        <v>703730543</v>
      </c>
      <c r="F93" s="65">
        <v>0</v>
      </c>
      <c r="G93" s="65">
        <v>0</v>
      </c>
      <c r="H93" s="65">
        <v>22326696</v>
      </c>
      <c r="I93" s="65">
        <v>19444982</v>
      </c>
      <c r="J93" s="65">
        <v>-248875325</v>
      </c>
      <c r="K93" s="29">
        <f t="shared" si="1"/>
        <v>0</v>
      </c>
      <c r="L93" s="65">
        <v>129845661</v>
      </c>
      <c r="M93" s="65">
        <v>0</v>
      </c>
      <c r="N93" s="65">
        <v>10056362693</v>
      </c>
    </row>
    <row r="94" spans="1:14">
      <c r="A94" s="26">
        <f>'法人一覧(25)'!A95</f>
        <v>92</v>
      </c>
      <c r="B94" s="2" t="str">
        <f>'法人一覧(25)'!B95</f>
        <v>国土交通省</v>
      </c>
      <c r="C94" s="2" t="str">
        <f>'法人一覧(25)'!C95</f>
        <v>空港周辺整備機構</v>
      </c>
      <c r="D94" s="65">
        <v>-6728960</v>
      </c>
      <c r="E94" s="65">
        <v>0</v>
      </c>
      <c r="F94" s="65">
        <v>0</v>
      </c>
      <c r="G94" s="65">
        <v>0</v>
      </c>
      <c r="H94" s="65">
        <v>0</v>
      </c>
      <c r="I94" s="65">
        <v>0</v>
      </c>
      <c r="J94" s="65">
        <v>-9661625</v>
      </c>
      <c r="K94" s="29">
        <f t="shared" si="1"/>
        <v>0</v>
      </c>
      <c r="L94" s="65">
        <v>8594363</v>
      </c>
      <c r="M94" s="65">
        <v>0</v>
      </c>
      <c r="N94" s="65">
        <v>-7796222</v>
      </c>
    </row>
    <row r="95" spans="1:14">
      <c r="A95" s="26">
        <f>'法人一覧(25)'!A96</f>
        <v>93</v>
      </c>
      <c r="B95" s="2" t="str">
        <f>'法人一覧(25)'!B96</f>
        <v>国土交通省</v>
      </c>
      <c r="C95" s="2" t="str">
        <f>'法人一覧(25)'!C96</f>
        <v>海上災害防止センター</v>
      </c>
      <c r="D95" s="65">
        <v>28439745</v>
      </c>
      <c r="E95" s="65">
        <v>0</v>
      </c>
      <c r="F95" s="65">
        <v>0</v>
      </c>
      <c r="G95" s="65">
        <v>0</v>
      </c>
      <c r="H95" s="65">
        <v>0</v>
      </c>
      <c r="I95" s="65">
        <v>0</v>
      </c>
      <c r="J95" s="65">
        <v>37500</v>
      </c>
      <c r="K95" s="29">
        <f t="shared" si="1"/>
        <v>0</v>
      </c>
      <c r="L95" s="65">
        <v>3243617</v>
      </c>
      <c r="M95" s="65">
        <v>-1248800</v>
      </c>
      <c r="N95" s="65">
        <v>30472062</v>
      </c>
    </row>
    <row r="96" spans="1:14">
      <c r="A96" s="26">
        <f>'法人一覧(25)'!A97</f>
        <v>94</v>
      </c>
      <c r="B96" s="2" t="str">
        <f>'法人一覧(25)'!B97</f>
        <v>国土交通省</v>
      </c>
      <c r="C96" s="2" t="str">
        <f>'法人一覧(25)'!C97</f>
        <v>都市再生機構</v>
      </c>
      <c r="D96" s="65">
        <v>2431997843</v>
      </c>
      <c r="E96" s="65">
        <v>0</v>
      </c>
      <c r="F96" s="65">
        <v>0</v>
      </c>
      <c r="G96" s="65">
        <v>0</v>
      </c>
      <c r="H96" s="65">
        <v>0</v>
      </c>
      <c r="I96" s="65">
        <v>0</v>
      </c>
      <c r="J96" s="65">
        <v>-40134242</v>
      </c>
      <c r="K96" s="29">
        <f t="shared" si="1"/>
        <v>0</v>
      </c>
      <c r="L96" s="65">
        <v>8002771938</v>
      </c>
      <c r="M96" s="65">
        <v>0</v>
      </c>
      <c r="N96" s="65">
        <v>10394635539</v>
      </c>
    </row>
    <row r="97" spans="1:14">
      <c r="A97" s="26">
        <f>'法人一覧(25)'!A98</f>
        <v>95</v>
      </c>
      <c r="B97" s="2" t="str">
        <f>'法人一覧(25)'!B98</f>
        <v>国土交通省</v>
      </c>
      <c r="C97" s="2" t="str">
        <f>'法人一覧(25)'!C98</f>
        <v>奄美群島振興開発基金</v>
      </c>
      <c r="D97" s="29">
        <v>-34309702</v>
      </c>
      <c r="E97" s="29">
        <v>0</v>
      </c>
      <c r="F97" s="29">
        <v>0</v>
      </c>
      <c r="G97" s="29">
        <v>0</v>
      </c>
      <c r="H97" s="29">
        <v>0</v>
      </c>
      <c r="I97" s="29">
        <v>0</v>
      </c>
      <c r="J97" s="29">
        <v>0</v>
      </c>
      <c r="K97" s="29">
        <f t="shared" si="1"/>
        <v>0</v>
      </c>
      <c r="L97" s="29">
        <v>108408137</v>
      </c>
      <c r="M97" s="29">
        <v>0</v>
      </c>
      <c r="N97" s="29">
        <v>74098435</v>
      </c>
    </row>
    <row r="98" spans="1:14">
      <c r="A98" s="26">
        <f>'法人一覧(25)'!A99</f>
        <v>96</v>
      </c>
      <c r="B98" s="2" t="str">
        <f>'法人一覧(25)'!B99</f>
        <v>国土交通省</v>
      </c>
      <c r="C98" s="2" t="str">
        <f>'法人一覧(25)'!C99</f>
        <v>日本高速道路保有・債務返済機構</v>
      </c>
      <c r="D98" s="65">
        <v>-161033018136</v>
      </c>
      <c r="E98" s="65">
        <v>578548693</v>
      </c>
      <c r="F98" s="65">
        <v>0</v>
      </c>
      <c r="G98" s="65">
        <v>0</v>
      </c>
      <c r="H98" s="65">
        <v>2666910</v>
      </c>
      <c r="I98" s="65">
        <v>0</v>
      </c>
      <c r="J98" s="65">
        <v>13737233</v>
      </c>
      <c r="K98" s="29">
        <f t="shared" si="1"/>
        <v>0</v>
      </c>
      <c r="L98" s="65">
        <v>39261567926</v>
      </c>
      <c r="M98" s="65">
        <v>0</v>
      </c>
      <c r="N98" s="65">
        <v>-121176497374</v>
      </c>
    </row>
    <row r="99" spans="1:14">
      <c r="A99" s="26">
        <f>'法人一覧(25)'!A100</f>
        <v>97</v>
      </c>
      <c r="B99" s="2" t="str">
        <f>'法人一覧(25)'!B100</f>
        <v>国土交通省</v>
      </c>
      <c r="C99" s="2" t="str">
        <f>'法人一覧(25)'!C100</f>
        <v>住宅金融支援機構</v>
      </c>
      <c r="D99" s="29">
        <v>-160202129612</v>
      </c>
      <c r="E99" s="29">
        <v>0</v>
      </c>
      <c r="F99" s="29">
        <v>0</v>
      </c>
      <c r="G99" s="29">
        <v>0</v>
      </c>
      <c r="H99" s="29">
        <v>444390000</v>
      </c>
      <c r="I99" s="29">
        <v>0</v>
      </c>
      <c r="J99" s="29">
        <v>-11035458</v>
      </c>
      <c r="K99" s="29">
        <f t="shared" si="1"/>
        <v>0</v>
      </c>
      <c r="L99" s="29">
        <v>4440364808</v>
      </c>
      <c r="M99" s="29">
        <v>0</v>
      </c>
      <c r="N99" s="29">
        <v>-155328410262</v>
      </c>
    </row>
    <row r="100" spans="1:14">
      <c r="A100" s="26">
        <f>'法人一覧(25)'!A101</f>
        <v>98</v>
      </c>
      <c r="B100" s="2" t="str">
        <f>'法人一覧(25)'!B101</f>
        <v>環境省</v>
      </c>
      <c r="C100" s="2" t="str">
        <f>'法人一覧(25)'!C101</f>
        <v>国立環境研究所</v>
      </c>
      <c r="D100" s="29">
        <v>11378109104</v>
      </c>
      <c r="E100" s="29">
        <v>1128469914</v>
      </c>
      <c r="F100" s="29">
        <v>0</v>
      </c>
      <c r="G100" s="29">
        <v>1593301</v>
      </c>
      <c r="H100" s="29">
        <v>3048710</v>
      </c>
      <c r="I100" s="29">
        <v>26137642</v>
      </c>
      <c r="J100" s="29">
        <v>-64941649</v>
      </c>
      <c r="K100" s="29">
        <f t="shared" si="1"/>
        <v>0</v>
      </c>
      <c r="L100" s="29">
        <v>174898328</v>
      </c>
      <c r="M100" s="29">
        <v>0</v>
      </c>
      <c r="N100" s="29">
        <v>12647315350</v>
      </c>
    </row>
    <row r="101" spans="1:14">
      <c r="A101" s="26">
        <f>'法人一覧(25)'!A102</f>
        <v>99</v>
      </c>
      <c r="B101" s="2" t="str">
        <f>'法人一覧(25)'!B102</f>
        <v>環境省</v>
      </c>
      <c r="C101" s="2" t="str">
        <f>'法人一覧(25)'!C102</f>
        <v>環境再生保全機構</v>
      </c>
      <c r="D101" s="29">
        <v>12386358414</v>
      </c>
      <c r="E101" s="29">
        <v>104284</v>
      </c>
      <c r="F101" s="29">
        <v>0</v>
      </c>
      <c r="G101" s="29">
        <v>0</v>
      </c>
      <c r="H101" s="29">
        <v>0</v>
      </c>
      <c r="I101" s="29">
        <v>2863587</v>
      </c>
      <c r="J101" s="29">
        <v>-34377690</v>
      </c>
      <c r="K101" s="29">
        <f t="shared" si="1"/>
        <v>0</v>
      </c>
      <c r="L101" s="29">
        <v>63569135</v>
      </c>
      <c r="M101" s="29">
        <v>0</v>
      </c>
      <c r="N101" s="29">
        <v>12418517730</v>
      </c>
    </row>
    <row r="102" spans="1:14">
      <c r="A102" s="26">
        <f>'法人一覧(25)'!A103</f>
        <v>100</v>
      </c>
      <c r="B102" s="2" t="str">
        <f>'法人一覧(25)'!B103</f>
        <v>原子力規制委員会</v>
      </c>
      <c r="C102" s="2" t="str">
        <f>'法人一覧(25)'!C103</f>
        <v>原子力安全基盤機構</v>
      </c>
      <c r="D102" s="29">
        <v>14164564361</v>
      </c>
      <c r="E102" s="29">
        <v>0</v>
      </c>
      <c r="F102" s="29">
        <v>0</v>
      </c>
      <c r="G102" s="29">
        <v>0</v>
      </c>
      <c r="H102" s="29">
        <v>0</v>
      </c>
      <c r="I102" s="29">
        <v>0</v>
      </c>
      <c r="J102" s="29">
        <v>-324175015</v>
      </c>
      <c r="K102" s="29">
        <f t="shared" si="1"/>
        <v>0</v>
      </c>
      <c r="L102" s="29">
        <v>5975790</v>
      </c>
      <c r="M102" s="29">
        <v>-133471698</v>
      </c>
      <c r="N102" s="29">
        <v>13712893438</v>
      </c>
    </row>
    <row r="103" spans="1:14" ht="13.8" thickBot="1">
      <c r="A103" s="116">
        <f>'法人一覧(25)'!A104</f>
        <v>101</v>
      </c>
      <c r="B103" s="117" t="str">
        <f>'法人一覧(25)'!B104</f>
        <v>防衛省</v>
      </c>
      <c r="C103" s="117" t="str">
        <f>'法人一覧(25)'!C104</f>
        <v>駐留軍等労働者労務管理機構</v>
      </c>
      <c r="D103" s="118">
        <v>3002020654</v>
      </c>
      <c r="E103" s="118">
        <v>2613086</v>
      </c>
      <c r="F103" s="118">
        <v>0</v>
      </c>
      <c r="G103" s="118">
        <v>0</v>
      </c>
      <c r="H103" s="118">
        <v>0</v>
      </c>
      <c r="I103" s="118">
        <v>1572953</v>
      </c>
      <c r="J103" s="118">
        <v>-172330621</v>
      </c>
      <c r="K103" s="118">
        <f t="shared" si="1"/>
        <v>0</v>
      </c>
      <c r="L103" s="118">
        <v>5067336</v>
      </c>
      <c r="M103" s="118">
        <v>0</v>
      </c>
      <c r="N103" s="118">
        <v>2838943408</v>
      </c>
    </row>
    <row r="104" spans="1:14" s="37" customFormat="1" ht="16.2" customHeight="1" thickTop="1">
      <c r="A104" s="194" t="s">
        <v>583</v>
      </c>
      <c r="B104" s="187"/>
      <c r="C104" s="170"/>
      <c r="D104" s="115">
        <f t="shared" ref="D104:M104" si="2">SUM(D3:D103)</f>
        <v>-8784669535966</v>
      </c>
      <c r="E104" s="115">
        <f t="shared" si="2"/>
        <v>149742408227</v>
      </c>
      <c r="F104" s="115">
        <f t="shared" si="2"/>
        <v>7045299706</v>
      </c>
      <c r="G104" s="115">
        <f t="shared" si="2"/>
        <v>323938851</v>
      </c>
      <c r="H104" s="115">
        <f t="shared" si="2"/>
        <v>10768563126</v>
      </c>
      <c r="I104" s="115">
        <f t="shared" si="2"/>
        <v>1966917780</v>
      </c>
      <c r="J104" s="115">
        <f t="shared" si="2"/>
        <v>-43196649786</v>
      </c>
      <c r="K104" s="115">
        <f t="shared" si="2"/>
        <v>1590544604</v>
      </c>
      <c r="L104" s="115">
        <f t="shared" si="2"/>
        <v>194194217786</v>
      </c>
      <c r="M104" s="115">
        <f t="shared" si="2"/>
        <v>-58581201939</v>
      </c>
      <c r="N104" s="115">
        <f>SUM(N3:N103)</f>
        <v>-8520815497611</v>
      </c>
    </row>
    <row r="106" spans="1:14">
      <c r="B106" s="192" t="s">
        <v>663</v>
      </c>
      <c r="C106" s="193"/>
      <c r="D106" s="193"/>
      <c r="E106" s="193"/>
      <c r="F106" s="193"/>
      <c r="G106" s="193"/>
      <c r="H106" s="193"/>
      <c r="I106" s="193"/>
    </row>
    <row r="107" spans="1:14">
      <c r="B107" s="193"/>
      <c r="C107" s="193"/>
      <c r="D107" s="193"/>
      <c r="E107" s="193"/>
      <c r="F107" s="193"/>
      <c r="G107" s="193"/>
      <c r="H107" s="193"/>
      <c r="I107" s="193"/>
    </row>
  </sheetData>
  <mergeCells count="2">
    <mergeCell ref="B106:I107"/>
    <mergeCell ref="A104:C104"/>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zoomScale="90" zoomScaleNormal="90" workbookViewId="0">
      <pane xSplit="3" ySplit="2" topLeftCell="D81" activePane="bottomRight" state="frozen"/>
      <selection activeCell="B2" sqref="B2:B3"/>
      <selection pane="topRight" activeCell="B2" sqref="B2:B3"/>
      <selection pane="bottomLeft" activeCell="B2" sqref="B2:B3"/>
      <selection pane="bottomRight" activeCell="B103" sqref="B103:I104"/>
    </sheetView>
  </sheetViews>
  <sheetFormatPr defaultColWidth="8.88671875" defaultRowHeight="13.2"/>
  <cols>
    <col min="1" max="1" width="4.88671875" style="1" customWidth="1"/>
    <col min="2" max="2" width="18.88671875" style="1" customWidth="1"/>
    <col min="3" max="3" width="40.33203125" style="1" customWidth="1"/>
    <col min="4" max="4" width="17.88671875" style="1" bestFit="1" customWidth="1"/>
    <col min="5" max="10" width="13.44140625" style="1" customWidth="1"/>
    <col min="11" max="11" width="13.44140625" style="37" customWidth="1"/>
    <col min="12" max="12" width="13.44140625" style="1" customWidth="1"/>
    <col min="13" max="13" width="12.6640625" style="1" customWidth="1"/>
    <col min="14" max="14" width="18.6640625" style="1" customWidth="1"/>
    <col min="15" max="16384" width="8.88671875" style="1"/>
  </cols>
  <sheetData>
    <row r="1" spans="1:14" ht="19.95" customHeight="1">
      <c r="B1" s="144" t="s">
        <v>229</v>
      </c>
      <c r="N1" s="30" t="s">
        <v>204</v>
      </c>
    </row>
    <row r="2" spans="1:14" ht="43.2" customHeight="1">
      <c r="A2" s="26" t="s">
        <v>195</v>
      </c>
      <c r="B2" s="26" t="s">
        <v>0</v>
      </c>
      <c r="C2" s="26" t="s">
        <v>1</v>
      </c>
      <c r="D2" s="3" t="s">
        <v>50</v>
      </c>
      <c r="E2" s="7" t="s">
        <v>51</v>
      </c>
      <c r="F2" s="7" t="s">
        <v>52</v>
      </c>
      <c r="G2" s="7" t="s">
        <v>53</v>
      </c>
      <c r="H2" s="7" t="s">
        <v>54</v>
      </c>
      <c r="I2" s="7" t="s">
        <v>55</v>
      </c>
      <c r="J2" s="7" t="s">
        <v>56</v>
      </c>
      <c r="K2" s="87" t="s">
        <v>413</v>
      </c>
      <c r="L2" s="3" t="s">
        <v>57</v>
      </c>
      <c r="M2" s="7" t="s">
        <v>58</v>
      </c>
      <c r="N2" s="28" t="s">
        <v>59</v>
      </c>
    </row>
    <row r="3" spans="1:14">
      <c r="A3" s="26">
        <f>'法人一覧(26)'!A4</f>
        <v>1</v>
      </c>
      <c r="B3" s="2" t="str">
        <f>'法人一覧(26)'!B4</f>
        <v>内閣府</v>
      </c>
      <c r="C3" s="2" t="str">
        <f>'法人一覧(26)'!C4</f>
        <v>国立公文書館</v>
      </c>
      <c r="D3" s="29">
        <v>2187378372</v>
      </c>
      <c r="E3" s="29">
        <v>149161299</v>
      </c>
      <c r="F3" s="29">
        <v>0</v>
      </c>
      <c r="G3" s="29">
        <v>0</v>
      </c>
      <c r="H3" s="29">
        <v>0</v>
      </c>
      <c r="I3" s="29">
        <v>1124500</v>
      </c>
      <c r="J3" s="29">
        <v>-157352956</v>
      </c>
      <c r="K3" s="29">
        <f>N3-SUM(D3:J3,L3:M3)</f>
        <v>0</v>
      </c>
      <c r="L3" s="29">
        <v>38443200</v>
      </c>
      <c r="M3" s="29">
        <v>0</v>
      </c>
      <c r="N3" s="29">
        <v>2218754415</v>
      </c>
    </row>
    <row r="4" spans="1:14">
      <c r="A4" s="26">
        <f>'法人一覧(26)'!A5</f>
        <v>2</v>
      </c>
      <c r="B4" s="2" t="str">
        <f>'法人一覧(26)'!B5</f>
        <v>内閣府</v>
      </c>
      <c r="C4" s="2" t="str">
        <f>'法人一覧(26)'!C5</f>
        <v>北方領土問題対策協会</v>
      </c>
      <c r="D4" s="29">
        <v>1271304494</v>
      </c>
      <c r="E4" s="29">
        <v>15053770</v>
      </c>
      <c r="F4" s="29">
        <v>0</v>
      </c>
      <c r="G4" s="29">
        <v>98184</v>
      </c>
      <c r="H4" s="29">
        <v>107548</v>
      </c>
      <c r="I4" s="29">
        <v>370567</v>
      </c>
      <c r="J4" s="29">
        <v>18764483</v>
      </c>
      <c r="K4" s="29">
        <f t="shared" ref="K4:K67" si="0">N4-SUM(D4:J4,L4:M4)</f>
        <v>0</v>
      </c>
      <c r="L4" s="29">
        <v>5360793</v>
      </c>
      <c r="M4" s="29">
        <v>0</v>
      </c>
      <c r="N4" s="29">
        <v>1311059839</v>
      </c>
    </row>
    <row r="5" spans="1:14">
      <c r="A5" s="26">
        <f>'法人一覧(26)'!A6</f>
        <v>3</v>
      </c>
      <c r="B5" s="2" t="str">
        <f>'法人一覧(26)'!B6</f>
        <v>消費者庁</v>
      </c>
      <c r="C5" s="2" t="str">
        <f>'法人一覧(26)'!C6</f>
        <v>国民生活センター</v>
      </c>
      <c r="D5" s="29">
        <v>2837623776</v>
      </c>
      <c r="E5" s="29">
        <v>103797166</v>
      </c>
      <c r="F5" s="29">
        <v>0</v>
      </c>
      <c r="G5" s="29">
        <v>0</v>
      </c>
      <c r="H5" s="29">
        <v>400003</v>
      </c>
      <c r="I5" s="29">
        <v>1238727</v>
      </c>
      <c r="J5" s="29">
        <v>39395000</v>
      </c>
      <c r="K5" s="29">
        <f t="shared" si="0"/>
        <v>0</v>
      </c>
      <c r="L5" s="29">
        <v>31556934</v>
      </c>
      <c r="M5" s="29">
        <v>0</v>
      </c>
      <c r="N5" s="29">
        <v>3014011606</v>
      </c>
    </row>
    <row r="6" spans="1:14">
      <c r="A6" s="26">
        <f>'法人一覧(26)'!A7</f>
        <v>4</v>
      </c>
      <c r="B6" s="2" t="str">
        <f>'法人一覧(26)'!B7</f>
        <v>総務省</v>
      </c>
      <c r="C6" s="2" t="str">
        <f>'法人一覧(26)'!C7</f>
        <v>情報通信研究機構</v>
      </c>
      <c r="D6" s="52">
        <v>30581570332</v>
      </c>
      <c r="E6" s="52">
        <v>16341298919</v>
      </c>
      <c r="F6" s="52">
        <v>86205929</v>
      </c>
      <c r="G6" s="52">
        <v>9120820</v>
      </c>
      <c r="H6" s="52">
        <v>379383</v>
      </c>
      <c r="I6" s="52">
        <v>31936657</v>
      </c>
      <c r="J6" s="52">
        <v>-591863741</v>
      </c>
      <c r="K6" s="29">
        <f t="shared" si="0"/>
        <v>0</v>
      </c>
      <c r="L6" s="52">
        <v>2177908680</v>
      </c>
      <c r="M6" s="52">
        <v>-24335000</v>
      </c>
      <c r="N6" s="52">
        <v>48612221979</v>
      </c>
    </row>
    <row r="7" spans="1:14">
      <c r="A7" s="26">
        <f>'法人一覧(26)'!A8</f>
        <v>5</v>
      </c>
      <c r="B7" s="2" t="str">
        <f>'法人一覧(26)'!B8</f>
        <v>総務省</v>
      </c>
      <c r="C7" s="2" t="str">
        <f>'法人一覧(26)'!C8</f>
        <v>統計センター</v>
      </c>
      <c r="D7" s="52">
        <v>7665581174</v>
      </c>
      <c r="E7" s="52">
        <v>0</v>
      </c>
      <c r="F7" s="52">
        <v>0</v>
      </c>
      <c r="G7" s="52">
        <v>0</v>
      </c>
      <c r="H7" s="52">
        <v>0</v>
      </c>
      <c r="I7" s="52">
        <v>5373232</v>
      </c>
      <c r="J7" s="52">
        <v>-405791116</v>
      </c>
      <c r="K7" s="29">
        <f t="shared" si="0"/>
        <v>0</v>
      </c>
      <c r="L7" s="52">
        <v>267666769</v>
      </c>
      <c r="M7" s="52">
        <v>0</v>
      </c>
      <c r="N7" s="52">
        <v>7532830059</v>
      </c>
    </row>
    <row r="8" spans="1:14">
      <c r="A8" s="26">
        <f>'法人一覧(26)'!A9</f>
        <v>6</v>
      </c>
      <c r="B8" s="2" t="str">
        <f>'法人一覧(26)'!B9</f>
        <v>総務省</v>
      </c>
      <c r="C8" s="2" t="str">
        <f>'法人一覧(26)'!C9</f>
        <v>郵便貯金・簡易生命保険管理機構</v>
      </c>
      <c r="D8" s="52">
        <v>-29159304067</v>
      </c>
      <c r="E8" s="52">
        <v>0</v>
      </c>
      <c r="F8" s="52">
        <v>0</v>
      </c>
      <c r="G8" s="52">
        <v>0</v>
      </c>
      <c r="H8" s="52">
        <v>0</v>
      </c>
      <c r="I8" s="52">
        <v>-37169360</v>
      </c>
      <c r="J8" s="52">
        <v>0</v>
      </c>
      <c r="K8" s="29">
        <f t="shared" si="0"/>
        <v>0</v>
      </c>
      <c r="L8" s="52">
        <v>28000000</v>
      </c>
      <c r="M8" s="52">
        <v>0</v>
      </c>
      <c r="N8" s="52">
        <v>-29168473427</v>
      </c>
    </row>
    <row r="9" spans="1:14">
      <c r="A9" s="26">
        <f>'法人一覧(26)'!A10</f>
        <v>7</v>
      </c>
      <c r="B9" s="2" t="str">
        <f>'法人一覧(26)'!B10</f>
        <v>外務省</v>
      </c>
      <c r="C9" s="2" t="str">
        <f>'法人一覧(26)'!C10</f>
        <v>国際協力機構</v>
      </c>
      <c r="D9" s="29">
        <v>135801758428</v>
      </c>
      <c r="E9" s="29">
        <v>1403681223</v>
      </c>
      <c r="F9" s="29">
        <v>8767600</v>
      </c>
      <c r="G9" s="29">
        <v>480344</v>
      </c>
      <c r="H9" s="29">
        <v>-4126622</v>
      </c>
      <c r="I9" s="29">
        <v>141980963</v>
      </c>
      <c r="J9" s="29">
        <v>-3410268850</v>
      </c>
      <c r="K9" s="29">
        <f t="shared" si="0"/>
        <v>0</v>
      </c>
      <c r="L9" s="29">
        <v>31342061160</v>
      </c>
      <c r="M9" s="29">
        <v>0</v>
      </c>
      <c r="N9" s="29">
        <v>165284334246</v>
      </c>
    </row>
    <row r="10" spans="1:14">
      <c r="A10" s="26">
        <f>'法人一覧(26)'!A11</f>
        <v>8</v>
      </c>
      <c r="B10" s="2" t="str">
        <f>'法人一覧(26)'!B11</f>
        <v>外務省</v>
      </c>
      <c r="C10" s="2" t="str">
        <f>'法人一覧(26)'!C11</f>
        <v>国際交流基金</v>
      </c>
      <c r="D10" s="29">
        <v>12130449635</v>
      </c>
      <c r="E10" s="29">
        <v>303032743</v>
      </c>
      <c r="F10" s="29">
        <v>23869101</v>
      </c>
      <c r="G10" s="29">
        <v>-10511287</v>
      </c>
      <c r="H10" s="29">
        <v>-13081541</v>
      </c>
      <c r="I10" s="29">
        <v>3591078</v>
      </c>
      <c r="J10" s="29">
        <v>616247072</v>
      </c>
      <c r="K10" s="29">
        <f t="shared" si="0"/>
        <v>0</v>
      </c>
      <c r="L10" s="29">
        <v>537361179</v>
      </c>
      <c r="M10" s="29">
        <v>0</v>
      </c>
      <c r="N10" s="29">
        <v>13590957980</v>
      </c>
    </row>
    <row r="11" spans="1:14">
      <c r="A11" s="26">
        <f>'法人一覧(26)'!A12</f>
        <v>9</v>
      </c>
      <c r="B11" s="2" t="str">
        <f>'法人一覧(26)'!B12</f>
        <v>財務省</v>
      </c>
      <c r="C11" s="2" t="str">
        <f>'法人一覧(26)'!C12</f>
        <v>酒類総合研究所</v>
      </c>
      <c r="D11" s="52">
        <v>969320716</v>
      </c>
      <c r="E11" s="52">
        <v>114098185</v>
      </c>
      <c r="F11" s="52">
        <v>0</v>
      </c>
      <c r="G11" s="52">
        <v>0</v>
      </c>
      <c r="H11" s="52">
        <v>403707</v>
      </c>
      <c r="I11" s="52">
        <v>0</v>
      </c>
      <c r="J11" s="52">
        <v>-3122368</v>
      </c>
      <c r="K11" s="29">
        <f t="shared" si="0"/>
        <v>0</v>
      </c>
      <c r="L11" s="52">
        <v>23857864</v>
      </c>
      <c r="M11" s="52">
        <v>0</v>
      </c>
      <c r="N11" s="52">
        <v>1104558104</v>
      </c>
    </row>
    <row r="12" spans="1:14">
      <c r="A12" s="26">
        <f>'法人一覧(26)'!A13</f>
        <v>10</v>
      </c>
      <c r="B12" s="2" t="str">
        <f>'法人一覧(26)'!B13</f>
        <v>財務省</v>
      </c>
      <c r="C12" s="2" t="str">
        <f>'法人一覧(26)'!C13</f>
        <v>造幣局</v>
      </c>
      <c r="D12" s="52">
        <v>-1176755934</v>
      </c>
      <c r="E12" s="52">
        <v>0</v>
      </c>
      <c r="F12" s="52">
        <v>0</v>
      </c>
      <c r="G12" s="52">
        <v>0</v>
      </c>
      <c r="H12" s="52">
        <v>0</v>
      </c>
      <c r="I12" s="52">
        <v>0</v>
      </c>
      <c r="J12" s="52">
        <v>0</v>
      </c>
      <c r="K12" s="29">
        <f t="shared" si="0"/>
        <v>0</v>
      </c>
      <c r="L12" s="52">
        <v>245023139</v>
      </c>
      <c r="M12" s="52">
        <v>0</v>
      </c>
      <c r="N12" s="52">
        <v>-931732795</v>
      </c>
    </row>
    <row r="13" spans="1:14">
      <c r="A13" s="26">
        <f>'法人一覧(26)'!A14</f>
        <v>11</v>
      </c>
      <c r="B13" s="2" t="str">
        <f>'法人一覧(26)'!B14</f>
        <v>財務省</v>
      </c>
      <c r="C13" s="2" t="str">
        <f>'法人一覧(26)'!C14</f>
        <v>国立印刷局</v>
      </c>
      <c r="D13" s="52">
        <v>-8098084888</v>
      </c>
      <c r="E13" s="52">
        <v>0</v>
      </c>
      <c r="F13" s="52">
        <v>-201976006</v>
      </c>
      <c r="G13" s="52">
        <v>0</v>
      </c>
      <c r="H13" s="52">
        <v>0</v>
      </c>
      <c r="I13" s="52">
        <v>0</v>
      </c>
      <c r="J13" s="52">
        <v>2200955</v>
      </c>
      <c r="K13" s="29">
        <f t="shared" si="0"/>
        <v>0</v>
      </c>
      <c r="L13" s="52">
        <v>591677076</v>
      </c>
      <c r="M13" s="52">
        <v>0</v>
      </c>
      <c r="N13" s="52">
        <v>-7706182863</v>
      </c>
    </row>
    <row r="14" spans="1:14">
      <c r="A14" s="26">
        <f>'法人一覧(26)'!A15</f>
        <v>12</v>
      </c>
      <c r="B14" s="2" t="str">
        <f>'法人一覧(26)'!B15</f>
        <v>文部科学省</v>
      </c>
      <c r="C14" s="2" t="str">
        <f>'法人一覧(26)'!C15</f>
        <v>国立特別支援教育総合研究所</v>
      </c>
      <c r="D14" s="52">
        <v>986909468</v>
      </c>
      <c r="E14" s="52">
        <v>146965902</v>
      </c>
      <c r="F14" s="52">
        <v>0</v>
      </c>
      <c r="G14" s="52">
        <v>0</v>
      </c>
      <c r="H14" s="52">
        <v>0</v>
      </c>
      <c r="I14" s="52">
        <v>3436466</v>
      </c>
      <c r="J14" s="52">
        <v>-10152653</v>
      </c>
      <c r="K14" s="29">
        <f t="shared" si="0"/>
        <v>0</v>
      </c>
      <c r="L14" s="52">
        <v>23349360</v>
      </c>
      <c r="M14" s="52">
        <v>0</v>
      </c>
      <c r="N14" s="52">
        <v>1150508543</v>
      </c>
    </row>
    <row r="15" spans="1:14">
      <c r="A15" s="26">
        <f>'法人一覧(26)'!A16</f>
        <v>13</v>
      </c>
      <c r="B15" s="2" t="str">
        <f>'法人一覧(26)'!B16</f>
        <v>文部科学省</v>
      </c>
      <c r="C15" s="2" t="str">
        <f>'法人一覧(26)'!C16</f>
        <v>大学入試センター</v>
      </c>
      <c r="D15" s="52">
        <v>224508428</v>
      </c>
      <c r="E15" s="52">
        <v>36192591</v>
      </c>
      <c r="F15" s="52">
        <v>0</v>
      </c>
      <c r="G15" s="52">
        <v>0</v>
      </c>
      <c r="H15" s="52">
        <v>0</v>
      </c>
      <c r="I15" s="52">
        <v>0</v>
      </c>
      <c r="J15" s="52">
        <v>0</v>
      </c>
      <c r="K15" s="29">
        <f t="shared" si="0"/>
        <v>0</v>
      </c>
      <c r="L15" s="52">
        <v>43322514</v>
      </c>
      <c r="M15" s="52">
        <v>0</v>
      </c>
      <c r="N15" s="52">
        <v>304023533</v>
      </c>
    </row>
    <row r="16" spans="1:14">
      <c r="A16" s="26">
        <f>'法人一覧(26)'!A17</f>
        <v>14</v>
      </c>
      <c r="B16" s="2" t="str">
        <f>'法人一覧(26)'!B17</f>
        <v>文部科学省</v>
      </c>
      <c r="C16" s="2" t="str">
        <f>'法人一覧(26)'!C17</f>
        <v>国立青少年教育振興機構</v>
      </c>
      <c r="D16" s="52">
        <v>9487447173</v>
      </c>
      <c r="E16" s="52">
        <v>2850030397</v>
      </c>
      <c r="F16" s="52">
        <v>0</v>
      </c>
      <c r="G16" s="52">
        <v>0</v>
      </c>
      <c r="H16" s="52">
        <v>1573992</v>
      </c>
      <c r="I16" s="52">
        <v>12332846</v>
      </c>
      <c r="J16" s="52">
        <v>-94738450</v>
      </c>
      <c r="K16" s="29">
        <f t="shared" si="0"/>
        <v>0</v>
      </c>
      <c r="L16" s="52">
        <v>465849951</v>
      </c>
      <c r="M16" s="52">
        <v>0</v>
      </c>
      <c r="N16" s="52">
        <v>12722495909</v>
      </c>
    </row>
    <row r="17" spans="1:14">
      <c r="A17" s="26">
        <f>'法人一覧(26)'!A18</f>
        <v>15</v>
      </c>
      <c r="B17" s="2" t="str">
        <f>'法人一覧(26)'!B18</f>
        <v>文部科学省</v>
      </c>
      <c r="C17" s="2" t="str">
        <f>'法人一覧(26)'!C18</f>
        <v>国立女性教育会館</v>
      </c>
      <c r="D17" s="52">
        <v>495943455</v>
      </c>
      <c r="E17" s="52">
        <v>144848019</v>
      </c>
      <c r="F17" s="52">
        <v>0</v>
      </c>
      <c r="G17" s="52">
        <v>0</v>
      </c>
      <c r="H17" s="52">
        <v>0</v>
      </c>
      <c r="I17" s="52">
        <v>694353</v>
      </c>
      <c r="J17" s="52">
        <v>15311618</v>
      </c>
      <c r="K17" s="29">
        <f t="shared" si="0"/>
        <v>0</v>
      </c>
      <c r="L17" s="52">
        <v>14864306</v>
      </c>
      <c r="M17" s="52">
        <v>0</v>
      </c>
      <c r="N17" s="52">
        <v>671661751</v>
      </c>
    </row>
    <row r="18" spans="1:14">
      <c r="A18" s="26">
        <f>'法人一覧(26)'!A19</f>
        <v>16</v>
      </c>
      <c r="B18" s="2" t="str">
        <f>'法人一覧(26)'!B19</f>
        <v>文部科学省</v>
      </c>
      <c r="C18" s="2" t="str">
        <f>'法人一覧(26)'!C19</f>
        <v>国立科学博物館</v>
      </c>
      <c r="D18" s="52">
        <v>3261318933</v>
      </c>
      <c r="E18" s="52">
        <v>1163601889</v>
      </c>
      <c r="F18" s="52">
        <v>0</v>
      </c>
      <c r="G18" s="52">
        <v>34056</v>
      </c>
      <c r="H18" s="52">
        <v>567375615</v>
      </c>
      <c r="I18" s="52">
        <v>2958384</v>
      </c>
      <c r="J18" s="52">
        <v>-20514083</v>
      </c>
      <c r="K18" s="29">
        <f t="shared" si="0"/>
        <v>0</v>
      </c>
      <c r="L18" s="52">
        <v>472173130</v>
      </c>
      <c r="M18" s="52">
        <v>0</v>
      </c>
      <c r="N18" s="52">
        <v>5446947924</v>
      </c>
    </row>
    <row r="19" spans="1:14">
      <c r="A19" s="26">
        <f>'法人一覧(26)'!A20</f>
        <v>17</v>
      </c>
      <c r="B19" s="2" t="str">
        <f>'法人一覧(26)'!B20</f>
        <v>文部科学省</v>
      </c>
      <c r="C19" s="2" t="str">
        <f>'法人一覧(26)'!C20</f>
        <v>物質・材料研究機構</v>
      </c>
      <c r="D19" s="52">
        <v>15931272518</v>
      </c>
      <c r="E19" s="52">
        <v>1836480887</v>
      </c>
      <c r="F19" s="52">
        <v>0</v>
      </c>
      <c r="G19" s="52">
        <v>2991936</v>
      </c>
      <c r="H19" s="52">
        <v>0</v>
      </c>
      <c r="I19" s="52">
        <v>3829083</v>
      </c>
      <c r="J19" s="52">
        <v>-406691832</v>
      </c>
      <c r="K19" s="29">
        <f t="shared" si="0"/>
        <v>0</v>
      </c>
      <c r="L19" s="52">
        <v>586834097</v>
      </c>
      <c r="M19" s="52">
        <v>0</v>
      </c>
      <c r="N19" s="52">
        <v>17954716689</v>
      </c>
    </row>
    <row r="20" spans="1:14">
      <c r="A20" s="26">
        <f>'法人一覧(26)'!A21</f>
        <v>18</v>
      </c>
      <c r="B20" s="2" t="str">
        <f>'法人一覧(26)'!B21</f>
        <v>文部科学省</v>
      </c>
      <c r="C20" s="2" t="str">
        <f>'法人一覧(26)'!C21</f>
        <v>防災科学技術研究所</v>
      </c>
      <c r="D20" s="52">
        <v>10003358926</v>
      </c>
      <c r="E20" s="52">
        <v>4196663941</v>
      </c>
      <c r="F20" s="52">
        <v>0</v>
      </c>
      <c r="G20" s="52">
        <v>0</v>
      </c>
      <c r="H20" s="52">
        <v>2486869</v>
      </c>
      <c r="I20" s="52">
        <v>3269361</v>
      </c>
      <c r="J20" s="52">
        <v>-32303299</v>
      </c>
      <c r="K20" s="29">
        <f t="shared" si="0"/>
        <v>0</v>
      </c>
      <c r="L20" s="52">
        <v>256415774</v>
      </c>
      <c r="M20" s="52">
        <v>0</v>
      </c>
      <c r="N20" s="52">
        <v>14429891572</v>
      </c>
    </row>
    <row r="21" spans="1:14">
      <c r="A21" s="26">
        <f>'法人一覧(26)'!A22</f>
        <v>19</v>
      </c>
      <c r="B21" s="2" t="str">
        <f>'法人一覧(26)'!B22</f>
        <v>文部科学省</v>
      </c>
      <c r="C21" s="2" t="str">
        <f>'法人一覧(26)'!C22</f>
        <v>放射線医学総合研究所</v>
      </c>
      <c r="D21" s="52">
        <v>10676045290</v>
      </c>
      <c r="E21" s="52">
        <v>1577295434</v>
      </c>
      <c r="F21" s="52">
        <v>0</v>
      </c>
      <c r="G21" s="52">
        <v>11258758</v>
      </c>
      <c r="H21" s="52">
        <v>0</v>
      </c>
      <c r="I21" s="52">
        <v>18787410</v>
      </c>
      <c r="J21" s="52">
        <v>-177628755</v>
      </c>
      <c r="K21" s="29">
        <f t="shared" si="0"/>
        <v>0</v>
      </c>
      <c r="L21" s="52">
        <v>105506820</v>
      </c>
      <c r="M21" s="52">
        <v>0</v>
      </c>
      <c r="N21" s="52">
        <v>12211264957</v>
      </c>
    </row>
    <row r="22" spans="1:14">
      <c r="A22" s="26">
        <f>'法人一覧(26)'!A23</f>
        <v>20</v>
      </c>
      <c r="B22" s="2" t="str">
        <f>'法人一覧(26)'!B23</f>
        <v>文部科学省</v>
      </c>
      <c r="C22" s="2" t="str">
        <f>'法人一覧(26)'!C23</f>
        <v>国立美術館</v>
      </c>
      <c r="D22" s="52">
        <v>4438969257</v>
      </c>
      <c r="E22" s="52">
        <v>2339742637</v>
      </c>
      <c r="F22" s="52">
        <v>0</v>
      </c>
      <c r="G22" s="52">
        <v>0</v>
      </c>
      <c r="H22" s="52">
        <v>1058183</v>
      </c>
      <c r="I22" s="52">
        <v>5259148</v>
      </c>
      <c r="J22" s="52">
        <v>1487252</v>
      </c>
      <c r="K22" s="29">
        <f t="shared" si="0"/>
        <v>0</v>
      </c>
      <c r="L22" s="52">
        <v>704765521</v>
      </c>
      <c r="M22" s="52">
        <v>0</v>
      </c>
      <c r="N22" s="52">
        <v>7491281998</v>
      </c>
    </row>
    <row r="23" spans="1:14">
      <c r="A23" s="26">
        <f>'法人一覧(26)'!A24</f>
        <v>21</v>
      </c>
      <c r="B23" s="2" t="str">
        <f>'法人一覧(26)'!B24</f>
        <v>文部科学省</v>
      </c>
      <c r="C23" s="2" t="str">
        <f>'法人一覧(26)'!C24</f>
        <v>国立文化財機構</v>
      </c>
      <c r="D23" s="52">
        <f>10156967283-2376647859</f>
        <v>7780319424</v>
      </c>
      <c r="E23" s="52">
        <v>3617415405</v>
      </c>
      <c r="F23" s="52">
        <v>0</v>
      </c>
      <c r="G23" s="52">
        <v>0</v>
      </c>
      <c r="H23" s="52">
        <v>795365</v>
      </c>
      <c r="I23" s="52">
        <v>-674440</v>
      </c>
      <c r="J23" s="52">
        <v>-97397798</v>
      </c>
      <c r="K23" s="29">
        <f t="shared" si="0"/>
        <v>0</v>
      </c>
      <c r="L23" s="52">
        <v>922233007</v>
      </c>
      <c r="M23" s="52">
        <v>0</v>
      </c>
      <c r="N23" s="52">
        <v>12222690963</v>
      </c>
    </row>
    <row r="24" spans="1:14">
      <c r="A24" s="26">
        <f>'法人一覧(26)'!A25</f>
        <v>22</v>
      </c>
      <c r="B24" s="2" t="str">
        <f>'法人一覧(26)'!B25</f>
        <v>文部科学省</v>
      </c>
      <c r="C24" s="2" t="str">
        <f>'法人一覧(26)'!C25</f>
        <v>教員研修センター</v>
      </c>
      <c r="D24" s="52">
        <v>867187598</v>
      </c>
      <c r="E24" s="52">
        <v>101318690</v>
      </c>
      <c r="F24" s="52">
        <v>0</v>
      </c>
      <c r="G24" s="52">
        <v>0</v>
      </c>
      <c r="H24" s="52">
        <v>0</v>
      </c>
      <c r="I24" s="52">
        <v>992715</v>
      </c>
      <c r="J24" s="52">
        <v>-10620567</v>
      </c>
      <c r="K24" s="29">
        <f t="shared" si="0"/>
        <v>0</v>
      </c>
      <c r="L24" s="52">
        <v>18366713</v>
      </c>
      <c r="M24" s="52">
        <v>0</v>
      </c>
      <c r="N24" s="52">
        <v>977245149</v>
      </c>
    </row>
    <row r="25" spans="1:14">
      <c r="A25" s="26">
        <f>'法人一覧(26)'!A26</f>
        <v>23</v>
      </c>
      <c r="B25" s="2" t="str">
        <f>'法人一覧(26)'!B26</f>
        <v>文部科学省</v>
      </c>
      <c r="C25" s="2" t="str">
        <f>'法人一覧(26)'!C26</f>
        <v>科学技術振興機構</v>
      </c>
      <c r="D25" s="52">
        <v>146074759365</v>
      </c>
      <c r="E25" s="52">
        <v>3011844089</v>
      </c>
      <c r="F25" s="52">
        <v>35392</v>
      </c>
      <c r="G25" s="52">
        <v>0</v>
      </c>
      <c r="H25" s="52">
        <v>5514565887</v>
      </c>
      <c r="I25" s="52">
        <v>-6331078</v>
      </c>
      <c r="J25" s="52">
        <v>-1407861807</v>
      </c>
      <c r="K25" s="29">
        <f t="shared" si="0"/>
        <v>0</v>
      </c>
      <c r="L25" s="52">
        <v>687262800</v>
      </c>
      <c r="M25" s="52">
        <v>-27772756</v>
      </c>
      <c r="N25" s="52">
        <v>153846501892</v>
      </c>
    </row>
    <row r="26" spans="1:14">
      <c r="A26" s="26">
        <f>'法人一覧(26)'!A27</f>
        <v>24</v>
      </c>
      <c r="B26" s="2" t="str">
        <f>'法人一覧(26)'!B27</f>
        <v>文部科学省</v>
      </c>
      <c r="C26" s="2" t="str">
        <f>'法人一覧(26)'!C27</f>
        <v>日本学術振興会</v>
      </c>
      <c r="D26" s="52">
        <v>259565278291</v>
      </c>
      <c r="E26" s="52">
        <v>202722</v>
      </c>
      <c r="F26" s="52">
        <v>0</v>
      </c>
      <c r="G26" s="52">
        <v>0</v>
      </c>
      <c r="H26" s="52">
        <v>-1</v>
      </c>
      <c r="I26" s="52">
        <v>8559491</v>
      </c>
      <c r="J26" s="52">
        <v>155862869</v>
      </c>
      <c r="K26" s="29">
        <f t="shared" si="0"/>
        <v>0</v>
      </c>
      <c r="L26" s="52">
        <v>877888</v>
      </c>
      <c r="M26" s="52">
        <v>-70000</v>
      </c>
      <c r="N26" s="52">
        <v>259730711260</v>
      </c>
    </row>
    <row r="27" spans="1:14">
      <c r="A27" s="26">
        <f>'法人一覧(26)'!A28</f>
        <v>25</v>
      </c>
      <c r="B27" s="2" t="str">
        <f>'法人一覧(26)'!B28</f>
        <v>文部科学省</v>
      </c>
      <c r="C27" s="2" t="str">
        <f>'法人一覧(26)'!C28</f>
        <v>理化学研究所</v>
      </c>
      <c r="D27" s="52">
        <v>105864270189</v>
      </c>
      <c r="E27" s="52">
        <v>15800228800</v>
      </c>
      <c r="F27" s="52">
        <v>15507328</v>
      </c>
      <c r="G27" s="52">
        <v>0</v>
      </c>
      <c r="H27" s="52">
        <v>9887690</v>
      </c>
      <c r="I27" s="52">
        <v>40299895</v>
      </c>
      <c r="J27" s="52">
        <v>649557676</v>
      </c>
      <c r="K27" s="29">
        <f t="shared" si="0"/>
        <v>0</v>
      </c>
      <c r="L27" s="52">
        <v>2198881280</v>
      </c>
      <c r="M27" s="52">
        <v>-28659500</v>
      </c>
      <c r="N27" s="52">
        <v>124549973358</v>
      </c>
    </row>
    <row r="28" spans="1:14">
      <c r="A28" s="26">
        <f>'法人一覧(26)'!A29</f>
        <v>26</v>
      </c>
      <c r="B28" s="2" t="str">
        <f>'法人一覧(26)'!B29</f>
        <v>文部科学省</v>
      </c>
      <c r="C28" s="2" t="str">
        <f>'法人一覧(26)'!C29</f>
        <v>宇宙航空研究開発機構</v>
      </c>
      <c r="D28" s="52">
        <v>170276476486</v>
      </c>
      <c r="E28" s="52">
        <v>25817231482</v>
      </c>
      <c r="F28" s="52">
        <v>184683015</v>
      </c>
      <c r="G28" s="52">
        <v>1112492</v>
      </c>
      <c r="H28" s="52">
        <v>15410188</v>
      </c>
      <c r="I28" s="52">
        <v>8187317</v>
      </c>
      <c r="J28" s="52">
        <v>-1539061585</v>
      </c>
      <c r="K28" s="29">
        <f t="shared" si="0"/>
        <v>0</v>
      </c>
      <c r="L28" s="52">
        <v>1296593879</v>
      </c>
      <c r="M28" s="52">
        <v>-25233700</v>
      </c>
      <c r="N28" s="52">
        <v>196035399574</v>
      </c>
    </row>
    <row r="29" spans="1:14">
      <c r="A29" s="26">
        <f>'法人一覧(26)'!A30</f>
        <v>27</v>
      </c>
      <c r="B29" s="2" t="str">
        <f>'法人一覧(26)'!B30</f>
        <v>文部科学省</v>
      </c>
      <c r="C29" s="2" t="str">
        <f>'法人一覧(26)'!C30</f>
        <v>日本スポーツ振興センター</v>
      </c>
      <c r="D29" s="52">
        <v>-1501620954</v>
      </c>
      <c r="E29" s="52">
        <v>2577868143</v>
      </c>
      <c r="F29" s="52">
        <v>3903662882</v>
      </c>
      <c r="G29" s="52">
        <v>386111</v>
      </c>
      <c r="H29" s="52">
        <v>86964213</v>
      </c>
      <c r="I29" s="52">
        <v>31682386</v>
      </c>
      <c r="J29" s="52">
        <v>-581804830</v>
      </c>
      <c r="K29" s="29">
        <f t="shared" si="0"/>
        <v>0</v>
      </c>
      <c r="L29" s="52">
        <v>925569021</v>
      </c>
      <c r="M29" s="52">
        <v>-9771094459</v>
      </c>
      <c r="N29" s="52">
        <v>-4328387487</v>
      </c>
    </row>
    <row r="30" spans="1:14">
      <c r="A30" s="26">
        <f>'法人一覧(26)'!A31</f>
        <v>28</v>
      </c>
      <c r="B30" s="2" t="str">
        <f>'法人一覧(26)'!B31</f>
        <v>文部科学省</v>
      </c>
      <c r="C30" s="2" t="str">
        <f>'法人一覧(26)'!C31</f>
        <v>日本芸術文化振興会</v>
      </c>
      <c r="D30" s="52">
        <v>13174590926</v>
      </c>
      <c r="E30" s="52">
        <v>2388234708</v>
      </c>
      <c r="F30" s="52">
        <v>0</v>
      </c>
      <c r="G30" s="52">
        <v>0</v>
      </c>
      <c r="H30" s="52">
        <v>271726</v>
      </c>
      <c r="I30" s="52">
        <v>8265974</v>
      </c>
      <c r="J30" s="52">
        <v>-179115453</v>
      </c>
      <c r="K30" s="29">
        <f t="shared" si="0"/>
        <v>0</v>
      </c>
      <c r="L30" s="52">
        <v>957313802</v>
      </c>
      <c r="M30" s="52">
        <v>-190000</v>
      </c>
      <c r="N30" s="52">
        <v>16349371683</v>
      </c>
    </row>
    <row r="31" spans="1:14">
      <c r="A31" s="26">
        <f>'法人一覧(26)'!A32</f>
        <v>29</v>
      </c>
      <c r="B31" s="2" t="str">
        <f>'法人一覧(26)'!B32</f>
        <v>文部科学省</v>
      </c>
      <c r="C31" s="2" t="str">
        <f>'法人一覧(26)'!C32</f>
        <v>日本学生支援機構</v>
      </c>
      <c r="D31" s="52">
        <v>62877981801</v>
      </c>
      <c r="E31" s="52">
        <v>1041475991</v>
      </c>
      <c r="F31" s="52">
        <v>0</v>
      </c>
      <c r="G31" s="52">
        <v>0</v>
      </c>
      <c r="H31" s="52">
        <v>746751</v>
      </c>
      <c r="I31" s="52">
        <v>17582950</v>
      </c>
      <c r="J31" s="52">
        <v>-43098000</v>
      </c>
      <c r="K31" s="29">
        <f t="shared" si="0"/>
        <v>0</v>
      </c>
      <c r="L31" s="52">
        <v>9563566052</v>
      </c>
      <c r="M31" s="52">
        <v>0</v>
      </c>
      <c r="N31" s="52">
        <v>73458255545</v>
      </c>
    </row>
    <row r="32" spans="1:14">
      <c r="A32" s="26">
        <f>'法人一覧(26)'!A33</f>
        <v>30</v>
      </c>
      <c r="B32" s="2" t="str">
        <f>'法人一覧(26)'!B33</f>
        <v>文部科学省</v>
      </c>
      <c r="C32" s="2" t="str">
        <f>'法人一覧(26)'!C33</f>
        <v>海洋研究開発機構</v>
      </c>
      <c r="D32" s="52">
        <v>39943988574</v>
      </c>
      <c r="E32" s="52">
        <v>6665383267</v>
      </c>
      <c r="F32" s="52">
        <v>0</v>
      </c>
      <c r="G32" s="52">
        <v>5346385</v>
      </c>
      <c r="H32" s="52">
        <v>5349757</v>
      </c>
      <c r="I32" s="52">
        <v>10667389</v>
      </c>
      <c r="J32" s="52">
        <v>240096849</v>
      </c>
      <c r="K32" s="29">
        <f t="shared" si="0"/>
        <v>0</v>
      </c>
      <c r="L32" s="52">
        <v>1791648612</v>
      </c>
      <c r="M32" s="52">
        <v>-13364500</v>
      </c>
      <c r="N32" s="52">
        <v>48649116333</v>
      </c>
    </row>
    <row r="33" spans="1:14">
      <c r="A33" s="26">
        <f>'法人一覧(26)'!A34</f>
        <v>31</v>
      </c>
      <c r="B33" s="2" t="str">
        <f>'法人一覧(26)'!B34</f>
        <v>文部科学省</v>
      </c>
      <c r="C33" s="2" t="str">
        <f>'法人一覧(26)'!C34</f>
        <v>国立高等専門学校機構</v>
      </c>
      <c r="D33" s="52">
        <v>65318495758</v>
      </c>
      <c r="E33" s="52">
        <v>9925895406</v>
      </c>
      <c r="F33" s="52">
        <v>231582548</v>
      </c>
      <c r="G33" s="52">
        <v>4595651</v>
      </c>
      <c r="H33" s="52">
        <v>-850210779</v>
      </c>
      <c r="I33" s="52">
        <v>16704093</v>
      </c>
      <c r="J33" s="52">
        <v>1115990710</v>
      </c>
      <c r="K33" s="29">
        <f t="shared" si="0"/>
        <v>0</v>
      </c>
      <c r="L33" s="52">
        <v>1108710336</v>
      </c>
      <c r="M33" s="52">
        <v>0</v>
      </c>
      <c r="N33" s="52">
        <v>76871763723</v>
      </c>
    </row>
    <row r="34" spans="1:14">
      <c r="A34" s="26">
        <f>'法人一覧(26)'!A35</f>
        <v>32</v>
      </c>
      <c r="B34" s="2" t="str">
        <f>'法人一覧(26)'!B35</f>
        <v>文部科学省</v>
      </c>
      <c r="C34" s="2" t="str">
        <f>'法人一覧(26)'!C35</f>
        <v>大学評価・学位授与機構</v>
      </c>
      <c r="D34" s="52">
        <v>1264890176</v>
      </c>
      <c r="E34" s="52">
        <v>131649805</v>
      </c>
      <c r="F34" s="52">
        <v>0</v>
      </c>
      <c r="G34" s="52">
        <v>0</v>
      </c>
      <c r="H34" s="52">
        <v>0</v>
      </c>
      <c r="I34" s="52">
        <v>818162</v>
      </c>
      <c r="J34" s="52">
        <v>-16562561</v>
      </c>
      <c r="K34" s="29">
        <f t="shared" si="0"/>
        <v>0</v>
      </c>
      <c r="L34" s="52">
        <v>26273775</v>
      </c>
      <c r="M34" s="52">
        <v>0</v>
      </c>
      <c r="N34" s="52">
        <v>1407069357</v>
      </c>
    </row>
    <row r="35" spans="1:14">
      <c r="A35" s="26">
        <f>'法人一覧(26)'!A36</f>
        <v>33</v>
      </c>
      <c r="B35" s="2" t="str">
        <f>'法人一覧(26)'!B36</f>
        <v>文部科学省</v>
      </c>
      <c r="C35" s="2" t="str">
        <f>'法人一覧(26)'!C36</f>
        <v>国立大学財務・経営センター</v>
      </c>
      <c r="D35" s="52">
        <v>2637462881</v>
      </c>
      <c r="E35" s="52">
        <v>16555812</v>
      </c>
      <c r="F35" s="52">
        <v>0</v>
      </c>
      <c r="G35" s="52">
        <v>0</v>
      </c>
      <c r="H35" s="52">
        <v>0</v>
      </c>
      <c r="I35" s="52">
        <v>988261</v>
      </c>
      <c r="J35" s="52">
        <v>6084094</v>
      </c>
      <c r="K35" s="29">
        <f t="shared" si="0"/>
        <v>0</v>
      </c>
      <c r="L35" s="52">
        <v>3908082</v>
      </c>
      <c r="M35" s="52">
        <v>0</v>
      </c>
      <c r="N35" s="52">
        <v>2664999130</v>
      </c>
    </row>
    <row r="36" spans="1:14">
      <c r="A36" s="26">
        <f>'法人一覧(26)'!A37</f>
        <v>34</v>
      </c>
      <c r="B36" s="2" t="str">
        <f>'法人一覧(26)'!B37</f>
        <v>文部科学省</v>
      </c>
      <c r="C36" s="2" t="str">
        <f>'法人一覧(26)'!C37</f>
        <v>日本原子力研究開発機構</v>
      </c>
      <c r="D36" s="52">
        <v>166152103273</v>
      </c>
      <c r="E36" s="52">
        <v>19027248608</v>
      </c>
      <c r="F36" s="52">
        <v>425890013</v>
      </c>
      <c r="G36" s="52">
        <v>-29410545</v>
      </c>
      <c r="H36" s="52">
        <v>-296046660</v>
      </c>
      <c r="I36" s="52">
        <v>76306237</v>
      </c>
      <c r="J36" s="52">
        <v>-5840397319</v>
      </c>
      <c r="K36" s="29">
        <f t="shared" si="0"/>
        <v>0</v>
      </c>
      <c r="L36" s="52">
        <v>3036531350</v>
      </c>
      <c r="M36" s="52">
        <v>-65634000</v>
      </c>
      <c r="N36" s="52">
        <v>182486590957</v>
      </c>
    </row>
    <row r="37" spans="1:14">
      <c r="A37" s="26">
        <f>'法人一覧(26)'!A38</f>
        <v>35</v>
      </c>
      <c r="B37" s="2" t="str">
        <f>'法人一覧(26)'!B38</f>
        <v>厚生労働省</v>
      </c>
      <c r="C37" s="2" t="str">
        <f>'法人一覧(26)'!C38</f>
        <v>国立健康・栄養研究所</v>
      </c>
      <c r="D37" s="52">
        <v>635771315</v>
      </c>
      <c r="E37" s="52">
        <v>0</v>
      </c>
      <c r="F37" s="52">
        <v>0</v>
      </c>
      <c r="G37" s="52">
        <v>0</v>
      </c>
      <c r="H37" s="52">
        <v>0</v>
      </c>
      <c r="I37" s="52">
        <v>-327844</v>
      </c>
      <c r="J37" s="52">
        <v>-25543745</v>
      </c>
      <c r="K37" s="29">
        <f t="shared" si="0"/>
        <v>0</v>
      </c>
      <c r="L37" s="52">
        <v>123667947</v>
      </c>
      <c r="M37" s="52">
        <v>0</v>
      </c>
      <c r="N37" s="52">
        <v>733567673</v>
      </c>
    </row>
    <row r="38" spans="1:14">
      <c r="A38" s="26">
        <f>'法人一覧(26)'!A39</f>
        <v>36</v>
      </c>
      <c r="B38" s="2" t="str">
        <f>'法人一覧(26)'!B39</f>
        <v>厚生労働省</v>
      </c>
      <c r="C38" s="2" t="str">
        <f>'法人一覧(26)'!C39</f>
        <v>労働安全衛生総合研究所</v>
      </c>
      <c r="D38" s="52">
        <v>1852357812</v>
      </c>
      <c r="E38" s="52">
        <v>256295228</v>
      </c>
      <c r="F38" s="52">
        <v>0</v>
      </c>
      <c r="G38" s="52">
        <v>0</v>
      </c>
      <c r="H38" s="52">
        <v>0</v>
      </c>
      <c r="I38" s="52">
        <v>6175505</v>
      </c>
      <c r="J38" s="52">
        <v>33280351</v>
      </c>
      <c r="K38" s="29">
        <f t="shared" si="0"/>
        <v>0</v>
      </c>
      <c r="L38" s="52">
        <v>39164381</v>
      </c>
      <c r="M38" s="52">
        <v>0</v>
      </c>
      <c r="N38" s="52">
        <v>2187273277</v>
      </c>
    </row>
    <row r="39" spans="1:14">
      <c r="A39" s="26">
        <f>'法人一覧(26)'!A40</f>
        <v>37</v>
      </c>
      <c r="B39" s="2" t="str">
        <f>'法人一覧(26)'!B40</f>
        <v>厚生労働省</v>
      </c>
      <c r="C39" s="2" t="str">
        <f>'法人一覧(26)'!C40</f>
        <v>勤労者退職金共済機構</v>
      </c>
      <c r="D39" s="52">
        <v>-183484839570</v>
      </c>
      <c r="E39" s="52">
        <v>0</v>
      </c>
      <c r="F39" s="52">
        <v>0</v>
      </c>
      <c r="G39" s="52">
        <v>0</v>
      </c>
      <c r="H39" s="52">
        <v>0</v>
      </c>
      <c r="I39" s="52">
        <v>-155843</v>
      </c>
      <c r="J39" s="52">
        <v>83138057</v>
      </c>
      <c r="K39" s="29">
        <f t="shared" si="0"/>
        <v>0</v>
      </c>
      <c r="L39" s="52">
        <v>7873</v>
      </c>
      <c r="M39" s="52">
        <v>0</v>
      </c>
      <c r="N39" s="52">
        <v>-183401849483</v>
      </c>
    </row>
    <row r="40" spans="1:14">
      <c r="A40" s="26">
        <f>'法人一覧(26)'!A41</f>
        <v>38</v>
      </c>
      <c r="B40" s="2" t="str">
        <f>'法人一覧(26)'!B41</f>
        <v>厚生労働省</v>
      </c>
      <c r="C40" s="2" t="str">
        <f>'法人一覧(26)'!C41</f>
        <v>高齢・障害・求職者雇用支援機構</v>
      </c>
      <c r="D40" s="52">
        <v>56449735419</v>
      </c>
      <c r="E40" s="52">
        <v>7557263041</v>
      </c>
      <c r="F40" s="52">
        <v>1168422033</v>
      </c>
      <c r="G40" s="52">
        <v>190581206</v>
      </c>
      <c r="H40" s="52">
        <v>2363838186</v>
      </c>
      <c r="I40" s="52">
        <v>57327089</v>
      </c>
      <c r="J40" s="52">
        <v>-5638898484</v>
      </c>
      <c r="K40" s="29">
        <f t="shared" si="0"/>
        <v>0</v>
      </c>
      <c r="L40" s="52">
        <v>1922931442</v>
      </c>
      <c r="M40" s="52">
        <v>0</v>
      </c>
      <c r="N40" s="52">
        <v>64071199932</v>
      </c>
    </row>
    <row r="41" spans="1:14">
      <c r="A41" s="26">
        <f>'法人一覧(26)'!A42</f>
        <v>39</v>
      </c>
      <c r="B41" s="2" t="str">
        <f>'法人一覧(26)'!B42</f>
        <v>厚生労働省</v>
      </c>
      <c r="C41" s="2" t="str">
        <f>'法人一覧(26)'!C42</f>
        <v>福祉医療機構</v>
      </c>
      <c r="D41" s="52">
        <v>14078270125</v>
      </c>
      <c r="E41" s="52">
        <v>21043968</v>
      </c>
      <c r="F41" s="52">
        <v>0</v>
      </c>
      <c r="G41" s="52">
        <v>0</v>
      </c>
      <c r="H41" s="52">
        <v>0</v>
      </c>
      <c r="I41" s="52">
        <v>3648469</v>
      </c>
      <c r="J41" s="52">
        <v>-2886831480</v>
      </c>
      <c r="K41" s="29">
        <f t="shared" si="0"/>
        <v>0</v>
      </c>
      <c r="L41" s="52">
        <v>4840374024</v>
      </c>
      <c r="M41" s="52">
        <v>0</v>
      </c>
      <c r="N41" s="52">
        <v>16056505106</v>
      </c>
    </row>
    <row r="42" spans="1:14">
      <c r="A42" s="26">
        <f>'法人一覧(26)'!A43</f>
        <v>40</v>
      </c>
      <c r="B42" s="2" t="str">
        <f>'法人一覧(26)'!B43</f>
        <v>厚生労働省</v>
      </c>
      <c r="C42" s="2" t="str">
        <f>'法人一覧(26)'!C43</f>
        <v>国立重度知的障害者総合施設のぞみの園</v>
      </c>
      <c r="D42" s="52">
        <v>1621765922</v>
      </c>
      <c r="E42" s="52">
        <v>256483504</v>
      </c>
      <c r="F42" s="52">
        <v>0</v>
      </c>
      <c r="G42" s="52">
        <v>0</v>
      </c>
      <c r="H42" s="52">
        <v>537379</v>
      </c>
      <c r="I42" s="52">
        <v>-16701408</v>
      </c>
      <c r="J42" s="52">
        <v>66594100</v>
      </c>
      <c r="K42" s="29">
        <f t="shared" si="0"/>
        <v>0</v>
      </c>
      <c r="L42" s="52">
        <v>54763232</v>
      </c>
      <c r="M42" s="52">
        <v>0</v>
      </c>
      <c r="N42" s="52">
        <v>1983442729</v>
      </c>
    </row>
    <row r="43" spans="1:14">
      <c r="A43" s="26">
        <f>'法人一覧(26)'!A44</f>
        <v>41</v>
      </c>
      <c r="B43" s="2" t="str">
        <f>'法人一覧(26)'!B44</f>
        <v>厚生労働省</v>
      </c>
      <c r="C43" s="2" t="str">
        <f>'法人一覧(26)'!C44</f>
        <v>労働政策研究・研修機構</v>
      </c>
      <c r="D43" s="52">
        <v>2307649980</v>
      </c>
      <c r="E43" s="52">
        <v>149101881</v>
      </c>
      <c r="F43" s="52">
        <v>0</v>
      </c>
      <c r="G43" s="52">
        <v>17157</v>
      </c>
      <c r="H43" s="52">
        <v>8366</v>
      </c>
      <c r="I43" s="52">
        <v>2013306</v>
      </c>
      <c r="J43" s="52">
        <v>-169173825</v>
      </c>
      <c r="K43" s="29">
        <f t="shared" si="0"/>
        <v>0</v>
      </c>
      <c r="L43" s="52">
        <v>28276144</v>
      </c>
      <c r="M43" s="52">
        <v>0</v>
      </c>
      <c r="N43" s="52">
        <v>2317893009</v>
      </c>
    </row>
    <row r="44" spans="1:14">
      <c r="A44" s="26">
        <f>'法人一覧(26)'!A45</f>
        <v>42</v>
      </c>
      <c r="B44" s="2" t="str">
        <f>'法人一覧(26)'!B45</f>
        <v>厚生労働省</v>
      </c>
      <c r="C44" s="2" t="str">
        <f>'法人一覧(26)'!C45</f>
        <v>労働者健康福祉機構</v>
      </c>
      <c r="D44" s="52">
        <v>28877791904</v>
      </c>
      <c r="E44" s="52">
        <v>758506567</v>
      </c>
      <c r="F44" s="52">
        <v>0</v>
      </c>
      <c r="G44" s="52">
        <v>0</v>
      </c>
      <c r="H44" s="52">
        <v>47364944</v>
      </c>
      <c r="I44" s="52">
        <v>4388433</v>
      </c>
      <c r="J44" s="52">
        <v>357547793</v>
      </c>
      <c r="K44" s="29">
        <f t="shared" si="0"/>
        <v>0</v>
      </c>
      <c r="L44" s="52">
        <v>917252290</v>
      </c>
      <c r="M44" s="52">
        <v>-170550955</v>
      </c>
      <c r="N44" s="52">
        <v>30792300976</v>
      </c>
    </row>
    <row r="45" spans="1:14">
      <c r="A45" s="26">
        <f>'法人一覧(26)'!A46</f>
        <v>43</v>
      </c>
      <c r="B45" s="2" t="str">
        <f>'法人一覧(26)'!B46</f>
        <v>厚生労働省</v>
      </c>
      <c r="C45" s="2" t="str">
        <f>'法人一覧(26)'!C46</f>
        <v>国立病院機構</v>
      </c>
      <c r="D45" s="52">
        <v>11234805032</v>
      </c>
      <c r="E45" s="52">
        <v>489682611</v>
      </c>
      <c r="F45" s="52">
        <v>0</v>
      </c>
      <c r="G45" s="52">
        <v>0</v>
      </c>
      <c r="H45" s="52">
        <v>110013380</v>
      </c>
      <c r="I45" s="52">
        <v>0</v>
      </c>
      <c r="J45" s="52">
        <v>0</v>
      </c>
      <c r="K45" s="29">
        <f t="shared" si="0"/>
        <v>0</v>
      </c>
      <c r="L45" s="52">
        <v>1741960755</v>
      </c>
      <c r="M45" s="52">
        <v>0</v>
      </c>
      <c r="N45" s="52">
        <v>13576461778</v>
      </c>
    </row>
    <row r="46" spans="1:14">
      <c r="A46" s="26">
        <f>'法人一覧(26)'!A47</f>
        <v>44</v>
      </c>
      <c r="B46" s="2" t="str">
        <f>'法人一覧(26)'!B47</f>
        <v>厚生労働省</v>
      </c>
      <c r="C46" s="2" t="str">
        <f>'法人一覧(26)'!C47</f>
        <v>医薬品医療機器総合機構</v>
      </c>
      <c r="D46" s="52">
        <v>3021744144</v>
      </c>
      <c r="E46" s="52">
        <v>14024581</v>
      </c>
      <c r="F46" s="52">
        <v>0</v>
      </c>
      <c r="G46" s="52">
        <v>0</v>
      </c>
      <c r="H46" s="52">
        <v>0</v>
      </c>
      <c r="I46" s="52">
        <v>17906148</v>
      </c>
      <c r="J46" s="52">
        <v>104462099</v>
      </c>
      <c r="K46" s="29">
        <f t="shared" si="0"/>
        <v>0</v>
      </c>
      <c r="L46" s="52">
        <v>1716841</v>
      </c>
      <c r="M46" s="52">
        <v>0</v>
      </c>
      <c r="N46" s="52">
        <v>3159853813</v>
      </c>
    </row>
    <row r="47" spans="1:14">
      <c r="A47" s="26">
        <f>'法人一覧(26)'!A48</f>
        <v>45</v>
      </c>
      <c r="B47" s="2" t="str">
        <f>'法人一覧(26)'!B48</f>
        <v>厚生労働省</v>
      </c>
      <c r="C47" s="2" t="str">
        <f>'法人一覧(26)'!C48</f>
        <v>医薬基盤研究所</v>
      </c>
      <c r="D47" s="52">
        <v>6485509263</v>
      </c>
      <c r="E47" s="52">
        <v>781525856</v>
      </c>
      <c r="F47" s="52">
        <v>0</v>
      </c>
      <c r="G47" s="52">
        <v>0</v>
      </c>
      <c r="H47" s="52">
        <v>984731</v>
      </c>
      <c r="I47" s="52">
        <v>-4020838</v>
      </c>
      <c r="J47" s="52">
        <v>11117347</v>
      </c>
      <c r="K47" s="29">
        <f t="shared" si="0"/>
        <v>0</v>
      </c>
      <c r="L47" s="52">
        <v>204544437</v>
      </c>
      <c r="M47" s="52">
        <v>0</v>
      </c>
      <c r="N47" s="52">
        <v>7479660796</v>
      </c>
    </row>
    <row r="48" spans="1:14">
      <c r="A48" s="26">
        <f>'法人一覧(26)'!A49</f>
        <v>46</v>
      </c>
      <c r="B48" s="2" t="str">
        <f>'法人一覧(26)'!B49</f>
        <v>厚生労働省</v>
      </c>
      <c r="C48" s="2" t="str">
        <f>'法人一覧(26)'!C49</f>
        <v>地域医療機能推進機構</v>
      </c>
      <c r="D48" s="52">
        <v>6964843939</v>
      </c>
      <c r="E48" s="52">
        <v>0</v>
      </c>
      <c r="F48" s="52">
        <v>0</v>
      </c>
      <c r="G48" s="52">
        <v>0</v>
      </c>
      <c r="H48" s="52">
        <v>2000</v>
      </c>
      <c r="I48" s="52">
        <v>0</v>
      </c>
      <c r="J48" s="52">
        <v>0</v>
      </c>
      <c r="K48" s="29">
        <f t="shared" si="0"/>
        <v>0</v>
      </c>
      <c r="L48" s="52">
        <v>710588110</v>
      </c>
      <c r="M48" s="52">
        <v>0</v>
      </c>
      <c r="N48" s="52">
        <v>7675434049</v>
      </c>
    </row>
    <row r="49" spans="1:14">
      <c r="A49" s="26">
        <f>'法人一覧(26)'!A50</f>
        <v>47</v>
      </c>
      <c r="B49" s="2" t="str">
        <f>'法人一覧(26)'!B50</f>
        <v>厚生労働省</v>
      </c>
      <c r="C49" s="2" t="str">
        <f>'法人一覧(26)'!C50</f>
        <v>年金積立金管理運用</v>
      </c>
      <c r="D49" s="52">
        <v>-15261896228052</v>
      </c>
      <c r="E49" s="52">
        <v>0</v>
      </c>
      <c r="F49" s="52">
        <v>0</v>
      </c>
      <c r="G49" s="52">
        <v>0</v>
      </c>
      <c r="H49" s="52">
        <v>0</v>
      </c>
      <c r="I49" s="52">
        <v>0</v>
      </c>
      <c r="J49" s="52">
        <v>-1252125</v>
      </c>
      <c r="K49" s="29">
        <f t="shared" si="0"/>
        <v>0</v>
      </c>
      <c r="L49" s="52">
        <v>400000</v>
      </c>
      <c r="M49" s="52">
        <v>0</v>
      </c>
      <c r="N49" s="52">
        <v>-15261897080177</v>
      </c>
    </row>
    <row r="50" spans="1:14">
      <c r="A50" s="26">
        <f>'法人一覧(26)'!A51</f>
        <v>48</v>
      </c>
      <c r="B50" s="2" t="str">
        <f>'法人一覧(26)'!B51</f>
        <v>厚生労働省</v>
      </c>
      <c r="C50" s="2" t="str">
        <f>'法人一覧(26)'!C51</f>
        <v>国立がん研究センター</v>
      </c>
      <c r="D50" s="52">
        <v>10172150432</v>
      </c>
      <c r="E50" s="52">
        <v>1004819020</v>
      </c>
      <c r="F50" s="52">
        <v>0</v>
      </c>
      <c r="G50" s="52">
        <v>3209148</v>
      </c>
      <c r="H50" s="52">
        <v>1145115</v>
      </c>
      <c r="I50" s="52">
        <v>0</v>
      </c>
      <c r="J50" s="52">
        <v>10097685</v>
      </c>
      <c r="K50" s="29">
        <f t="shared" si="0"/>
        <v>0</v>
      </c>
      <c r="L50" s="52">
        <v>371470672</v>
      </c>
      <c r="M50" s="52">
        <v>0</v>
      </c>
      <c r="N50" s="52">
        <v>11562892072</v>
      </c>
    </row>
    <row r="51" spans="1:14">
      <c r="A51" s="26">
        <f>'法人一覧(26)'!A52</f>
        <v>49</v>
      </c>
      <c r="B51" s="2" t="str">
        <f>'法人一覧(26)'!B52</f>
        <v>厚生労働省</v>
      </c>
      <c r="C51" s="2" t="str">
        <f>'法人一覧(26)'!C52</f>
        <v>国立循環器病研究センター</v>
      </c>
      <c r="D51" s="52">
        <v>6425748163</v>
      </c>
      <c r="E51" s="52">
        <v>209252384</v>
      </c>
      <c r="F51" s="52">
        <v>0</v>
      </c>
      <c r="G51" s="52">
        <v>0</v>
      </c>
      <c r="H51" s="52">
        <v>0</v>
      </c>
      <c r="I51" s="52">
        <v>0</v>
      </c>
      <c r="J51" s="52">
        <v>-75360492</v>
      </c>
      <c r="K51" s="29">
        <f t="shared" si="0"/>
        <v>0</v>
      </c>
      <c r="L51" s="52">
        <v>117278119</v>
      </c>
      <c r="M51" s="52">
        <v>0</v>
      </c>
      <c r="N51" s="52">
        <v>6676918174</v>
      </c>
    </row>
    <row r="52" spans="1:14">
      <c r="A52" s="26">
        <f>'法人一覧(26)'!A53</f>
        <v>50</v>
      </c>
      <c r="B52" s="2" t="str">
        <f>'法人一覧(26)'!B53</f>
        <v>厚生労働省</v>
      </c>
      <c r="C52" s="2" t="str">
        <f>'法人一覧(26)'!C53</f>
        <v>国立精神・神経医療研究センター</v>
      </c>
      <c r="D52" s="52">
        <v>5587067555</v>
      </c>
      <c r="E52" s="52">
        <v>1080063840</v>
      </c>
      <c r="F52" s="52">
        <v>0</v>
      </c>
      <c r="G52" s="52">
        <v>2860594</v>
      </c>
      <c r="H52" s="52">
        <v>368012</v>
      </c>
      <c r="I52" s="52">
        <v>0</v>
      </c>
      <c r="J52" s="52">
        <v>24000452</v>
      </c>
      <c r="K52" s="29">
        <f t="shared" si="0"/>
        <v>0</v>
      </c>
      <c r="L52" s="52">
        <v>144154280</v>
      </c>
      <c r="M52" s="52">
        <v>0</v>
      </c>
      <c r="N52" s="52">
        <v>6838514733</v>
      </c>
    </row>
    <row r="53" spans="1:14">
      <c r="A53" s="26">
        <f>'法人一覧(26)'!A54</f>
        <v>51</v>
      </c>
      <c r="B53" s="2" t="str">
        <f>'法人一覧(26)'!B54</f>
        <v>厚生労働省</v>
      </c>
      <c r="C53" s="2" t="str">
        <f>'法人一覧(26)'!C54</f>
        <v>国立国際医療研究センター</v>
      </c>
      <c r="D53" s="52">
        <v>8982178918</v>
      </c>
      <c r="E53" s="52">
        <v>797272102</v>
      </c>
      <c r="F53" s="52">
        <v>0</v>
      </c>
      <c r="G53" s="52">
        <v>0</v>
      </c>
      <c r="H53" s="52">
        <v>0</v>
      </c>
      <c r="I53" s="52">
        <v>0</v>
      </c>
      <c r="J53" s="52">
        <v>487238211</v>
      </c>
      <c r="K53" s="29">
        <f t="shared" si="0"/>
        <v>0</v>
      </c>
      <c r="L53" s="52">
        <v>277849855</v>
      </c>
      <c r="M53" s="52">
        <v>0</v>
      </c>
      <c r="N53" s="52">
        <v>10544539086</v>
      </c>
    </row>
    <row r="54" spans="1:14">
      <c r="A54" s="26">
        <f>'法人一覧(26)'!A55</f>
        <v>52</v>
      </c>
      <c r="B54" s="2" t="str">
        <f>'法人一覧(26)'!B55</f>
        <v>厚生労働省</v>
      </c>
      <c r="C54" s="2" t="str">
        <f>'法人一覧(26)'!C55</f>
        <v>国立成育医療研究センター</v>
      </c>
      <c r="D54" s="52">
        <v>6899989776</v>
      </c>
      <c r="E54" s="52">
        <v>453674446</v>
      </c>
      <c r="F54" s="52">
        <v>0</v>
      </c>
      <c r="G54" s="52">
        <v>0</v>
      </c>
      <c r="H54" s="52">
        <v>89643428</v>
      </c>
      <c r="I54" s="52">
        <v>0</v>
      </c>
      <c r="J54" s="52">
        <v>484459423</v>
      </c>
      <c r="K54" s="29">
        <f t="shared" si="0"/>
        <v>0</v>
      </c>
      <c r="L54" s="52">
        <v>151773529</v>
      </c>
      <c r="M54" s="52">
        <v>0</v>
      </c>
      <c r="N54" s="52">
        <v>8079540602</v>
      </c>
    </row>
    <row r="55" spans="1:14">
      <c r="A55" s="26">
        <f>'法人一覧(26)'!A56</f>
        <v>53</v>
      </c>
      <c r="B55" s="2" t="str">
        <f>'法人一覧(26)'!B56</f>
        <v>厚生労働省</v>
      </c>
      <c r="C55" s="2" t="str">
        <f>'法人一覧(26)'!C56</f>
        <v>国立長寿医療研究センター</v>
      </c>
      <c r="D55" s="52">
        <v>3562467432</v>
      </c>
      <c r="E55" s="52">
        <v>816094031</v>
      </c>
      <c r="F55" s="52">
        <v>0</v>
      </c>
      <c r="G55" s="52">
        <v>0</v>
      </c>
      <c r="H55" s="52">
        <v>4</v>
      </c>
      <c r="I55" s="52">
        <v>0</v>
      </c>
      <c r="J55" s="52">
        <v>31636731</v>
      </c>
      <c r="K55" s="29">
        <f t="shared" si="0"/>
        <v>0</v>
      </c>
      <c r="L55" s="52">
        <v>35101099</v>
      </c>
      <c r="M55" s="52">
        <v>0</v>
      </c>
      <c r="N55" s="52">
        <v>4445299297</v>
      </c>
    </row>
    <row r="56" spans="1:14">
      <c r="A56" s="26">
        <f>'法人一覧(26)'!A57</f>
        <v>54</v>
      </c>
      <c r="B56" s="2" t="str">
        <f>'法人一覧(26)'!B57</f>
        <v>農林水産省</v>
      </c>
      <c r="C56" s="2" t="str">
        <f>'法人一覧(26)'!C57</f>
        <v>農林水産消費安全技術センター</v>
      </c>
      <c r="D56" s="52">
        <v>6879334288</v>
      </c>
      <c r="E56" s="52">
        <v>337003731</v>
      </c>
      <c r="F56" s="52">
        <v>435600</v>
      </c>
      <c r="G56" s="52">
        <v>4051885</v>
      </c>
      <c r="H56" s="52">
        <v>-8421130</v>
      </c>
      <c r="I56" s="52">
        <v>10512269</v>
      </c>
      <c r="J56" s="52">
        <v>-459228945</v>
      </c>
      <c r="K56" s="29">
        <f t="shared" si="0"/>
        <v>0</v>
      </c>
      <c r="L56" s="52">
        <v>368054531</v>
      </c>
      <c r="M56" s="52">
        <v>0</v>
      </c>
      <c r="N56" s="52">
        <v>7131742229</v>
      </c>
    </row>
    <row r="57" spans="1:14">
      <c r="A57" s="26">
        <f>'法人一覧(26)'!A58</f>
        <v>55</v>
      </c>
      <c r="B57" s="2" t="str">
        <f>'法人一覧(26)'!B58</f>
        <v>農林水産省</v>
      </c>
      <c r="C57" s="2" t="str">
        <f>'法人一覧(26)'!C58</f>
        <v>種苗管理センター</v>
      </c>
      <c r="D57" s="29">
        <v>2696403001</v>
      </c>
      <c r="E57" s="29">
        <v>279050018</v>
      </c>
      <c r="F57" s="29">
        <v>1207017</v>
      </c>
      <c r="G57" s="29">
        <v>0</v>
      </c>
      <c r="H57" s="29">
        <v>67027987</v>
      </c>
      <c r="I57" s="29">
        <v>-2429815</v>
      </c>
      <c r="J57" s="29">
        <v>-184480535</v>
      </c>
      <c r="K57" s="29">
        <f t="shared" si="0"/>
        <v>0</v>
      </c>
      <c r="L57" s="29">
        <v>34782851</v>
      </c>
      <c r="M57" s="29">
        <v>0</v>
      </c>
      <c r="N57" s="29">
        <v>2891560524</v>
      </c>
    </row>
    <row r="58" spans="1:14">
      <c r="A58" s="26">
        <f>'法人一覧(26)'!A59</f>
        <v>56</v>
      </c>
      <c r="B58" s="2" t="str">
        <f>'法人一覧(26)'!B59</f>
        <v>農林水産省</v>
      </c>
      <c r="C58" s="2" t="str">
        <f>'法人一覧(26)'!C59</f>
        <v>家畜改良センター</v>
      </c>
      <c r="D58" s="29">
        <v>6979596331</v>
      </c>
      <c r="E58" s="29">
        <v>778200905</v>
      </c>
      <c r="F58" s="29">
        <v>22876839</v>
      </c>
      <c r="G58" s="29">
        <v>0</v>
      </c>
      <c r="H58" s="29">
        <v>22217776</v>
      </c>
      <c r="I58" s="29">
        <v>3390865</v>
      </c>
      <c r="J58" s="29">
        <v>-411238620</v>
      </c>
      <c r="K58" s="29">
        <f t="shared" si="0"/>
        <v>0</v>
      </c>
      <c r="L58" s="29">
        <v>151375782</v>
      </c>
      <c r="M58" s="29">
        <v>0</v>
      </c>
      <c r="N58" s="29">
        <v>7546419878</v>
      </c>
    </row>
    <row r="59" spans="1:14">
      <c r="A59" s="26">
        <f>'法人一覧(26)'!A60</f>
        <v>57</v>
      </c>
      <c r="B59" s="2" t="str">
        <f>'法人一覧(26)'!B60</f>
        <v>農林水産省</v>
      </c>
      <c r="C59" s="2" t="str">
        <f>'法人一覧(26)'!C60</f>
        <v>水産大学校</v>
      </c>
      <c r="D59" s="29">
        <v>1780554195</v>
      </c>
      <c r="E59" s="29">
        <v>596671244</v>
      </c>
      <c r="F59" s="29">
        <v>118846478</v>
      </c>
      <c r="G59" s="29">
        <v>0</v>
      </c>
      <c r="H59" s="29">
        <v>2804186</v>
      </c>
      <c r="I59" s="29">
        <v>10418656</v>
      </c>
      <c r="J59" s="29">
        <v>-74082744</v>
      </c>
      <c r="K59" s="29">
        <f t="shared" si="0"/>
        <v>0</v>
      </c>
      <c r="L59" s="29">
        <v>42336621</v>
      </c>
      <c r="M59" s="29">
        <v>0</v>
      </c>
      <c r="N59" s="29">
        <v>2477548636</v>
      </c>
    </row>
    <row r="60" spans="1:14">
      <c r="A60" s="26">
        <f>'法人一覧(26)'!A61</f>
        <v>58</v>
      </c>
      <c r="B60" s="2" t="str">
        <f>'法人一覧(26)'!B61</f>
        <v>農林水産省</v>
      </c>
      <c r="C60" s="2" t="str">
        <f>'法人一覧(26)'!C61</f>
        <v>農業・食品産業技術総合研究機構</v>
      </c>
      <c r="D60" s="29">
        <v>46988569562</v>
      </c>
      <c r="E60" s="29">
        <v>4056356708</v>
      </c>
      <c r="F60" s="29">
        <v>6133643306</v>
      </c>
      <c r="G60" s="29">
        <v>0</v>
      </c>
      <c r="H60" s="29">
        <v>146080174</v>
      </c>
      <c r="I60" s="29">
        <v>56575475</v>
      </c>
      <c r="J60" s="29">
        <v>-1225865191</v>
      </c>
      <c r="K60" s="29">
        <f t="shared" si="0"/>
        <v>0</v>
      </c>
      <c r="L60" s="29">
        <v>1123056679</v>
      </c>
      <c r="M60" s="29">
        <v>-90943295</v>
      </c>
      <c r="N60" s="29">
        <v>57187473418</v>
      </c>
    </row>
    <row r="61" spans="1:14">
      <c r="A61" s="26">
        <f>'法人一覧(26)'!A62</f>
        <v>59</v>
      </c>
      <c r="B61" s="2" t="str">
        <f>'法人一覧(26)'!B62</f>
        <v>農林水産省</v>
      </c>
      <c r="C61" s="2" t="str">
        <f>'法人一覧(26)'!C62</f>
        <v>農業生物資源研究所</v>
      </c>
      <c r="D61" s="29">
        <v>6707365693</v>
      </c>
      <c r="E61" s="29">
        <v>706112721</v>
      </c>
      <c r="F61" s="29">
        <v>109544</v>
      </c>
      <c r="G61" s="29">
        <v>13372</v>
      </c>
      <c r="H61" s="29">
        <v>2562118</v>
      </c>
      <c r="I61" s="29">
        <v>9401682</v>
      </c>
      <c r="J61" s="29">
        <v>-101316059</v>
      </c>
      <c r="K61" s="29">
        <f t="shared" si="0"/>
        <v>0</v>
      </c>
      <c r="L61" s="29">
        <v>114362782</v>
      </c>
      <c r="M61" s="29">
        <v>0</v>
      </c>
      <c r="N61" s="29">
        <v>7438611853</v>
      </c>
    </row>
    <row r="62" spans="1:14">
      <c r="A62" s="26">
        <f>'法人一覧(26)'!A63</f>
        <v>60</v>
      </c>
      <c r="B62" s="2" t="str">
        <f>'法人一覧(26)'!B63</f>
        <v>農林水産省</v>
      </c>
      <c r="C62" s="2" t="str">
        <f>'法人一覧(26)'!C63</f>
        <v>農業環境技術研究所</v>
      </c>
      <c r="D62" s="29">
        <v>2908639466</v>
      </c>
      <c r="E62" s="29">
        <v>344318968</v>
      </c>
      <c r="F62" s="29">
        <v>1084200</v>
      </c>
      <c r="G62" s="29">
        <v>174978</v>
      </c>
      <c r="H62" s="29">
        <v>2934657</v>
      </c>
      <c r="I62" s="29">
        <v>7934695</v>
      </c>
      <c r="J62" s="29">
        <v>-1185827</v>
      </c>
      <c r="K62" s="29">
        <f t="shared" si="0"/>
        <v>0</v>
      </c>
      <c r="L62" s="29">
        <v>126206887</v>
      </c>
      <c r="M62" s="29">
        <v>0</v>
      </c>
      <c r="N62" s="29">
        <v>3390108024</v>
      </c>
    </row>
    <row r="63" spans="1:14">
      <c r="A63" s="26">
        <f>'法人一覧(26)'!A64</f>
        <v>61</v>
      </c>
      <c r="B63" s="2" t="str">
        <f>'法人一覧(26)'!B64</f>
        <v>農林水産省</v>
      </c>
      <c r="C63" s="2" t="str">
        <f>'法人一覧(26)'!C64</f>
        <v>国際農林水産業研究センター</v>
      </c>
      <c r="D63" s="29">
        <v>3590633350</v>
      </c>
      <c r="E63" s="29">
        <v>136670481</v>
      </c>
      <c r="F63" s="29">
        <v>0</v>
      </c>
      <c r="G63" s="29">
        <v>0</v>
      </c>
      <c r="H63" s="29">
        <v>2352747</v>
      </c>
      <c r="I63" s="29">
        <v>-1502884</v>
      </c>
      <c r="J63" s="29">
        <v>-163362660</v>
      </c>
      <c r="K63" s="29">
        <f t="shared" si="0"/>
        <v>0</v>
      </c>
      <c r="L63" s="29">
        <v>28581649</v>
      </c>
      <c r="M63" s="29">
        <v>0</v>
      </c>
      <c r="N63" s="29">
        <v>3593372683</v>
      </c>
    </row>
    <row r="64" spans="1:14">
      <c r="A64" s="26">
        <f>'法人一覧(26)'!A65</f>
        <v>62</v>
      </c>
      <c r="B64" s="2" t="str">
        <f>'法人一覧(26)'!B65</f>
        <v>農林水産省</v>
      </c>
      <c r="C64" s="2" t="str">
        <f>'法人一覧(26)'!C65</f>
        <v>森林総合研究所</v>
      </c>
      <c r="D64" s="52">
        <v>21142287130</v>
      </c>
      <c r="E64" s="52">
        <v>812449902</v>
      </c>
      <c r="F64" s="52">
        <v>255983609</v>
      </c>
      <c r="G64" s="29">
        <v>0</v>
      </c>
      <c r="H64" s="52">
        <v>458062486</v>
      </c>
      <c r="I64" s="52">
        <v>15427614</v>
      </c>
      <c r="J64" s="52">
        <v>-1174193050</v>
      </c>
      <c r="K64" s="29">
        <f t="shared" si="0"/>
        <v>0</v>
      </c>
      <c r="L64" s="52">
        <v>3437760517</v>
      </c>
      <c r="M64" s="29">
        <v>0</v>
      </c>
      <c r="N64" s="52">
        <v>24947778208</v>
      </c>
    </row>
    <row r="65" spans="1:14">
      <c r="A65" s="26">
        <f>'法人一覧(26)'!A66</f>
        <v>63</v>
      </c>
      <c r="B65" s="2" t="str">
        <f>'法人一覧(26)'!B66</f>
        <v>農林水産省</v>
      </c>
      <c r="C65" s="2" t="str">
        <f>'法人一覧(26)'!C66</f>
        <v>水産総合研究センター</v>
      </c>
      <c r="D65" s="29">
        <v>15221398167</v>
      </c>
      <c r="E65" s="29">
        <v>3216677516</v>
      </c>
      <c r="F65" s="29">
        <v>420611219</v>
      </c>
      <c r="G65" s="29">
        <v>573855</v>
      </c>
      <c r="H65" s="29">
        <v>24181125</v>
      </c>
      <c r="I65" s="29">
        <v>50030169</v>
      </c>
      <c r="J65" s="29">
        <v>-51379102</v>
      </c>
      <c r="K65" s="29">
        <f t="shared" si="0"/>
        <v>0</v>
      </c>
      <c r="L65" s="29">
        <v>206376509</v>
      </c>
      <c r="M65" s="29">
        <v>0</v>
      </c>
      <c r="N65" s="29">
        <v>19088469458</v>
      </c>
    </row>
    <row r="66" spans="1:14">
      <c r="A66" s="26">
        <f>'法人一覧(26)'!A67</f>
        <v>64</v>
      </c>
      <c r="B66" s="2" t="str">
        <f>'法人一覧(26)'!B67</f>
        <v>農林水産省</v>
      </c>
      <c r="C66" s="2" t="str">
        <f>'法人一覧(26)'!C67</f>
        <v>農畜産業振興機構</v>
      </c>
      <c r="D66" s="29">
        <v>126570159630</v>
      </c>
      <c r="E66" s="29">
        <v>0</v>
      </c>
      <c r="F66" s="29">
        <v>0</v>
      </c>
      <c r="G66" s="29">
        <v>0</v>
      </c>
      <c r="H66" s="29">
        <v>0</v>
      </c>
      <c r="I66" s="29">
        <v>595004</v>
      </c>
      <c r="J66" s="29">
        <v>-85959143</v>
      </c>
      <c r="K66" s="29">
        <f t="shared" si="0"/>
        <v>0</v>
      </c>
      <c r="L66" s="29">
        <v>123834850</v>
      </c>
      <c r="M66" s="29">
        <v>-24571196854</v>
      </c>
      <c r="N66" s="29">
        <v>102037433487</v>
      </c>
    </row>
    <row r="67" spans="1:14">
      <c r="A67" s="26">
        <f>'法人一覧(26)'!A68</f>
        <v>65</v>
      </c>
      <c r="B67" s="2" t="str">
        <f>'法人一覧(26)'!B68</f>
        <v>農林水産省</v>
      </c>
      <c r="C67" s="2" t="str">
        <f>'法人一覧(26)'!C68</f>
        <v>農業者年金基金</v>
      </c>
      <c r="D67" s="29">
        <v>117841665761</v>
      </c>
      <c r="E67" s="29">
        <v>0</v>
      </c>
      <c r="F67" s="29">
        <v>0</v>
      </c>
      <c r="G67" s="29">
        <v>0</v>
      </c>
      <c r="H67" s="29">
        <v>0</v>
      </c>
      <c r="I67" s="29">
        <v>130052</v>
      </c>
      <c r="J67" s="29">
        <v>16116944</v>
      </c>
      <c r="K67" s="29">
        <f t="shared" si="0"/>
        <v>0</v>
      </c>
      <c r="L67" s="29">
        <v>0</v>
      </c>
      <c r="M67" s="29">
        <v>0</v>
      </c>
      <c r="N67" s="29">
        <v>117857912757</v>
      </c>
    </row>
    <row r="68" spans="1:14">
      <c r="A68" s="26">
        <f>'法人一覧(26)'!A69</f>
        <v>66</v>
      </c>
      <c r="B68" s="2" t="str">
        <f>'法人一覧(26)'!B69</f>
        <v>農林水産省</v>
      </c>
      <c r="C68" s="2" t="str">
        <f>'法人一覧(26)'!C69</f>
        <v>農林漁業信用基金</v>
      </c>
      <c r="D68" s="29">
        <v>-4687615497</v>
      </c>
      <c r="E68" s="29">
        <v>0</v>
      </c>
      <c r="F68" s="29">
        <v>0</v>
      </c>
      <c r="G68" s="29">
        <v>0</v>
      </c>
      <c r="H68" s="29">
        <v>0</v>
      </c>
      <c r="I68" s="29">
        <v>0</v>
      </c>
      <c r="J68" s="29">
        <v>-1244244</v>
      </c>
      <c r="K68" s="29">
        <f t="shared" ref="K68:K100" si="1">N68-SUM(D68:J68,L68:M68)</f>
        <v>0</v>
      </c>
      <c r="L68" s="29">
        <v>662042665</v>
      </c>
      <c r="M68" s="29">
        <v>-434055823</v>
      </c>
      <c r="N68" s="29">
        <v>-4460872899</v>
      </c>
    </row>
    <row r="69" spans="1:14">
      <c r="A69" s="26">
        <f>'法人一覧(26)'!A70</f>
        <v>67</v>
      </c>
      <c r="B69" s="2" t="str">
        <f>'法人一覧(26)'!B70</f>
        <v>経済産業省</v>
      </c>
      <c r="C69" s="2" t="str">
        <f>'法人一覧(26)'!C70</f>
        <v>経済産業研究所</v>
      </c>
      <c r="D69" s="29">
        <v>1413810705</v>
      </c>
      <c r="E69" s="29">
        <v>0</v>
      </c>
      <c r="F69" s="29">
        <v>0</v>
      </c>
      <c r="G69" s="29">
        <v>0</v>
      </c>
      <c r="H69" s="29">
        <v>0</v>
      </c>
      <c r="I69" s="29">
        <v>2392286</v>
      </c>
      <c r="J69" s="29">
        <v>44958431</v>
      </c>
      <c r="K69" s="29">
        <f t="shared" si="1"/>
        <v>0</v>
      </c>
      <c r="L69" s="29">
        <v>118588400</v>
      </c>
      <c r="M69" s="29">
        <v>0</v>
      </c>
      <c r="N69" s="29">
        <v>1579749822</v>
      </c>
    </row>
    <row r="70" spans="1:14">
      <c r="A70" s="26">
        <f>'法人一覧(26)'!A71</f>
        <v>68</v>
      </c>
      <c r="B70" s="2" t="str">
        <f>'法人一覧(26)'!B71</f>
        <v>経済産業省</v>
      </c>
      <c r="C70" s="2" t="str">
        <f>'法人一覧(26)'!C71</f>
        <v>工業所有権情報・研修館</v>
      </c>
      <c r="D70" s="29">
        <v>12117298007</v>
      </c>
      <c r="E70" s="29">
        <v>0</v>
      </c>
      <c r="F70" s="29">
        <v>0</v>
      </c>
      <c r="G70" s="29">
        <v>0</v>
      </c>
      <c r="H70" s="29">
        <v>0</v>
      </c>
      <c r="I70" s="29">
        <v>4494242</v>
      </c>
      <c r="J70" s="29">
        <v>29747391</v>
      </c>
      <c r="K70" s="29">
        <f t="shared" si="1"/>
        <v>0</v>
      </c>
      <c r="L70" s="29">
        <v>152324793</v>
      </c>
      <c r="M70" s="29">
        <v>0</v>
      </c>
      <c r="N70" s="29">
        <v>12303864433</v>
      </c>
    </row>
    <row r="71" spans="1:14">
      <c r="A71" s="26">
        <f>'法人一覧(26)'!A72</f>
        <v>69</v>
      </c>
      <c r="B71" s="2" t="str">
        <f>'法人一覧(26)'!B72</f>
        <v>経済産業省</v>
      </c>
      <c r="C71" s="2" t="str">
        <f>'法人一覧(26)'!C72</f>
        <v>日本貿易保険</v>
      </c>
      <c r="D71" s="29">
        <v>-25252000000</v>
      </c>
      <c r="E71" s="29">
        <v>0</v>
      </c>
      <c r="F71" s="29">
        <v>0</v>
      </c>
      <c r="G71" s="29">
        <v>0</v>
      </c>
      <c r="H71" s="29">
        <v>0</v>
      </c>
      <c r="I71" s="29">
        <v>0</v>
      </c>
      <c r="J71" s="29">
        <v>1000000</v>
      </c>
      <c r="K71" s="29">
        <f t="shared" si="1"/>
        <v>0</v>
      </c>
      <c r="L71" s="29">
        <v>417000000</v>
      </c>
      <c r="M71" s="29">
        <v>0</v>
      </c>
      <c r="N71" s="29">
        <v>-24834000000</v>
      </c>
    </row>
    <row r="72" spans="1:14">
      <c r="A72" s="26">
        <f>'法人一覧(26)'!A73</f>
        <v>70</v>
      </c>
      <c r="B72" s="2" t="str">
        <f>'法人一覧(26)'!B73</f>
        <v>経済産業省</v>
      </c>
      <c r="C72" s="2" t="str">
        <f>'法人一覧(26)'!C73</f>
        <v>産業技術総合研究所</v>
      </c>
      <c r="D72" s="29">
        <v>70295753998</v>
      </c>
      <c r="E72" s="29">
        <v>11927227568</v>
      </c>
      <c r="F72" s="29">
        <v>648416054</v>
      </c>
      <c r="G72" s="29">
        <v>0</v>
      </c>
      <c r="H72" s="29">
        <v>326046715</v>
      </c>
      <c r="I72" s="29">
        <v>-11102712</v>
      </c>
      <c r="J72" s="29">
        <v>-90945235</v>
      </c>
      <c r="K72" s="29">
        <f t="shared" si="1"/>
        <v>0</v>
      </c>
      <c r="L72" s="29">
        <v>1365832708</v>
      </c>
      <c r="M72" s="29">
        <v>0</v>
      </c>
      <c r="N72" s="29">
        <v>84461229096</v>
      </c>
    </row>
    <row r="73" spans="1:14">
      <c r="A73" s="26">
        <f>'法人一覧(26)'!A74</f>
        <v>71</v>
      </c>
      <c r="B73" s="2" t="str">
        <f>'法人一覧(26)'!B74</f>
        <v>経済産業省</v>
      </c>
      <c r="C73" s="2" t="str">
        <f>'法人一覧(26)'!C74</f>
        <v>製品評価技術基盤機構</v>
      </c>
      <c r="D73" s="29">
        <v>7601673326</v>
      </c>
      <c r="E73" s="29">
        <v>535333011</v>
      </c>
      <c r="F73" s="29">
        <v>0</v>
      </c>
      <c r="G73" s="29">
        <v>0</v>
      </c>
      <c r="H73" s="29">
        <v>3400933</v>
      </c>
      <c r="I73" s="29">
        <v>5568676</v>
      </c>
      <c r="J73" s="29">
        <v>-158429338</v>
      </c>
      <c r="K73" s="29">
        <f t="shared" si="1"/>
        <v>0</v>
      </c>
      <c r="L73" s="29">
        <v>304542770</v>
      </c>
      <c r="M73" s="29">
        <v>0</v>
      </c>
      <c r="N73" s="29">
        <v>8292089378</v>
      </c>
    </row>
    <row r="74" spans="1:14">
      <c r="A74" s="26">
        <f>'法人一覧(26)'!A75</f>
        <v>72</v>
      </c>
      <c r="B74" s="2" t="str">
        <f>'法人一覧(26)'!B75</f>
        <v>経済産業省</v>
      </c>
      <c r="C74" s="2" t="str">
        <f>'法人一覧(26)'!C75</f>
        <v>新エネルギー・産業技術総合開発機構</v>
      </c>
      <c r="D74" s="52">
        <v>131164496023</v>
      </c>
      <c r="E74" s="52">
        <v>820058</v>
      </c>
      <c r="F74" s="29">
        <v>0</v>
      </c>
      <c r="G74" s="29">
        <v>0</v>
      </c>
      <c r="H74" s="52">
        <v>157425</v>
      </c>
      <c r="I74" s="52">
        <v>44202017</v>
      </c>
      <c r="J74" s="52">
        <v>-710603</v>
      </c>
      <c r="K74" s="29">
        <f t="shared" si="1"/>
        <v>0</v>
      </c>
      <c r="L74" s="52">
        <v>3956098292</v>
      </c>
      <c r="M74" s="52">
        <v>-769254673</v>
      </c>
      <c r="N74" s="52">
        <v>134395808539</v>
      </c>
    </row>
    <row r="75" spans="1:14">
      <c r="A75" s="26">
        <f>'法人一覧(26)'!A76</f>
        <v>73</v>
      </c>
      <c r="B75" s="2" t="str">
        <f>'法人一覧(26)'!B76</f>
        <v>経済産業省</v>
      </c>
      <c r="C75" s="2" t="str">
        <f>'法人一覧(26)'!C76</f>
        <v>日本貿易振興機構</v>
      </c>
      <c r="D75" s="52">
        <v>28538762765</v>
      </c>
      <c r="E75" s="52">
        <v>462854547</v>
      </c>
      <c r="F75" s="29">
        <v>0</v>
      </c>
      <c r="G75" s="29">
        <v>0</v>
      </c>
      <c r="H75" s="52">
        <v>2126897</v>
      </c>
      <c r="I75" s="52">
        <v>38878498</v>
      </c>
      <c r="J75" s="52">
        <v>-64912037</v>
      </c>
      <c r="K75" s="29">
        <f t="shared" si="1"/>
        <v>0</v>
      </c>
      <c r="L75" s="52">
        <v>180474981</v>
      </c>
      <c r="M75" s="29">
        <v>0</v>
      </c>
      <c r="N75" s="52">
        <v>29158185651</v>
      </c>
    </row>
    <row r="76" spans="1:14">
      <c r="A76" s="26">
        <f>'法人一覧(26)'!A77</f>
        <v>74</v>
      </c>
      <c r="B76" s="2" t="str">
        <f>'法人一覧(26)'!B77</f>
        <v>経済産業省</v>
      </c>
      <c r="C76" s="2" t="str">
        <f>'法人一覧(26)'!C77</f>
        <v>情報処理推進機構</v>
      </c>
      <c r="D76" s="52">
        <v>4132669695</v>
      </c>
      <c r="E76" s="52">
        <v>342591085</v>
      </c>
      <c r="F76" s="29">
        <v>0</v>
      </c>
      <c r="G76" s="29">
        <v>0</v>
      </c>
      <c r="H76" s="52">
        <v>252613</v>
      </c>
      <c r="I76" s="52">
        <v>7274829</v>
      </c>
      <c r="J76" s="52">
        <v>2450969</v>
      </c>
      <c r="K76" s="29">
        <f t="shared" si="1"/>
        <v>0</v>
      </c>
      <c r="L76" s="52">
        <v>68062619</v>
      </c>
      <c r="M76" s="52">
        <v>-3800000</v>
      </c>
      <c r="N76" s="52">
        <v>4549501810</v>
      </c>
    </row>
    <row r="77" spans="1:14">
      <c r="A77" s="26">
        <f>'法人一覧(26)'!A78</f>
        <v>75</v>
      </c>
      <c r="B77" s="2" t="str">
        <f>'法人一覧(26)'!B78</f>
        <v>経済産業省</v>
      </c>
      <c r="C77" s="2" t="str">
        <f>'法人一覧(26)'!C78</f>
        <v>石油天然ガス・金属鉱物資源機構</v>
      </c>
      <c r="D77" s="29">
        <v>67513273007</v>
      </c>
      <c r="E77" s="29">
        <v>2759464318</v>
      </c>
      <c r="F77" s="29">
        <v>200000</v>
      </c>
      <c r="G77" s="29">
        <v>0</v>
      </c>
      <c r="H77" s="29">
        <v>-34435130</v>
      </c>
      <c r="I77" s="29">
        <v>26391931</v>
      </c>
      <c r="J77" s="29">
        <v>264158011</v>
      </c>
      <c r="K77" s="29">
        <f t="shared" si="1"/>
        <v>0</v>
      </c>
      <c r="L77" s="29">
        <v>2746957601</v>
      </c>
      <c r="M77" s="29">
        <v>-4441991</v>
      </c>
      <c r="N77" s="29">
        <v>73271567747</v>
      </c>
    </row>
    <row r="78" spans="1:14">
      <c r="A78" s="26">
        <f>'法人一覧(26)'!A79</f>
        <v>76</v>
      </c>
      <c r="B78" s="2" t="str">
        <f>'法人一覧(26)'!B79</f>
        <v>経済産業省</v>
      </c>
      <c r="C78" s="2" t="str">
        <f>'法人一覧(26)'!C79</f>
        <v>中小企業基盤整備機構</v>
      </c>
      <c r="D78" s="29">
        <v>-244804241339</v>
      </c>
      <c r="E78" s="29">
        <v>739679605</v>
      </c>
      <c r="F78" s="29">
        <v>0</v>
      </c>
      <c r="G78" s="29">
        <v>0</v>
      </c>
      <c r="H78" s="29">
        <v>63836362</v>
      </c>
      <c r="I78" s="29">
        <v>25981838</v>
      </c>
      <c r="J78" s="29">
        <v>-1445908604</v>
      </c>
      <c r="K78" s="29">
        <f t="shared" si="1"/>
        <v>0</v>
      </c>
      <c r="L78" s="29">
        <v>4399620511</v>
      </c>
      <c r="M78" s="29">
        <v>-484620645</v>
      </c>
      <c r="N78" s="29">
        <v>-241505652272</v>
      </c>
    </row>
    <row r="79" spans="1:14">
      <c r="A79" s="26">
        <f>'法人一覧(26)'!A80</f>
        <v>77</v>
      </c>
      <c r="B79" s="2" t="str">
        <f>'法人一覧(26)'!B80</f>
        <v>国土交通省</v>
      </c>
      <c r="C79" s="2" t="str">
        <f>'法人一覧(26)'!C80</f>
        <v>土木研究所</v>
      </c>
      <c r="D79" s="52">
        <v>8582443176</v>
      </c>
      <c r="E79" s="52">
        <v>726504524</v>
      </c>
      <c r="F79" s="52">
        <v>112500</v>
      </c>
      <c r="G79" s="52">
        <v>0</v>
      </c>
      <c r="H79" s="52">
        <v>74905389</v>
      </c>
      <c r="I79" s="52">
        <v>12044959</v>
      </c>
      <c r="J79" s="52">
        <v>-84674236</v>
      </c>
      <c r="K79" s="29">
        <f t="shared" si="1"/>
        <v>0</v>
      </c>
      <c r="L79" s="52">
        <v>677817461</v>
      </c>
      <c r="M79" s="52">
        <v>0</v>
      </c>
      <c r="N79" s="52">
        <v>9989153773</v>
      </c>
    </row>
    <row r="80" spans="1:14">
      <c r="A80" s="26">
        <f>'法人一覧(26)'!A81</f>
        <v>78</v>
      </c>
      <c r="B80" s="2" t="str">
        <f>'法人一覧(26)'!B81</f>
        <v>国土交通省</v>
      </c>
      <c r="C80" s="2" t="str">
        <f>'法人一覧(26)'!C81</f>
        <v>建築研究所</v>
      </c>
      <c r="D80" s="52">
        <v>1809740348</v>
      </c>
      <c r="E80" s="52">
        <v>359565083</v>
      </c>
      <c r="F80" s="52">
        <v>290000</v>
      </c>
      <c r="G80" s="52">
        <v>0</v>
      </c>
      <c r="H80" s="52">
        <v>9557181</v>
      </c>
      <c r="I80" s="52">
        <v>4504968</v>
      </c>
      <c r="J80" s="52">
        <v>-47195926</v>
      </c>
      <c r="K80" s="29">
        <f t="shared" si="1"/>
        <v>0</v>
      </c>
      <c r="L80" s="52">
        <v>361140339</v>
      </c>
      <c r="M80" s="52">
        <v>0</v>
      </c>
      <c r="N80" s="52">
        <v>2497601993</v>
      </c>
    </row>
    <row r="81" spans="1:14">
      <c r="A81" s="26">
        <f>'法人一覧(26)'!A82</f>
        <v>79</v>
      </c>
      <c r="B81" s="2" t="str">
        <f>'法人一覧(26)'!B82</f>
        <v>国土交通省</v>
      </c>
      <c r="C81" s="2" t="str">
        <f>'法人一覧(26)'!C82</f>
        <v>交通安全環境研究所</v>
      </c>
      <c r="D81" s="52">
        <v>1462106440</v>
      </c>
      <c r="E81" s="52">
        <v>453792777</v>
      </c>
      <c r="F81" s="52">
        <v>58520</v>
      </c>
      <c r="G81" s="52">
        <v>0</v>
      </c>
      <c r="H81" s="52">
        <v>3</v>
      </c>
      <c r="I81" s="52">
        <v>883650</v>
      </c>
      <c r="J81" s="52">
        <v>-32010837</v>
      </c>
      <c r="K81" s="29">
        <f t="shared" si="1"/>
        <v>0</v>
      </c>
      <c r="L81" s="52">
        <v>55353171</v>
      </c>
      <c r="M81" s="52">
        <v>0</v>
      </c>
      <c r="N81" s="52">
        <v>1940183724</v>
      </c>
    </row>
    <row r="82" spans="1:14">
      <c r="A82" s="26">
        <f>'法人一覧(26)'!A83</f>
        <v>80</v>
      </c>
      <c r="B82" s="2" t="str">
        <f>'法人一覧(26)'!B83</f>
        <v>国土交通省</v>
      </c>
      <c r="C82" s="2" t="str">
        <f>'法人一覧(26)'!C83</f>
        <v>海上技術安全研究所</v>
      </c>
      <c r="D82" s="52">
        <v>2537843062</v>
      </c>
      <c r="E82" s="52">
        <v>259315486</v>
      </c>
      <c r="F82" s="52">
        <v>51750</v>
      </c>
      <c r="G82" s="52">
        <v>0</v>
      </c>
      <c r="H82" s="52">
        <v>50196818</v>
      </c>
      <c r="I82" s="52">
        <v>7975842</v>
      </c>
      <c r="J82" s="52">
        <v>-85587795</v>
      </c>
      <c r="K82" s="29">
        <f t="shared" si="1"/>
        <v>0</v>
      </c>
      <c r="L82" s="52">
        <v>130120715</v>
      </c>
      <c r="M82" s="52">
        <v>0</v>
      </c>
      <c r="N82" s="52">
        <v>2899915878</v>
      </c>
    </row>
    <row r="83" spans="1:14">
      <c r="A83" s="26">
        <f>'法人一覧(26)'!A84</f>
        <v>81</v>
      </c>
      <c r="B83" s="2" t="str">
        <f>'法人一覧(26)'!B84</f>
        <v>国土交通省</v>
      </c>
      <c r="C83" s="2" t="str">
        <f>'法人一覧(26)'!C84</f>
        <v>港湾空港技術研究所</v>
      </c>
      <c r="D83" s="52">
        <v>1211693317</v>
      </c>
      <c r="E83" s="52">
        <v>531923001</v>
      </c>
      <c r="F83" s="52">
        <v>133691</v>
      </c>
      <c r="G83" s="52">
        <v>0</v>
      </c>
      <c r="H83" s="52">
        <v>8337245</v>
      </c>
      <c r="I83" s="52">
        <v>5954552</v>
      </c>
      <c r="J83" s="52">
        <v>-70577082</v>
      </c>
      <c r="K83" s="29">
        <f t="shared" si="1"/>
        <v>0</v>
      </c>
      <c r="L83" s="52">
        <v>46750183</v>
      </c>
      <c r="M83" s="52">
        <v>0</v>
      </c>
      <c r="N83" s="52">
        <v>1734214907</v>
      </c>
    </row>
    <row r="84" spans="1:14">
      <c r="A84" s="26">
        <f>'法人一覧(26)'!A85</f>
        <v>82</v>
      </c>
      <c r="B84" s="2" t="str">
        <f>'法人一覧(26)'!B85</f>
        <v>国土交通省</v>
      </c>
      <c r="C84" s="2" t="str">
        <f>'法人一覧(26)'!C85</f>
        <v>電子航法研究所</v>
      </c>
      <c r="D84" s="52">
        <v>1509830651</v>
      </c>
      <c r="E84" s="52">
        <v>141909094</v>
      </c>
      <c r="F84" s="52">
        <v>0</v>
      </c>
      <c r="G84" s="52">
        <v>0</v>
      </c>
      <c r="H84" s="52">
        <v>1414646</v>
      </c>
      <c r="I84" s="52">
        <v>3521216</v>
      </c>
      <c r="J84" s="52">
        <v>-5535200</v>
      </c>
      <c r="K84" s="29">
        <f t="shared" si="1"/>
        <v>0</v>
      </c>
      <c r="L84" s="52">
        <v>17605710</v>
      </c>
      <c r="M84" s="52">
        <v>0</v>
      </c>
      <c r="N84" s="52">
        <v>1668746117</v>
      </c>
    </row>
    <row r="85" spans="1:14">
      <c r="A85" s="26">
        <f>'法人一覧(26)'!A86</f>
        <v>83</v>
      </c>
      <c r="B85" s="2" t="str">
        <f>'法人一覧(26)'!B86</f>
        <v>国土交通省</v>
      </c>
      <c r="C85" s="2" t="str">
        <f>'法人一覧(26)'!C86</f>
        <v>航海訓練所</v>
      </c>
      <c r="D85" s="52">
        <v>5790276900</v>
      </c>
      <c r="E85" s="52">
        <v>444555106</v>
      </c>
      <c r="F85" s="52">
        <v>0</v>
      </c>
      <c r="G85" s="52">
        <v>5097007</v>
      </c>
      <c r="H85" s="52">
        <v>209401917</v>
      </c>
      <c r="I85" s="52">
        <v>6351905</v>
      </c>
      <c r="J85" s="52">
        <v>-234119634</v>
      </c>
      <c r="K85" s="29">
        <f t="shared" si="1"/>
        <v>0</v>
      </c>
      <c r="L85" s="52">
        <v>142319342</v>
      </c>
      <c r="M85" s="52">
        <v>0</v>
      </c>
      <c r="N85" s="52">
        <v>6363882543</v>
      </c>
    </row>
    <row r="86" spans="1:14">
      <c r="A86" s="26">
        <f>'法人一覧(26)'!A87</f>
        <v>84</v>
      </c>
      <c r="B86" s="2" t="str">
        <f>'法人一覧(26)'!B87</f>
        <v>国土交通省</v>
      </c>
      <c r="C86" s="2" t="str">
        <f>'法人一覧(26)'!C87</f>
        <v>海技教育機構</v>
      </c>
      <c r="D86" s="52">
        <v>2404878126</v>
      </c>
      <c r="E86" s="52">
        <v>211060851</v>
      </c>
      <c r="F86" s="52">
        <v>0</v>
      </c>
      <c r="G86" s="52">
        <v>2617295</v>
      </c>
      <c r="H86" s="52">
        <v>11891</v>
      </c>
      <c r="I86" s="52">
        <v>3288355</v>
      </c>
      <c r="J86" s="52">
        <v>-135713035</v>
      </c>
      <c r="K86" s="29">
        <f t="shared" si="1"/>
        <v>0</v>
      </c>
      <c r="L86" s="52">
        <v>44307561</v>
      </c>
      <c r="M86" s="52">
        <v>0</v>
      </c>
      <c r="N86" s="52">
        <v>2530451044</v>
      </c>
    </row>
    <row r="87" spans="1:14">
      <c r="A87" s="26">
        <f>'法人一覧(26)'!A88</f>
        <v>85</v>
      </c>
      <c r="B87" s="2" t="str">
        <f>'法人一覧(26)'!B88</f>
        <v>国土交通省</v>
      </c>
      <c r="C87" s="2" t="str">
        <f>'法人一覧(26)'!C88</f>
        <v>航空大学校</v>
      </c>
      <c r="D87" s="52">
        <v>1857783449</v>
      </c>
      <c r="E87" s="52">
        <v>99349102</v>
      </c>
      <c r="F87" s="52">
        <v>0</v>
      </c>
      <c r="G87" s="52">
        <v>0</v>
      </c>
      <c r="H87" s="52">
        <v>-22063</v>
      </c>
      <c r="I87" s="52">
        <v>-3776955</v>
      </c>
      <c r="J87" s="52">
        <v>-79028401</v>
      </c>
      <c r="K87" s="29">
        <f t="shared" si="1"/>
        <v>0</v>
      </c>
      <c r="L87" s="52">
        <v>24811504</v>
      </c>
      <c r="M87" s="52">
        <v>0</v>
      </c>
      <c r="N87" s="52">
        <v>1899116636</v>
      </c>
    </row>
    <row r="88" spans="1:14">
      <c r="A88" s="26">
        <f>'法人一覧(26)'!A89</f>
        <v>86</v>
      </c>
      <c r="B88" s="2" t="str">
        <f>'法人一覧(26)'!B89</f>
        <v>国土交通省</v>
      </c>
      <c r="C88" s="2" t="str">
        <f>'法人一覧(26)'!C89</f>
        <v>自動車検査</v>
      </c>
      <c r="D88" s="52">
        <v>1200234546</v>
      </c>
      <c r="E88" s="52">
        <v>2378569930</v>
      </c>
      <c r="F88" s="52">
        <v>0</v>
      </c>
      <c r="G88" s="52">
        <v>53091285</v>
      </c>
      <c r="H88" s="52">
        <v>60780615</v>
      </c>
      <c r="I88" s="52">
        <v>0</v>
      </c>
      <c r="J88" s="52">
        <v>-147122015</v>
      </c>
      <c r="K88" s="29">
        <f t="shared" si="1"/>
        <v>0</v>
      </c>
      <c r="L88" s="52">
        <v>651140986</v>
      </c>
      <c r="M88" s="52">
        <v>0</v>
      </c>
      <c r="N88" s="52">
        <v>4196695347</v>
      </c>
    </row>
    <row r="89" spans="1:14">
      <c r="A89" s="26">
        <f>'法人一覧(26)'!A90</f>
        <v>87</v>
      </c>
      <c r="B89" s="2" t="str">
        <f>'法人一覧(26)'!B90</f>
        <v>国土交通省</v>
      </c>
      <c r="C89" s="2" t="str">
        <f>'法人一覧(26)'!C90</f>
        <v>鉄道建設・運輸施設整備支援機構</v>
      </c>
      <c r="D89" s="52">
        <v>137823784054</v>
      </c>
      <c r="E89" s="52">
        <v>920448534</v>
      </c>
      <c r="F89" s="52">
        <v>-4329689</v>
      </c>
      <c r="G89" s="52">
        <v>0</v>
      </c>
      <c r="H89" s="52">
        <v>14569</v>
      </c>
      <c r="I89" s="52">
        <v>1500877</v>
      </c>
      <c r="J89" s="52">
        <v>-5891393</v>
      </c>
      <c r="K89" s="29">
        <f t="shared" si="1"/>
        <v>0</v>
      </c>
      <c r="L89" s="52">
        <v>2316526373</v>
      </c>
      <c r="M89" s="52">
        <v>0</v>
      </c>
      <c r="N89" s="52">
        <v>141052053325</v>
      </c>
    </row>
    <row r="90" spans="1:14">
      <c r="A90" s="26">
        <f>'法人一覧(26)'!A91</f>
        <v>88</v>
      </c>
      <c r="B90" s="2" t="str">
        <f>'法人一覧(26)'!B91</f>
        <v>国土交通省</v>
      </c>
      <c r="C90" s="2" t="str">
        <f>'法人一覧(26)'!C91</f>
        <v>国際観光振興機構</v>
      </c>
      <c r="D90" s="52">
        <v>1886343047</v>
      </c>
      <c r="E90" s="52">
        <v>835815</v>
      </c>
      <c r="F90" s="52">
        <v>0</v>
      </c>
      <c r="G90" s="52">
        <v>0</v>
      </c>
      <c r="H90" s="52">
        <v>0</v>
      </c>
      <c r="I90" s="52">
        <v>1333599</v>
      </c>
      <c r="J90" s="52">
        <v>-10574185</v>
      </c>
      <c r="K90" s="29">
        <f t="shared" si="1"/>
        <v>0</v>
      </c>
      <c r="L90" s="52">
        <v>1899805</v>
      </c>
      <c r="M90" s="52">
        <v>0</v>
      </c>
      <c r="N90" s="52">
        <v>1879838081</v>
      </c>
    </row>
    <row r="91" spans="1:14">
      <c r="A91" s="26">
        <f>'法人一覧(26)'!A92</f>
        <v>89</v>
      </c>
      <c r="B91" s="2" t="str">
        <f>'法人一覧(26)'!B92</f>
        <v>国土交通省</v>
      </c>
      <c r="C91" s="2" t="str">
        <f>'法人一覧(26)'!C92</f>
        <v>水資源機構</v>
      </c>
      <c r="D91" s="52">
        <v>61198467629</v>
      </c>
      <c r="E91" s="52">
        <v>248547530</v>
      </c>
      <c r="F91" s="52">
        <v>17870776</v>
      </c>
      <c r="G91" s="52">
        <v>0</v>
      </c>
      <c r="H91" s="52">
        <v>168857770</v>
      </c>
      <c r="I91" s="52">
        <v>45400260</v>
      </c>
      <c r="J91" s="52">
        <v>20179500</v>
      </c>
      <c r="K91" s="29">
        <f t="shared" si="1"/>
        <v>0</v>
      </c>
      <c r="L91" s="52">
        <v>19815711</v>
      </c>
      <c r="M91" s="52">
        <v>0</v>
      </c>
      <c r="N91" s="52">
        <v>61719139176</v>
      </c>
    </row>
    <row r="92" spans="1:14">
      <c r="A92" s="26">
        <f>'法人一覧(26)'!A93</f>
        <v>90</v>
      </c>
      <c r="B92" s="2" t="str">
        <f>'法人一覧(26)'!B93</f>
        <v>国土交通省</v>
      </c>
      <c r="C92" s="2" t="str">
        <f>'法人一覧(26)'!C93</f>
        <v>自動車事故対策機構</v>
      </c>
      <c r="D92" s="52">
        <v>9650908358</v>
      </c>
      <c r="E92" s="52">
        <v>638122768</v>
      </c>
      <c r="F92" s="52">
        <v>0</v>
      </c>
      <c r="G92" s="52">
        <v>0</v>
      </c>
      <c r="H92" s="52">
        <v>14079710</v>
      </c>
      <c r="I92" s="52">
        <v>9430376</v>
      </c>
      <c r="J92" s="52">
        <v>-239035296</v>
      </c>
      <c r="K92" s="29">
        <f t="shared" si="1"/>
        <v>0</v>
      </c>
      <c r="L92" s="52">
        <v>74414109</v>
      </c>
      <c r="M92" s="52">
        <v>-86930241</v>
      </c>
      <c r="N92" s="52">
        <v>10060989784</v>
      </c>
    </row>
    <row r="93" spans="1:14">
      <c r="A93" s="26">
        <f>'法人一覧(26)'!A94</f>
        <v>91</v>
      </c>
      <c r="B93" s="2" t="str">
        <f>'法人一覧(26)'!B94</f>
        <v>国土交通省</v>
      </c>
      <c r="C93" s="2" t="str">
        <f>'法人一覧(26)'!C94</f>
        <v>空港周辺整備機構</v>
      </c>
      <c r="D93" s="52">
        <v>24081210</v>
      </c>
      <c r="E93" s="52">
        <v>0</v>
      </c>
      <c r="F93" s="52">
        <v>0</v>
      </c>
      <c r="G93" s="52">
        <v>0</v>
      </c>
      <c r="H93" s="52">
        <v>0</v>
      </c>
      <c r="I93" s="52">
        <v>0</v>
      </c>
      <c r="J93" s="52">
        <v>754650</v>
      </c>
      <c r="K93" s="29">
        <f t="shared" si="1"/>
        <v>0</v>
      </c>
      <c r="L93" s="52">
        <v>6756804</v>
      </c>
      <c r="M93" s="52">
        <v>0</v>
      </c>
      <c r="N93" s="52">
        <v>31592664</v>
      </c>
    </row>
    <row r="94" spans="1:14">
      <c r="A94" s="26">
        <f>'法人一覧(26)'!A95</f>
        <v>92</v>
      </c>
      <c r="B94" s="2" t="str">
        <f>'法人一覧(26)'!B95</f>
        <v>国土交通省</v>
      </c>
      <c r="C94" s="2" t="str">
        <f>'法人一覧(26)'!C95</f>
        <v>都市再生機構</v>
      </c>
      <c r="D94" s="52">
        <v>364614393</v>
      </c>
      <c r="E94" s="52">
        <v>0</v>
      </c>
      <c r="F94" s="52">
        <v>0</v>
      </c>
      <c r="G94" s="52">
        <v>0</v>
      </c>
      <c r="H94" s="52">
        <v>0</v>
      </c>
      <c r="I94" s="52">
        <v>0</v>
      </c>
      <c r="J94" s="52">
        <v>44840741</v>
      </c>
      <c r="K94" s="29">
        <f t="shared" si="1"/>
        <v>0</v>
      </c>
      <c r="L94" s="52">
        <v>5301083967</v>
      </c>
      <c r="M94" s="52">
        <v>0</v>
      </c>
      <c r="N94" s="52">
        <v>5710539101</v>
      </c>
    </row>
    <row r="95" spans="1:14">
      <c r="A95" s="26">
        <f>'法人一覧(26)'!A96</f>
        <v>93</v>
      </c>
      <c r="B95" s="2" t="str">
        <f>'法人一覧(26)'!B96</f>
        <v>国土交通省</v>
      </c>
      <c r="C95" s="2" t="str">
        <f>'法人一覧(26)'!C96</f>
        <v>奄美群島振興開発基金</v>
      </c>
      <c r="D95" s="52">
        <v>177241965</v>
      </c>
      <c r="E95" s="52">
        <v>0</v>
      </c>
      <c r="F95" s="52">
        <v>0</v>
      </c>
      <c r="G95" s="52">
        <v>0</v>
      </c>
      <c r="H95" s="52">
        <v>0</v>
      </c>
      <c r="I95" s="52">
        <v>0</v>
      </c>
      <c r="J95" s="52">
        <v>0</v>
      </c>
      <c r="K95" s="29">
        <f t="shared" si="1"/>
        <v>0</v>
      </c>
      <c r="L95" s="52">
        <v>68227447</v>
      </c>
      <c r="M95" s="52">
        <v>0</v>
      </c>
      <c r="N95" s="52">
        <v>245469412</v>
      </c>
    </row>
    <row r="96" spans="1:14">
      <c r="A96" s="26">
        <f>'法人一覧(26)'!A97</f>
        <v>94</v>
      </c>
      <c r="B96" s="2" t="str">
        <f>'法人一覧(26)'!B97</f>
        <v>国土交通省</v>
      </c>
      <c r="C96" s="2" t="str">
        <f>'法人一覧(26)'!C97</f>
        <v>日本高速道路保有・債務返済機構</v>
      </c>
      <c r="D96" s="52">
        <v>-442347626521</v>
      </c>
      <c r="E96" s="52">
        <v>576679133</v>
      </c>
      <c r="F96" s="52">
        <v>0</v>
      </c>
      <c r="G96" s="52">
        <v>0</v>
      </c>
      <c r="H96" s="52">
        <v>2057502</v>
      </c>
      <c r="I96" s="52">
        <v>0</v>
      </c>
      <c r="J96" s="52">
        <v>4685522</v>
      </c>
      <c r="K96" s="29">
        <f t="shared" si="1"/>
        <v>0</v>
      </c>
      <c r="L96" s="52">
        <v>25657617259</v>
      </c>
      <c r="M96" s="52">
        <v>0</v>
      </c>
      <c r="N96" s="52">
        <v>-416106587105</v>
      </c>
    </row>
    <row r="97" spans="1:14">
      <c r="A97" s="26">
        <f>'法人一覧(26)'!A98</f>
        <v>95</v>
      </c>
      <c r="B97" s="2" t="str">
        <f>'法人一覧(26)'!B98</f>
        <v>国土交通省</v>
      </c>
      <c r="C97" s="2" t="str">
        <f>'法人一覧(26)'!C98</f>
        <v>住宅金融支援機構</v>
      </c>
      <c r="D97" s="52">
        <v>-194894505219</v>
      </c>
      <c r="E97" s="52">
        <v>0</v>
      </c>
      <c r="F97" s="52">
        <v>106100000</v>
      </c>
      <c r="G97" s="52">
        <v>0</v>
      </c>
      <c r="H97" s="52">
        <v>0</v>
      </c>
      <c r="I97" s="52">
        <v>0</v>
      </c>
      <c r="J97" s="52">
        <v>-4490616</v>
      </c>
      <c r="K97" s="29">
        <f t="shared" si="1"/>
        <v>0</v>
      </c>
      <c r="L97" s="52">
        <v>2837135313</v>
      </c>
      <c r="M97" s="52">
        <v>-82841330</v>
      </c>
      <c r="N97" s="52">
        <v>-192038601852</v>
      </c>
    </row>
    <row r="98" spans="1:14">
      <c r="A98" s="26">
        <f>'法人一覧(26)'!A99</f>
        <v>96</v>
      </c>
      <c r="B98" s="2" t="str">
        <f>'法人一覧(26)'!B99</f>
        <v>環境省</v>
      </c>
      <c r="C98" s="2" t="str">
        <f>'法人一覧(26)'!C99</f>
        <v>国立環境研究所</v>
      </c>
      <c r="D98" s="29">
        <v>12260784406</v>
      </c>
      <c r="E98" s="29">
        <v>1069740640</v>
      </c>
      <c r="F98" s="29">
        <v>178916482</v>
      </c>
      <c r="G98" s="29">
        <v>1460300</v>
      </c>
      <c r="H98" s="29">
        <v>1</v>
      </c>
      <c r="I98" s="29">
        <v>14353478</v>
      </c>
      <c r="J98" s="29">
        <v>-145513587</v>
      </c>
      <c r="K98" s="29">
        <f t="shared" si="1"/>
        <v>0</v>
      </c>
      <c r="L98" s="29">
        <v>107950448</v>
      </c>
      <c r="M98" s="29">
        <v>-4869000</v>
      </c>
      <c r="N98" s="29">
        <v>13482823168</v>
      </c>
    </row>
    <row r="99" spans="1:14">
      <c r="A99" s="26">
        <f>'法人一覧(26)'!A100</f>
        <v>97</v>
      </c>
      <c r="B99" s="2" t="str">
        <f>'法人一覧(26)'!B100</f>
        <v>環境省</v>
      </c>
      <c r="C99" s="2" t="str">
        <f>'法人一覧(26)'!C100</f>
        <v>環境再生保全機構</v>
      </c>
      <c r="D99" s="29">
        <v>14111432989</v>
      </c>
      <c r="E99" s="29">
        <v>18459</v>
      </c>
      <c r="F99" s="29">
        <v>0</v>
      </c>
      <c r="G99" s="29">
        <v>0</v>
      </c>
      <c r="H99" s="29">
        <v>0</v>
      </c>
      <c r="I99" s="29">
        <v>6127197</v>
      </c>
      <c r="J99" s="29">
        <v>-19199602</v>
      </c>
      <c r="K99" s="29">
        <f t="shared" si="1"/>
        <v>0</v>
      </c>
      <c r="L99" s="29">
        <v>102118266</v>
      </c>
      <c r="M99" s="29">
        <v>0</v>
      </c>
      <c r="N99" s="29">
        <v>14200497309</v>
      </c>
    </row>
    <row r="100" spans="1:14" ht="13.8" thickBot="1">
      <c r="A100" s="116">
        <f>'法人一覧(26)'!A101</f>
        <v>98</v>
      </c>
      <c r="B100" s="117" t="str">
        <f>'法人一覧(26)'!B101</f>
        <v>防衛省</v>
      </c>
      <c r="C100" s="117" t="str">
        <f>'法人一覧(26)'!C101</f>
        <v>駐留軍等労働者労務管理機構</v>
      </c>
      <c r="D100" s="118">
        <v>3031730366</v>
      </c>
      <c r="E100" s="118">
        <v>2563888</v>
      </c>
      <c r="F100" s="118">
        <v>0</v>
      </c>
      <c r="G100" s="118">
        <v>0</v>
      </c>
      <c r="H100" s="118">
        <v>0</v>
      </c>
      <c r="I100" s="118">
        <v>32524192</v>
      </c>
      <c r="J100" s="118">
        <v>-264223239</v>
      </c>
      <c r="K100" s="118">
        <f t="shared" si="1"/>
        <v>0</v>
      </c>
      <c r="L100" s="118">
        <v>3156731</v>
      </c>
      <c r="M100" s="118">
        <v>0</v>
      </c>
      <c r="N100" s="118">
        <v>2805751938</v>
      </c>
    </row>
    <row r="101" spans="1:14" s="37" customFormat="1" ht="18" customHeight="1" thickTop="1">
      <c r="A101" s="167" t="s">
        <v>584</v>
      </c>
      <c r="B101" s="168"/>
      <c r="C101" s="170"/>
      <c r="D101" s="115">
        <f t="shared" ref="D101:M101" si="2">SUM(D3:D100)</f>
        <v>-13980413847261</v>
      </c>
      <c r="E101" s="115">
        <f t="shared" si="2"/>
        <v>174584585097</v>
      </c>
      <c r="F101" s="115">
        <f t="shared" si="2"/>
        <v>13749267731</v>
      </c>
      <c r="G101" s="115">
        <f t="shared" si="2"/>
        <v>259250987</v>
      </c>
      <c r="H101" s="115">
        <f t="shared" si="2"/>
        <v>9338997954</v>
      </c>
      <c r="I101" s="115">
        <f t="shared" si="2"/>
        <v>939299642</v>
      </c>
      <c r="J101" s="115">
        <f t="shared" si="2"/>
        <v>-26144879204</v>
      </c>
      <c r="K101" s="115">
        <f t="shared" si="2"/>
        <v>0</v>
      </c>
      <c r="L101" s="115">
        <f t="shared" si="2"/>
        <v>130959354097</v>
      </c>
      <c r="M101" s="115">
        <f t="shared" si="2"/>
        <v>-36659858722</v>
      </c>
      <c r="N101" s="115">
        <f>SUM(N3:N100)</f>
        <v>-13713387829679</v>
      </c>
    </row>
    <row r="103" spans="1:14">
      <c r="B103" s="192" t="s">
        <v>588</v>
      </c>
      <c r="C103" s="193"/>
      <c r="D103" s="193"/>
      <c r="E103" s="193"/>
      <c r="F103" s="193"/>
      <c r="G103" s="193"/>
      <c r="H103" s="193"/>
      <c r="I103" s="193"/>
    </row>
    <row r="104" spans="1:14">
      <c r="B104" s="193"/>
      <c r="C104" s="193"/>
      <c r="D104" s="193"/>
      <c r="E104" s="193"/>
      <c r="F104" s="193"/>
      <c r="G104" s="193"/>
      <c r="H104" s="193"/>
      <c r="I104" s="193"/>
    </row>
  </sheetData>
  <mergeCells count="2">
    <mergeCell ref="B103:I104"/>
    <mergeCell ref="A101:C101"/>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zoomScale="80" zoomScaleNormal="80" workbookViewId="0">
      <pane xSplit="3" ySplit="3" topLeftCell="D88" activePane="bottomRight" state="frozen"/>
      <selection activeCell="B2" sqref="B2:B3"/>
      <selection pane="topRight" activeCell="B2" sqref="B2:B3"/>
      <selection pane="bottomLeft" activeCell="B2" sqref="B2:B3"/>
      <selection pane="bottomRight" activeCell="B107" sqref="B107:H110"/>
    </sheetView>
  </sheetViews>
  <sheetFormatPr defaultColWidth="8.88671875" defaultRowHeight="13.2"/>
  <cols>
    <col min="1" max="1" width="5" style="1" bestFit="1" customWidth="1"/>
    <col min="2" max="2" width="18.6640625" style="1" customWidth="1"/>
    <col min="3" max="3" width="44.6640625" style="1" bestFit="1" customWidth="1"/>
    <col min="4" max="4" width="13.44140625" style="1" customWidth="1"/>
    <col min="5" max="7" width="20.44140625" style="1" customWidth="1"/>
    <col min="8" max="8" width="30.21875" style="1" customWidth="1"/>
    <col min="9" max="16384" width="8.88671875" style="1"/>
  </cols>
  <sheetData>
    <row r="1" spans="1:8" ht="19.95" customHeight="1">
      <c r="B1" s="144" t="s">
        <v>230</v>
      </c>
      <c r="E1" s="33"/>
      <c r="H1" s="30" t="s">
        <v>204</v>
      </c>
    </row>
    <row r="2" spans="1:8">
      <c r="A2" s="161" t="s">
        <v>195</v>
      </c>
      <c r="B2" s="161" t="s">
        <v>0</v>
      </c>
      <c r="C2" s="161" t="s">
        <v>1</v>
      </c>
      <c r="D2" s="181" t="s">
        <v>47</v>
      </c>
      <c r="E2" s="164" t="s">
        <v>48</v>
      </c>
      <c r="F2" s="165"/>
      <c r="G2" s="165"/>
      <c r="H2" s="196" t="s">
        <v>256</v>
      </c>
    </row>
    <row r="3" spans="1:8" ht="66" customHeight="1">
      <c r="A3" s="162"/>
      <c r="B3" s="162"/>
      <c r="C3" s="162"/>
      <c r="D3" s="181"/>
      <c r="E3" s="4" t="s">
        <v>49</v>
      </c>
      <c r="F3" s="4" t="s">
        <v>70</v>
      </c>
      <c r="G3" s="8" t="s">
        <v>312</v>
      </c>
      <c r="H3" s="196"/>
    </row>
    <row r="4" spans="1:8">
      <c r="A4" s="26">
        <f>'法人一覧(25)'!A4</f>
        <v>1</v>
      </c>
      <c r="B4" s="2" t="str">
        <f>'法人一覧(25)'!B4</f>
        <v>内閣府</v>
      </c>
      <c r="C4" s="2" t="str">
        <f>'法人一覧(25)'!C4</f>
        <v>国立公文書館</v>
      </c>
      <c r="D4" s="29">
        <f t="shared" ref="D4:D10" si="0">SUM(E4:G4)</f>
        <v>0</v>
      </c>
      <c r="E4" s="29">
        <v>0</v>
      </c>
      <c r="F4" s="29">
        <v>0</v>
      </c>
      <c r="G4" s="29">
        <v>0</v>
      </c>
      <c r="H4" s="4" t="s">
        <v>237</v>
      </c>
    </row>
    <row r="5" spans="1:8">
      <c r="A5" s="26">
        <f>'法人一覧(25)'!A5</f>
        <v>2</v>
      </c>
      <c r="B5" s="2" t="str">
        <f>'法人一覧(25)'!B5</f>
        <v>内閣府</v>
      </c>
      <c r="C5" s="2" t="str">
        <f>'法人一覧(25)'!C5</f>
        <v>北方領土問題対策協会</v>
      </c>
      <c r="D5" s="29">
        <f t="shared" si="0"/>
        <v>508748069</v>
      </c>
      <c r="E5" s="29">
        <v>508748069</v>
      </c>
      <c r="F5" s="29">
        <v>0</v>
      </c>
      <c r="G5" s="29">
        <v>0</v>
      </c>
      <c r="H5" s="4" t="s">
        <v>237</v>
      </c>
    </row>
    <row r="6" spans="1:8">
      <c r="A6" s="26">
        <f>'法人一覧(25)'!A6</f>
        <v>3</v>
      </c>
      <c r="B6" s="2" t="str">
        <f>'法人一覧(25)'!B6</f>
        <v>消費者庁</v>
      </c>
      <c r="C6" s="2" t="str">
        <f>'法人一覧(25)'!C6</f>
        <v>国民生活センター</v>
      </c>
      <c r="D6" s="29">
        <f t="shared" si="0"/>
        <v>2030557466</v>
      </c>
      <c r="E6" s="29">
        <v>1765591113</v>
      </c>
      <c r="F6" s="29">
        <v>264966353</v>
      </c>
      <c r="G6" s="29">
        <v>0</v>
      </c>
      <c r="H6" s="4" t="s">
        <v>269</v>
      </c>
    </row>
    <row r="7" spans="1:8" ht="16.8" customHeight="1">
      <c r="A7" s="26">
        <f>'法人一覧(25)'!A7</f>
        <v>4</v>
      </c>
      <c r="B7" s="2" t="str">
        <f>'法人一覧(25)'!B7</f>
        <v>総務省</v>
      </c>
      <c r="C7" s="2" t="str">
        <f>'法人一覧(25)'!C7</f>
        <v>情報通信研究機構</v>
      </c>
      <c r="D7" s="29">
        <f t="shared" si="0"/>
        <v>29028922</v>
      </c>
      <c r="E7" s="52">
        <v>0</v>
      </c>
      <c r="F7" s="52">
        <v>29028922</v>
      </c>
      <c r="G7" s="52">
        <v>0</v>
      </c>
      <c r="H7" s="57" t="s">
        <v>444</v>
      </c>
    </row>
    <row r="8" spans="1:8">
      <c r="A8" s="26">
        <f>'法人一覧(25)'!A8</f>
        <v>5</v>
      </c>
      <c r="B8" s="2" t="str">
        <f>'法人一覧(25)'!B8</f>
        <v>総務省</v>
      </c>
      <c r="C8" s="2" t="str">
        <f>'法人一覧(25)'!C8</f>
        <v>統計センター</v>
      </c>
      <c r="D8" s="29">
        <f t="shared" si="0"/>
        <v>2992957394</v>
      </c>
      <c r="E8" s="52">
        <v>2992957394</v>
      </c>
      <c r="F8" s="52">
        <v>0</v>
      </c>
      <c r="G8" s="52">
        <v>0</v>
      </c>
      <c r="H8" s="57" t="s">
        <v>237</v>
      </c>
    </row>
    <row r="9" spans="1:8">
      <c r="A9" s="26">
        <f>'法人一覧(25)'!A9</f>
        <v>6</v>
      </c>
      <c r="B9" s="2" t="str">
        <f>'法人一覧(25)'!B9</f>
        <v>総務省</v>
      </c>
      <c r="C9" s="2" t="str">
        <f>'法人一覧(25)'!C9</f>
        <v>郵便貯金・簡易生命保険管理機構</v>
      </c>
      <c r="D9" s="29">
        <f t="shared" si="0"/>
        <v>0</v>
      </c>
      <c r="E9" s="52">
        <v>0</v>
      </c>
      <c r="F9" s="52">
        <v>0</v>
      </c>
      <c r="G9" s="52">
        <v>0</v>
      </c>
      <c r="H9" s="57" t="s">
        <v>237</v>
      </c>
    </row>
    <row r="10" spans="1:8">
      <c r="A10" s="26">
        <f>'法人一覧(25)'!A10</f>
        <v>7</v>
      </c>
      <c r="B10" s="2" t="str">
        <f>'法人一覧(25)'!B10</f>
        <v>外務省</v>
      </c>
      <c r="C10" s="2" t="str">
        <f>'法人一覧(25)'!C10</f>
        <v>国際協力機構</v>
      </c>
      <c r="D10" s="29">
        <f t="shared" si="0"/>
        <v>424733602</v>
      </c>
      <c r="E10" s="52">
        <v>0</v>
      </c>
      <c r="F10" s="52">
        <v>424733602</v>
      </c>
      <c r="G10" s="52">
        <v>0</v>
      </c>
      <c r="H10" s="57" t="s">
        <v>237</v>
      </c>
    </row>
    <row r="11" spans="1:8">
      <c r="A11" s="26">
        <f>'法人一覧(25)'!A11</f>
        <v>8</v>
      </c>
      <c r="B11" s="2" t="str">
        <f>'法人一覧(25)'!B11</f>
        <v>外務省</v>
      </c>
      <c r="C11" s="2" t="str">
        <f>'法人一覧(25)'!C11</f>
        <v>国際交流基金</v>
      </c>
      <c r="D11" s="29">
        <f>SUM(E11:G11)</f>
        <v>51487100</v>
      </c>
      <c r="E11" s="52">
        <v>0</v>
      </c>
      <c r="F11" s="52">
        <v>51487100</v>
      </c>
      <c r="G11" s="52">
        <v>0</v>
      </c>
      <c r="H11" s="57" t="s">
        <v>237</v>
      </c>
    </row>
    <row r="12" spans="1:8">
      <c r="A12" s="26">
        <f>'法人一覧(25)'!A12</f>
        <v>9</v>
      </c>
      <c r="B12" s="2" t="str">
        <f>'法人一覧(25)'!B12</f>
        <v>財務省</v>
      </c>
      <c r="C12" s="2" t="str">
        <f>'法人一覧(25)'!C12</f>
        <v>酒類総合研究所</v>
      </c>
      <c r="D12" s="29">
        <f t="shared" ref="D12:D75" si="1">SUM(E12:G12)</f>
        <v>0</v>
      </c>
      <c r="E12" s="52">
        <v>0</v>
      </c>
      <c r="F12" s="52">
        <v>0</v>
      </c>
      <c r="G12" s="52">
        <v>0</v>
      </c>
      <c r="H12" s="57" t="s">
        <v>237</v>
      </c>
    </row>
    <row r="13" spans="1:8" ht="44.4" customHeight="1">
      <c r="A13" s="26">
        <f>'法人一覧(25)'!A13</f>
        <v>10</v>
      </c>
      <c r="B13" s="2" t="str">
        <f>'法人一覧(25)'!B13</f>
        <v>財務省</v>
      </c>
      <c r="C13" s="2" t="str">
        <f>'法人一覧(25)'!C13</f>
        <v>造幣局</v>
      </c>
      <c r="D13" s="29">
        <f t="shared" si="1"/>
        <v>5705805336</v>
      </c>
      <c r="E13" s="52">
        <f>2179869898</f>
        <v>2179869898</v>
      </c>
      <c r="F13" s="52">
        <v>0</v>
      </c>
      <c r="G13" s="52">
        <v>3525935438</v>
      </c>
      <c r="H13" s="57" t="s">
        <v>445</v>
      </c>
    </row>
    <row r="14" spans="1:8" ht="90" customHeight="1">
      <c r="A14" s="26">
        <f>'法人一覧(25)'!A14</f>
        <v>11</v>
      </c>
      <c r="B14" s="2" t="str">
        <f>'法人一覧(25)'!B14</f>
        <v>財務省</v>
      </c>
      <c r="C14" s="2" t="str">
        <f>'法人一覧(25)'!C14</f>
        <v>国立印刷局</v>
      </c>
      <c r="D14" s="29">
        <f t="shared" si="1"/>
        <v>13522903051</v>
      </c>
      <c r="E14" s="52">
        <v>0</v>
      </c>
      <c r="F14" s="52">
        <v>1508469897</v>
      </c>
      <c r="G14" s="52">
        <v>12014433154</v>
      </c>
      <c r="H14" s="57" t="s">
        <v>446</v>
      </c>
    </row>
    <row r="15" spans="1:8">
      <c r="A15" s="26">
        <f>'法人一覧(25)'!A15</f>
        <v>12</v>
      </c>
      <c r="B15" s="2" t="str">
        <f>'法人一覧(25)'!B15</f>
        <v>財務省</v>
      </c>
      <c r="C15" s="2" t="str">
        <f>'法人一覧(25)'!C15</f>
        <v>日本万国博覧会記念機構</v>
      </c>
      <c r="D15" s="29">
        <f t="shared" si="1"/>
        <v>326000000</v>
      </c>
      <c r="E15" s="52">
        <v>0</v>
      </c>
      <c r="F15" s="52">
        <v>0</v>
      </c>
      <c r="G15" s="52">
        <v>326000000</v>
      </c>
      <c r="H15" s="57" t="s">
        <v>237</v>
      </c>
    </row>
    <row r="16" spans="1:8">
      <c r="A16" s="26">
        <f>'法人一覧(25)'!A16</f>
        <v>13</v>
      </c>
      <c r="B16" s="2" t="str">
        <f>'法人一覧(25)'!B16</f>
        <v>文部科学省</v>
      </c>
      <c r="C16" s="2" t="str">
        <f>'法人一覧(25)'!C16</f>
        <v>国立特別支援教育総合研究所</v>
      </c>
      <c r="D16" s="29">
        <f t="shared" si="1"/>
        <v>0</v>
      </c>
      <c r="E16" s="52">
        <v>0</v>
      </c>
      <c r="F16" s="52">
        <v>0</v>
      </c>
      <c r="G16" s="52">
        <v>0</v>
      </c>
      <c r="H16" s="4" t="s">
        <v>237</v>
      </c>
    </row>
    <row r="17" spans="1:8">
      <c r="A17" s="26">
        <f>'法人一覧(25)'!A17</f>
        <v>14</v>
      </c>
      <c r="B17" s="2" t="str">
        <f>'法人一覧(25)'!B17</f>
        <v>文部科学省</v>
      </c>
      <c r="C17" s="2" t="str">
        <f>'法人一覧(25)'!C17</f>
        <v>大学入試センター</v>
      </c>
      <c r="D17" s="29">
        <f t="shared" si="1"/>
        <v>0</v>
      </c>
      <c r="E17" s="52">
        <v>0</v>
      </c>
      <c r="F17" s="52">
        <v>0</v>
      </c>
      <c r="G17" s="52">
        <v>0</v>
      </c>
      <c r="H17" s="4" t="s">
        <v>237</v>
      </c>
    </row>
    <row r="18" spans="1:8" ht="45" customHeight="1">
      <c r="A18" s="26">
        <f>'法人一覧(25)'!A18</f>
        <v>15</v>
      </c>
      <c r="B18" s="2" t="str">
        <f>'法人一覧(25)'!B18</f>
        <v>文部科学省</v>
      </c>
      <c r="C18" s="2" t="str">
        <f>'法人一覧(25)'!C18</f>
        <v>国立青少年教育振興機構</v>
      </c>
      <c r="D18" s="29">
        <f t="shared" si="1"/>
        <v>0</v>
      </c>
      <c r="E18" s="52">
        <v>0</v>
      </c>
      <c r="F18" s="52">
        <v>0</v>
      </c>
      <c r="G18" s="52">
        <v>0</v>
      </c>
      <c r="H18" s="57" t="s">
        <v>466</v>
      </c>
    </row>
    <row r="19" spans="1:8">
      <c r="A19" s="26">
        <f>'法人一覧(25)'!A19</f>
        <v>16</v>
      </c>
      <c r="B19" s="2" t="str">
        <f>'法人一覧(25)'!B19</f>
        <v>文部科学省</v>
      </c>
      <c r="C19" s="2" t="str">
        <f>'法人一覧(25)'!C19</f>
        <v>国立女性教育会館</v>
      </c>
      <c r="D19" s="29">
        <f t="shared" si="1"/>
        <v>0</v>
      </c>
      <c r="E19" s="52">
        <v>0</v>
      </c>
      <c r="F19" s="52">
        <v>0</v>
      </c>
      <c r="G19" s="52">
        <v>0</v>
      </c>
      <c r="H19" s="4" t="s">
        <v>237</v>
      </c>
    </row>
    <row r="20" spans="1:8">
      <c r="A20" s="26">
        <f>'法人一覧(25)'!A20</f>
        <v>17</v>
      </c>
      <c r="B20" s="2" t="str">
        <f>'法人一覧(25)'!B20</f>
        <v>文部科学省</v>
      </c>
      <c r="C20" s="2" t="str">
        <f>'法人一覧(25)'!C20</f>
        <v>国立科学博物館</v>
      </c>
      <c r="D20" s="29">
        <f t="shared" si="1"/>
        <v>1415969590</v>
      </c>
      <c r="E20" s="52">
        <v>0</v>
      </c>
      <c r="F20" s="52">
        <v>1415969590</v>
      </c>
      <c r="G20" s="52">
        <v>0</v>
      </c>
      <c r="H20" s="4" t="s">
        <v>237</v>
      </c>
    </row>
    <row r="21" spans="1:8">
      <c r="A21" s="26">
        <f>'法人一覧(25)'!A21</f>
        <v>18</v>
      </c>
      <c r="B21" s="2" t="str">
        <f>'法人一覧(25)'!B21</f>
        <v>文部科学省</v>
      </c>
      <c r="C21" s="2" t="str">
        <f>'法人一覧(25)'!C21</f>
        <v>物質・材料研究機構</v>
      </c>
      <c r="D21" s="29">
        <f t="shared" si="1"/>
        <v>0</v>
      </c>
      <c r="E21" s="52">
        <v>0</v>
      </c>
      <c r="F21" s="52">
        <v>0</v>
      </c>
      <c r="G21" s="52">
        <v>0</v>
      </c>
      <c r="H21" s="4" t="s">
        <v>237</v>
      </c>
    </row>
    <row r="22" spans="1:8">
      <c r="A22" s="26">
        <f>'法人一覧(25)'!A22</f>
        <v>19</v>
      </c>
      <c r="B22" s="2" t="str">
        <f>'法人一覧(25)'!B22</f>
        <v>文部科学省</v>
      </c>
      <c r="C22" s="2" t="str">
        <f>'法人一覧(25)'!C22</f>
        <v>防災科学技術研究所</v>
      </c>
      <c r="D22" s="29">
        <f t="shared" si="1"/>
        <v>0</v>
      </c>
      <c r="E22" s="52">
        <v>0</v>
      </c>
      <c r="F22" s="52">
        <v>0</v>
      </c>
      <c r="G22" s="52">
        <v>0</v>
      </c>
      <c r="H22" s="4" t="s">
        <v>237</v>
      </c>
    </row>
    <row r="23" spans="1:8">
      <c r="A23" s="26">
        <f>'法人一覧(25)'!A23</f>
        <v>20</v>
      </c>
      <c r="B23" s="2" t="str">
        <f>'法人一覧(25)'!B23</f>
        <v>文部科学省</v>
      </c>
      <c r="C23" s="2" t="str">
        <f>'法人一覧(25)'!C23</f>
        <v>放射線医学総合研究所</v>
      </c>
      <c r="D23" s="29">
        <f t="shared" si="1"/>
        <v>0</v>
      </c>
      <c r="E23" s="52">
        <v>0</v>
      </c>
      <c r="F23" s="52">
        <v>0</v>
      </c>
      <c r="G23" s="52">
        <v>0</v>
      </c>
      <c r="H23" s="4" t="s">
        <v>237</v>
      </c>
    </row>
    <row r="24" spans="1:8">
      <c r="A24" s="26">
        <f>'法人一覧(25)'!A24</f>
        <v>21</v>
      </c>
      <c r="B24" s="2" t="str">
        <f>'法人一覧(25)'!B24</f>
        <v>文部科学省</v>
      </c>
      <c r="C24" s="2" t="str">
        <f>'法人一覧(25)'!C24</f>
        <v>国立美術館</v>
      </c>
      <c r="D24" s="29">
        <f t="shared" si="1"/>
        <v>0</v>
      </c>
      <c r="E24" s="52">
        <v>0</v>
      </c>
      <c r="F24" s="52">
        <v>0</v>
      </c>
      <c r="G24" s="52">
        <v>0</v>
      </c>
      <c r="H24" s="4" t="s">
        <v>237</v>
      </c>
    </row>
    <row r="25" spans="1:8">
      <c r="A25" s="26">
        <f>'法人一覧(25)'!A25</f>
        <v>22</v>
      </c>
      <c r="B25" s="2" t="str">
        <f>'法人一覧(25)'!B25</f>
        <v>文部科学省</v>
      </c>
      <c r="C25" s="2" t="str">
        <f>'法人一覧(25)'!C25</f>
        <v>国立文化財機構</v>
      </c>
      <c r="D25" s="29">
        <f t="shared" si="1"/>
        <v>0</v>
      </c>
      <c r="E25" s="52">
        <v>0</v>
      </c>
      <c r="F25" s="52">
        <v>0</v>
      </c>
      <c r="G25" s="52">
        <v>0</v>
      </c>
      <c r="H25" s="4" t="s">
        <v>237</v>
      </c>
    </row>
    <row r="26" spans="1:8">
      <c r="A26" s="26">
        <f>'法人一覧(25)'!A26</f>
        <v>23</v>
      </c>
      <c r="B26" s="2" t="str">
        <f>'法人一覧(25)'!B26</f>
        <v>文部科学省</v>
      </c>
      <c r="C26" s="2" t="str">
        <f>'法人一覧(25)'!C26</f>
        <v>教員研修センター</v>
      </c>
      <c r="D26" s="29">
        <f t="shared" si="1"/>
        <v>0</v>
      </c>
      <c r="E26" s="52">
        <v>0</v>
      </c>
      <c r="F26" s="52">
        <v>0</v>
      </c>
      <c r="G26" s="52">
        <v>0</v>
      </c>
      <c r="H26" s="4" t="s">
        <v>237</v>
      </c>
    </row>
    <row r="27" spans="1:8" ht="35.4" customHeight="1">
      <c r="A27" s="26">
        <f>'法人一覧(25)'!A27</f>
        <v>24</v>
      </c>
      <c r="B27" s="2" t="str">
        <f>'法人一覧(25)'!B27</f>
        <v>文部科学省</v>
      </c>
      <c r="C27" s="2" t="str">
        <f>'法人一覧(25)'!C27</f>
        <v>科学技術振興機構</v>
      </c>
      <c r="D27" s="29">
        <f t="shared" si="1"/>
        <v>22473312026</v>
      </c>
      <c r="E27" s="52">
        <v>0</v>
      </c>
      <c r="F27" s="52">
        <v>22473312026</v>
      </c>
      <c r="G27" s="52">
        <v>0</v>
      </c>
      <c r="H27" s="57" t="s">
        <v>468</v>
      </c>
    </row>
    <row r="28" spans="1:8">
      <c r="A28" s="26">
        <f>'法人一覧(25)'!A28</f>
        <v>25</v>
      </c>
      <c r="B28" s="2" t="str">
        <f>'法人一覧(25)'!B28</f>
        <v>文部科学省</v>
      </c>
      <c r="C28" s="2" t="str">
        <f>'法人一覧(25)'!C28</f>
        <v>日本学術振興会</v>
      </c>
      <c r="D28" s="29">
        <f t="shared" si="1"/>
        <v>2050243940</v>
      </c>
      <c r="E28" s="52">
        <v>1659832680</v>
      </c>
      <c r="F28" s="52">
        <v>390411260</v>
      </c>
      <c r="G28" s="52">
        <v>0</v>
      </c>
      <c r="H28" s="4" t="s">
        <v>237</v>
      </c>
    </row>
    <row r="29" spans="1:8">
      <c r="A29" s="26">
        <f>'法人一覧(25)'!A29</f>
        <v>26</v>
      </c>
      <c r="B29" s="2" t="str">
        <f>'法人一覧(25)'!B29</f>
        <v>文部科学省</v>
      </c>
      <c r="C29" s="2" t="str">
        <f>'法人一覧(25)'!C29</f>
        <v>理化学研究所</v>
      </c>
      <c r="D29" s="29">
        <f t="shared" si="1"/>
        <v>1189720517</v>
      </c>
      <c r="E29" s="52">
        <v>1189717110</v>
      </c>
      <c r="F29" s="52">
        <v>3407</v>
      </c>
      <c r="G29" s="52">
        <v>0</v>
      </c>
      <c r="H29" s="4" t="s">
        <v>237</v>
      </c>
    </row>
    <row r="30" spans="1:8" ht="48" customHeight="1">
      <c r="A30" s="26">
        <f>'法人一覧(25)'!A30</f>
        <v>27</v>
      </c>
      <c r="B30" s="2" t="str">
        <f>'法人一覧(25)'!B30</f>
        <v>文部科学省</v>
      </c>
      <c r="C30" s="2" t="str">
        <f>'法人一覧(25)'!C30</f>
        <v>宇宙航空研究開発機構</v>
      </c>
      <c r="D30" s="29">
        <f t="shared" si="1"/>
        <v>2430638113</v>
      </c>
      <c r="E30" s="52">
        <v>0</v>
      </c>
      <c r="F30" s="52">
        <v>3126053</v>
      </c>
      <c r="G30" s="52">
        <v>2427512060</v>
      </c>
      <c r="H30" s="57" t="s">
        <v>417</v>
      </c>
    </row>
    <row r="31" spans="1:8">
      <c r="A31" s="26">
        <f>'法人一覧(25)'!A31</f>
        <v>28</v>
      </c>
      <c r="B31" s="2" t="str">
        <f>'法人一覧(25)'!B31</f>
        <v>文部科学省</v>
      </c>
      <c r="C31" s="2" t="str">
        <f>'法人一覧(25)'!C31</f>
        <v>日本スポーツ振興センター</v>
      </c>
      <c r="D31" s="29">
        <f t="shared" si="1"/>
        <v>9134032296</v>
      </c>
      <c r="E31" s="52">
        <v>849936079</v>
      </c>
      <c r="F31" s="52">
        <v>0</v>
      </c>
      <c r="G31" s="52">
        <f>9134032296-849936079</f>
        <v>8284096217</v>
      </c>
      <c r="H31" s="4" t="s">
        <v>237</v>
      </c>
    </row>
    <row r="32" spans="1:8">
      <c r="A32" s="26">
        <f>'法人一覧(25)'!A32</f>
        <v>29</v>
      </c>
      <c r="B32" s="2" t="str">
        <f>'法人一覧(25)'!B32</f>
        <v>文部科学省</v>
      </c>
      <c r="C32" s="2" t="str">
        <f>'法人一覧(25)'!C32</f>
        <v>日本芸術文化振興会</v>
      </c>
      <c r="D32" s="29">
        <f t="shared" si="1"/>
        <v>585038846</v>
      </c>
      <c r="E32" s="52">
        <v>585038846</v>
      </c>
      <c r="F32" s="52">
        <v>0</v>
      </c>
      <c r="G32" s="52">
        <v>0</v>
      </c>
      <c r="H32" s="4" t="s">
        <v>237</v>
      </c>
    </row>
    <row r="33" spans="1:8">
      <c r="A33" s="26">
        <f>'法人一覧(25)'!A33</f>
        <v>30</v>
      </c>
      <c r="B33" s="2" t="str">
        <f>'法人一覧(25)'!B33</f>
        <v>文部科学省</v>
      </c>
      <c r="C33" s="2" t="str">
        <f>'法人一覧(25)'!C33</f>
        <v>日本学生支援機構</v>
      </c>
      <c r="D33" s="29">
        <f t="shared" si="1"/>
        <v>0</v>
      </c>
      <c r="E33" s="52">
        <v>0</v>
      </c>
      <c r="F33" s="52">
        <v>0</v>
      </c>
      <c r="G33" s="52">
        <v>0</v>
      </c>
      <c r="H33" s="4" t="s">
        <v>237</v>
      </c>
    </row>
    <row r="34" spans="1:8">
      <c r="A34" s="26">
        <f>'法人一覧(25)'!A34</f>
        <v>31</v>
      </c>
      <c r="B34" s="2" t="str">
        <f>'法人一覧(25)'!B34</f>
        <v>文部科学省</v>
      </c>
      <c r="C34" s="2" t="str">
        <f>'法人一覧(25)'!C34</f>
        <v>海洋研究開発機構</v>
      </c>
      <c r="D34" s="29">
        <f t="shared" si="1"/>
        <v>0</v>
      </c>
      <c r="E34" s="52">
        <v>0</v>
      </c>
      <c r="F34" s="52">
        <v>0</v>
      </c>
      <c r="G34" s="52">
        <v>0</v>
      </c>
      <c r="H34" s="4" t="s">
        <v>237</v>
      </c>
    </row>
    <row r="35" spans="1:8">
      <c r="A35" s="26">
        <f>'法人一覧(25)'!A35</f>
        <v>32</v>
      </c>
      <c r="B35" s="2" t="str">
        <f>'法人一覧(25)'!B35</f>
        <v>文部科学省</v>
      </c>
      <c r="C35" s="2" t="str">
        <f>'法人一覧(25)'!C35</f>
        <v>国立高等専門学校機構</v>
      </c>
      <c r="D35" s="29">
        <f t="shared" si="1"/>
        <v>58713445</v>
      </c>
      <c r="E35" s="68">
        <v>0</v>
      </c>
      <c r="F35" s="68">
        <v>58713445</v>
      </c>
      <c r="G35" s="68">
        <v>0</v>
      </c>
      <c r="H35" s="4" t="s">
        <v>237</v>
      </c>
    </row>
    <row r="36" spans="1:8">
      <c r="A36" s="26">
        <f>'法人一覧(25)'!A36</f>
        <v>33</v>
      </c>
      <c r="B36" s="2" t="str">
        <f>'法人一覧(25)'!B36</f>
        <v>文部科学省</v>
      </c>
      <c r="C36" s="2" t="str">
        <f>'法人一覧(25)'!C36</f>
        <v>大学評価・学位授与機構</v>
      </c>
      <c r="D36" s="29">
        <f t="shared" si="1"/>
        <v>0</v>
      </c>
      <c r="E36" s="52">
        <v>0</v>
      </c>
      <c r="F36" s="52">
        <v>0</v>
      </c>
      <c r="G36" s="52">
        <v>0</v>
      </c>
      <c r="H36" s="4" t="s">
        <v>237</v>
      </c>
    </row>
    <row r="37" spans="1:8">
      <c r="A37" s="26">
        <f>'法人一覧(25)'!A37</f>
        <v>34</v>
      </c>
      <c r="B37" s="2" t="str">
        <f>'法人一覧(25)'!B37</f>
        <v>文部科学省</v>
      </c>
      <c r="C37" s="2" t="str">
        <f>'法人一覧(25)'!C37</f>
        <v>国立大学財務・経営センター</v>
      </c>
      <c r="D37" s="29">
        <f t="shared" si="1"/>
        <v>0</v>
      </c>
      <c r="E37" s="52">
        <v>0</v>
      </c>
      <c r="F37" s="52">
        <v>0</v>
      </c>
      <c r="G37" s="52">
        <v>0</v>
      </c>
      <c r="H37" s="4" t="s">
        <v>237</v>
      </c>
    </row>
    <row r="38" spans="1:8">
      <c r="A38" s="26">
        <f>'法人一覧(25)'!A38</f>
        <v>35</v>
      </c>
      <c r="B38" s="2" t="str">
        <f>'法人一覧(25)'!B38</f>
        <v>文部科学省</v>
      </c>
      <c r="C38" s="2" t="str">
        <f>'法人一覧(25)'!C38</f>
        <v>日本原子力研究開発機構</v>
      </c>
      <c r="D38" s="29">
        <f t="shared" si="1"/>
        <v>0</v>
      </c>
      <c r="E38" s="52">
        <v>0</v>
      </c>
      <c r="F38" s="52">
        <v>0</v>
      </c>
      <c r="G38" s="52">
        <v>0</v>
      </c>
      <c r="H38" s="4" t="s">
        <v>237</v>
      </c>
    </row>
    <row r="39" spans="1:8">
      <c r="A39" s="26">
        <f>'法人一覧(25)'!A39</f>
        <v>36</v>
      </c>
      <c r="B39" s="2" t="str">
        <f>'法人一覧(25)'!B39</f>
        <v>厚生労働省</v>
      </c>
      <c r="C39" s="2" t="str">
        <f>'法人一覧(25)'!C39</f>
        <v>国立健康・栄養研究所</v>
      </c>
      <c r="D39" s="29">
        <f t="shared" si="1"/>
        <v>0</v>
      </c>
      <c r="E39" s="52">
        <v>0</v>
      </c>
      <c r="F39" s="52">
        <v>0</v>
      </c>
      <c r="G39" s="52">
        <v>0</v>
      </c>
      <c r="H39" s="4" t="s">
        <v>237</v>
      </c>
    </row>
    <row r="40" spans="1:8">
      <c r="A40" s="26">
        <f>'法人一覧(25)'!A40</f>
        <v>37</v>
      </c>
      <c r="B40" s="2" t="str">
        <f>'法人一覧(25)'!B40</f>
        <v>厚生労働省</v>
      </c>
      <c r="C40" s="2" t="str">
        <f>'法人一覧(25)'!C40</f>
        <v>労働安全衛生総合研究所</v>
      </c>
      <c r="D40" s="29">
        <f t="shared" si="1"/>
        <v>104627520</v>
      </c>
      <c r="E40" s="52">
        <v>0</v>
      </c>
      <c r="F40" s="52">
        <v>104627520</v>
      </c>
      <c r="G40" s="52">
        <v>0</v>
      </c>
      <c r="H40" s="4" t="s">
        <v>237</v>
      </c>
    </row>
    <row r="41" spans="1:8">
      <c r="A41" s="26">
        <f>'法人一覧(25)'!A41</f>
        <v>38</v>
      </c>
      <c r="B41" s="2" t="str">
        <f>'法人一覧(25)'!B41</f>
        <v>厚生労働省</v>
      </c>
      <c r="C41" s="2" t="str">
        <f>'法人一覧(25)'!C41</f>
        <v>勤労者退職金共済機構</v>
      </c>
      <c r="D41" s="29">
        <f t="shared" si="1"/>
        <v>240379016</v>
      </c>
      <c r="E41" s="52">
        <v>240379016</v>
      </c>
      <c r="F41" s="52">
        <v>0</v>
      </c>
      <c r="G41" s="52">
        <v>0</v>
      </c>
      <c r="H41" s="4" t="s">
        <v>237</v>
      </c>
    </row>
    <row r="42" spans="1:8">
      <c r="A42" s="26">
        <f>'法人一覧(25)'!A42</f>
        <v>39</v>
      </c>
      <c r="B42" s="2" t="str">
        <f>'法人一覧(25)'!B42</f>
        <v>厚生労働省</v>
      </c>
      <c r="C42" s="2" t="str">
        <f>'法人一覧(25)'!C42</f>
        <v>高齢・障害・求職者雇用支援機構</v>
      </c>
      <c r="D42" s="29">
        <f t="shared" si="1"/>
        <v>18749513106</v>
      </c>
      <c r="E42" s="52">
        <v>18342640517</v>
      </c>
      <c r="F42" s="52">
        <f>406872589-2643</f>
        <v>406869946</v>
      </c>
      <c r="G42" s="52">
        <v>2643</v>
      </c>
      <c r="H42" s="4" t="s">
        <v>237</v>
      </c>
    </row>
    <row r="43" spans="1:8">
      <c r="A43" s="26">
        <f>'法人一覧(25)'!A43</f>
        <v>40</v>
      </c>
      <c r="B43" s="2" t="str">
        <f>'法人一覧(25)'!B43</f>
        <v>厚生労働省</v>
      </c>
      <c r="C43" s="2" t="str">
        <f>'法人一覧(25)'!C43</f>
        <v>福祉医療機構</v>
      </c>
      <c r="D43" s="29">
        <f t="shared" si="1"/>
        <v>263356797994</v>
      </c>
      <c r="E43" s="52">
        <f>28306173+12990000+28808049</f>
        <v>70104222</v>
      </c>
      <c r="F43" s="52">
        <v>520631</v>
      </c>
      <c r="G43" s="52">
        <v>263286173141</v>
      </c>
      <c r="H43" s="4" t="s">
        <v>237</v>
      </c>
    </row>
    <row r="44" spans="1:8">
      <c r="A44" s="26">
        <f>'法人一覧(25)'!A44</f>
        <v>41</v>
      </c>
      <c r="B44" s="2" t="str">
        <f>'法人一覧(25)'!B44</f>
        <v>厚生労働省</v>
      </c>
      <c r="C44" s="2" t="str">
        <f>'法人一覧(25)'!C44</f>
        <v>国立重度知的障害者総合施設のぞみの園</v>
      </c>
      <c r="D44" s="29">
        <f t="shared" si="1"/>
        <v>5738123</v>
      </c>
      <c r="E44" s="52">
        <v>5738123</v>
      </c>
      <c r="F44" s="52">
        <v>0</v>
      </c>
      <c r="G44" s="52">
        <v>0</v>
      </c>
      <c r="H44" s="4" t="s">
        <v>237</v>
      </c>
    </row>
    <row r="45" spans="1:8">
      <c r="A45" s="26">
        <f>'法人一覧(25)'!A45</f>
        <v>42</v>
      </c>
      <c r="B45" s="2" t="str">
        <f>'法人一覧(25)'!B45</f>
        <v>厚生労働省</v>
      </c>
      <c r="C45" s="2" t="str">
        <f>'法人一覧(25)'!C45</f>
        <v>労働政策研究・研修機構</v>
      </c>
      <c r="D45" s="29">
        <f t="shared" si="1"/>
        <v>2322000</v>
      </c>
      <c r="E45" s="52">
        <v>0</v>
      </c>
      <c r="F45" s="52">
        <v>2322000</v>
      </c>
      <c r="G45" s="52">
        <v>0</v>
      </c>
      <c r="H45" s="4" t="s">
        <v>237</v>
      </c>
    </row>
    <row r="46" spans="1:8" ht="34.200000000000003" customHeight="1">
      <c r="A46" s="26">
        <f>'法人一覧(25)'!A46</f>
        <v>43</v>
      </c>
      <c r="B46" s="2" t="str">
        <f>'法人一覧(25)'!B46</f>
        <v>厚生労働省</v>
      </c>
      <c r="C46" s="2" t="str">
        <f>'法人一覧(25)'!C46</f>
        <v>労働者健康福祉機構</v>
      </c>
      <c r="D46" s="29">
        <f t="shared" si="1"/>
        <v>211190760</v>
      </c>
      <c r="E46" s="52">
        <v>0</v>
      </c>
      <c r="F46" s="52">
        <v>198765468</v>
      </c>
      <c r="G46" s="52">
        <v>12425292</v>
      </c>
      <c r="H46" s="57" t="s">
        <v>581</v>
      </c>
    </row>
    <row r="47" spans="1:8">
      <c r="A47" s="26">
        <f>'法人一覧(25)'!A47</f>
        <v>44</v>
      </c>
      <c r="B47" s="2" t="str">
        <f>'法人一覧(25)'!B47</f>
        <v>厚生労働省</v>
      </c>
      <c r="C47" s="2" t="str">
        <f>'法人一覧(25)'!C47</f>
        <v>国立病院機構</v>
      </c>
      <c r="D47" s="29">
        <f t="shared" si="1"/>
        <v>0</v>
      </c>
      <c r="E47" s="52">
        <v>0</v>
      </c>
      <c r="F47" s="52">
        <v>0</v>
      </c>
      <c r="G47" s="52">
        <v>0</v>
      </c>
      <c r="H47" s="4" t="s">
        <v>237</v>
      </c>
    </row>
    <row r="48" spans="1:8">
      <c r="A48" s="26">
        <f>'法人一覧(25)'!A48</f>
        <v>45</v>
      </c>
      <c r="B48" s="2" t="str">
        <f>'法人一覧(25)'!B48</f>
        <v>厚生労働省</v>
      </c>
      <c r="C48" s="2" t="str">
        <f>'法人一覧(25)'!C48</f>
        <v>医薬品医療機器総合機構</v>
      </c>
      <c r="D48" s="29">
        <f t="shared" si="1"/>
        <v>0</v>
      </c>
      <c r="E48" s="52">
        <v>0</v>
      </c>
      <c r="F48" s="52">
        <v>0</v>
      </c>
      <c r="G48" s="52">
        <v>0</v>
      </c>
      <c r="H48" s="4" t="s">
        <v>237</v>
      </c>
    </row>
    <row r="49" spans="1:8">
      <c r="A49" s="26">
        <f>'法人一覧(25)'!A49</f>
        <v>46</v>
      </c>
      <c r="B49" s="2" t="str">
        <f>'法人一覧(25)'!B49</f>
        <v>厚生労働省</v>
      </c>
      <c r="C49" s="2" t="str">
        <f>'法人一覧(25)'!C49</f>
        <v>医薬基盤研究所</v>
      </c>
      <c r="D49" s="29">
        <f t="shared" si="1"/>
        <v>0</v>
      </c>
      <c r="E49" s="52">
        <v>0</v>
      </c>
      <c r="F49" s="52">
        <v>0</v>
      </c>
      <c r="G49" s="52">
        <v>0</v>
      </c>
      <c r="H49" s="4" t="s">
        <v>237</v>
      </c>
    </row>
    <row r="50" spans="1:8">
      <c r="A50" s="26">
        <f>'法人一覧(25)'!A50</f>
        <v>47</v>
      </c>
      <c r="B50" s="2" t="str">
        <f>'法人一覧(25)'!B50</f>
        <v>厚生労働省</v>
      </c>
      <c r="C50" s="2" t="str">
        <f>'法人一覧(25)'!C50</f>
        <v>年金・健康保険福祉施設整理機構</v>
      </c>
      <c r="D50" s="29">
        <f t="shared" si="1"/>
        <v>19140000</v>
      </c>
      <c r="E50" s="52">
        <v>0</v>
      </c>
      <c r="F50" s="52">
        <v>0</v>
      </c>
      <c r="G50" s="52">
        <v>19140000</v>
      </c>
      <c r="H50" s="4" t="s">
        <v>237</v>
      </c>
    </row>
    <row r="51" spans="1:8">
      <c r="A51" s="26">
        <f>'法人一覧(25)'!A51</f>
        <v>48</v>
      </c>
      <c r="B51" s="2" t="str">
        <f>'法人一覧(25)'!B51</f>
        <v>厚生労働省</v>
      </c>
      <c r="C51" s="2" t="str">
        <f>'法人一覧(25)'!C51</f>
        <v>年金積立金管理運用</v>
      </c>
      <c r="D51" s="29">
        <f t="shared" si="1"/>
        <v>2111605175378</v>
      </c>
      <c r="E51" s="52">
        <v>0</v>
      </c>
      <c r="F51" s="52">
        <v>0</v>
      </c>
      <c r="G51" s="52">
        <v>2111605175378</v>
      </c>
      <c r="H51" s="4" t="s">
        <v>237</v>
      </c>
    </row>
    <row r="52" spans="1:8">
      <c r="A52" s="26">
        <f>'法人一覧(25)'!A52</f>
        <v>49</v>
      </c>
      <c r="B52" s="2" t="str">
        <f>'法人一覧(25)'!B52</f>
        <v>厚生労働省</v>
      </c>
      <c r="C52" s="2" t="str">
        <f>'法人一覧(25)'!C52</f>
        <v>国立がん研究センター</v>
      </c>
      <c r="D52" s="29">
        <f t="shared" si="1"/>
        <v>0</v>
      </c>
      <c r="E52" s="52">
        <v>0</v>
      </c>
      <c r="F52" s="52">
        <v>0</v>
      </c>
      <c r="G52" s="52">
        <v>0</v>
      </c>
      <c r="H52" s="4" t="s">
        <v>237</v>
      </c>
    </row>
    <row r="53" spans="1:8">
      <c r="A53" s="26">
        <f>'法人一覧(25)'!A53</f>
        <v>50</v>
      </c>
      <c r="B53" s="2" t="str">
        <f>'法人一覧(25)'!B53</f>
        <v>厚生労働省</v>
      </c>
      <c r="C53" s="2" t="str">
        <f>'法人一覧(25)'!C53</f>
        <v>国立循環器病研究センター</v>
      </c>
      <c r="D53" s="29">
        <f t="shared" si="1"/>
        <v>0</v>
      </c>
      <c r="E53" s="52">
        <v>0</v>
      </c>
      <c r="F53" s="52">
        <v>0</v>
      </c>
      <c r="G53" s="52">
        <v>0</v>
      </c>
      <c r="H53" s="4" t="s">
        <v>237</v>
      </c>
    </row>
    <row r="54" spans="1:8">
      <c r="A54" s="26">
        <f>'法人一覧(25)'!A54</f>
        <v>51</v>
      </c>
      <c r="B54" s="2" t="str">
        <f>'法人一覧(25)'!B54</f>
        <v>厚生労働省</v>
      </c>
      <c r="C54" s="2" t="str">
        <f>'法人一覧(25)'!C54</f>
        <v>国立精神・神経医療研究センター</v>
      </c>
      <c r="D54" s="29">
        <f t="shared" si="1"/>
        <v>0</v>
      </c>
      <c r="E54" s="52">
        <v>0</v>
      </c>
      <c r="F54" s="52">
        <v>0</v>
      </c>
      <c r="G54" s="52">
        <v>0</v>
      </c>
      <c r="H54" s="4" t="s">
        <v>237</v>
      </c>
    </row>
    <row r="55" spans="1:8">
      <c r="A55" s="26">
        <f>'法人一覧(25)'!A55</f>
        <v>52</v>
      </c>
      <c r="B55" s="2" t="str">
        <f>'法人一覧(25)'!B55</f>
        <v>厚生労働省</v>
      </c>
      <c r="C55" s="2" t="str">
        <f>'法人一覧(25)'!C55</f>
        <v>国立国際医療研究センター</v>
      </c>
      <c r="D55" s="29">
        <f t="shared" si="1"/>
        <v>0</v>
      </c>
      <c r="E55" s="52">
        <v>0</v>
      </c>
      <c r="F55" s="52">
        <v>0</v>
      </c>
      <c r="G55" s="52">
        <v>0</v>
      </c>
      <c r="H55" s="4" t="s">
        <v>237</v>
      </c>
    </row>
    <row r="56" spans="1:8">
      <c r="A56" s="26">
        <f>'法人一覧(25)'!A56</f>
        <v>53</v>
      </c>
      <c r="B56" s="2" t="str">
        <f>'法人一覧(25)'!B56</f>
        <v>厚生労働省</v>
      </c>
      <c r="C56" s="2" t="str">
        <f>'法人一覧(25)'!C56</f>
        <v>国立成育医療研究センター</v>
      </c>
      <c r="D56" s="29">
        <f t="shared" si="1"/>
        <v>0</v>
      </c>
      <c r="E56" s="52">
        <v>0</v>
      </c>
      <c r="F56" s="52">
        <v>0</v>
      </c>
      <c r="G56" s="52">
        <v>0</v>
      </c>
      <c r="H56" s="4" t="s">
        <v>237</v>
      </c>
    </row>
    <row r="57" spans="1:8">
      <c r="A57" s="26">
        <f>'法人一覧(25)'!A57</f>
        <v>54</v>
      </c>
      <c r="B57" s="2" t="str">
        <f>'法人一覧(25)'!B57</f>
        <v>厚生労働省</v>
      </c>
      <c r="C57" s="2" t="str">
        <f>'法人一覧(25)'!C57</f>
        <v>国立長寿医療研究センター</v>
      </c>
      <c r="D57" s="29">
        <f t="shared" si="1"/>
        <v>0</v>
      </c>
      <c r="E57" s="52">
        <v>0</v>
      </c>
      <c r="F57" s="52">
        <v>0</v>
      </c>
      <c r="G57" s="52">
        <v>0</v>
      </c>
      <c r="H57" s="4" t="s">
        <v>237</v>
      </c>
    </row>
    <row r="58" spans="1:8">
      <c r="A58" s="26">
        <f>'法人一覧(25)'!A58</f>
        <v>55</v>
      </c>
      <c r="B58" s="2" t="str">
        <f>'法人一覧(25)'!B58</f>
        <v>農林水産省</v>
      </c>
      <c r="C58" s="2" t="str">
        <f>'法人一覧(25)'!C58</f>
        <v>農林水産消費安全技術センター</v>
      </c>
      <c r="D58" s="52">
        <f t="shared" si="1"/>
        <v>0</v>
      </c>
      <c r="E58" s="52">
        <v>0</v>
      </c>
      <c r="F58" s="52">
        <v>0</v>
      </c>
      <c r="G58" s="52">
        <v>0</v>
      </c>
      <c r="H58" s="4" t="s">
        <v>237</v>
      </c>
    </row>
    <row r="59" spans="1:8">
      <c r="A59" s="26">
        <f>'法人一覧(25)'!A59</f>
        <v>56</v>
      </c>
      <c r="B59" s="2" t="str">
        <f>'法人一覧(25)'!B59</f>
        <v>農林水産省</v>
      </c>
      <c r="C59" s="2" t="str">
        <f>'法人一覧(25)'!C59</f>
        <v>種苗管理センター</v>
      </c>
      <c r="D59" s="29">
        <f t="shared" si="1"/>
        <v>0</v>
      </c>
      <c r="E59" s="52">
        <v>0</v>
      </c>
      <c r="F59" s="52">
        <v>0</v>
      </c>
      <c r="G59" s="52">
        <v>0</v>
      </c>
      <c r="H59" s="4" t="s">
        <v>237</v>
      </c>
    </row>
    <row r="60" spans="1:8">
      <c r="A60" s="26">
        <f>'法人一覧(25)'!A60</f>
        <v>57</v>
      </c>
      <c r="B60" s="2" t="str">
        <f>'法人一覧(25)'!B60</f>
        <v>農林水産省</v>
      </c>
      <c r="C60" s="2" t="str">
        <f>'法人一覧(25)'!C60</f>
        <v>家畜改良センター</v>
      </c>
      <c r="D60" s="29">
        <f t="shared" si="1"/>
        <v>18003039</v>
      </c>
      <c r="E60" s="29">
        <v>0</v>
      </c>
      <c r="F60" s="29">
        <v>18003039</v>
      </c>
      <c r="G60" s="29">
        <v>0</v>
      </c>
      <c r="H60" s="4" t="s">
        <v>260</v>
      </c>
    </row>
    <row r="61" spans="1:8">
      <c r="A61" s="26">
        <f>'法人一覧(25)'!A61</f>
        <v>58</v>
      </c>
      <c r="B61" s="2" t="str">
        <f>'法人一覧(25)'!B61</f>
        <v>農林水産省</v>
      </c>
      <c r="C61" s="2" t="str">
        <f>'法人一覧(25)'!C61</f>
        <v>水産大学校</v>
      </c>
      <c r="D61" s="29">
        <f t="shared" si="1"/>
        <v>0</v>
      </c>
      <c r="E61" s="29">
        <v>0</v>
      </c>
      <c r="F61" s="29">
        <v>0</v>
      </c>
      <c r="G61" s="29">
        <v>0</v>
      </c>
      <c r="H61" s="4" t="s">
        <v>237</v>
      </c>
    </row>
    <row r="62" spans="1:8">
      <c r="A62" s="26">
        <f>'法人一覧(25)'!A62</f>
        <v>59</v>
      </c>
      <c r="B62" s="2" t="str">
        <f>'法人一覧(25)'!B62</f>
        <v>農林水産省</v>
      </c>
      <c r="C62" s="2" t="str">
        <f>'法人一覧(25)'!C62</f>
        <v>農業・食品産業技術総合研究機構</v>
      </c>
      <c r="D62" s="29">
        <f t="shared" si="1"/>
        <v>1299846401</v>
      </c>
      <c r="E62" s="29">
        <v>0</v>
      </c>
      <c r="F62" s="29">
        <v>1299846401</v>
      </c>
      <c r="G62" s="29">
        <v>0</v>
      </c>
      <c r="H62" s="4" t="s">
        <v>237</v>
      </c>
    </row>
    <row r="63" spans="1:8">
      <c r="A63" s="26">
        <f>'法人一覧(25)'!A63</f>
        <v>60</v>
      </c>
      <c r="B63" s="2" t="str">
        <f>'法人一覧(25)'!B63</f>
        <v>農林水産省</v>
      </c>
      <c r="C63" s="2" t="str">
        <f>'法人一覧(25)'!C63</f>
        <v>農業生物資源研究所</v>
      </c>
      <c r="D63" s="29">
        <f t="shared" si="1"/>
        <v>0</v>
      </c>
      <c r="E63" s="29">
        <v>0</v>
      </c>
      <c r="F63" s="29">
        <v>0</v>
      </c>
      <c r="G63" s="29">
        <v>0</v>
      </c>
      <c r="H63" s="4" t="s">
        <v>237</v>
      </c>
    </row>
    <row r="64" spans="1:8">
      <c r="A64" s="26">
        <f>'法人一覧(25)'!A64</f>
        <v>61</v>
      </c>
      <c r="B64" s="2" t="str">
        <f>'法人一覧(25)'!B64</f>
        <v>農林水産省</v>
      </c>
      <c r="C64" s="2" t="str">
        <f>'法人一覧(25)'!C64</f>
        <v>農業環境技術研究所</v>
      </c>
      <c r="D64" s="29">
        <f t="shared" si="1"/>
        <v>0</v>
      </c>
      <c r="E64" s="29">
        <v>0</v>
      </c>
      <c r="F64" s="29">
        <v>0</v>
      </c>
      <c r="G64" s="29">
        <v>0</v>
      </c>
      <c r="H64" s="4" t="s">
        <v>237</v>
      </c>
    </row>
    <row r="65" spans="1:8">
      <c r="A65" s="26">
        <f>'法人一覧(25)'!A65</f>
        <v>62</v>
      </c>
      <c r="B65" s="2" t="str">
        <f>'法人一覧(25)'!B65</f>
        <v>農林水産省</v>
      </c>
      <c r="C65" s="2" t="str">
        <f>'法人一覧(25)'!C65</f>
        <v>国際農林水産業研究センター</v>
      </c>
      <c r="D65" s="29">
        <f t="shared" si="1"/>
        <v>0</v>
      </c>
      <c r="E65" s="29">
        <v>0</v>
      </c>
      <c r="F65" s="29">
        <v>0</v>
      </c>
      <c r="G65" s="29">
        <v>0</v>
      </c>
      <c r="H65" s="4" t="s">
        <v>260</v>
      </c>
    </row>
    <row r="66" spans="1:8">
      <c r="A66" s="26">
        <f>'法人一覧(25)'!A66</f>
        <v>63</v>
      </c>
      <c r="B66" s="2" t="str">
        <f>'法人一覧(25)'!B66</f>
        <v>農林水産省</v>
      </c>
      <c r="C66" s="2" t="str">
        <f>'法人一覧(25)'!C66</f>
        <v>森林総合研究所</v>
      </c>
      <c r="D66" s="52">
        <f t="shared" si="1"/>
        <v>2390382</v>
      </c>
      <c r="E66" s="52">
        <v>0</v>
      </c>
      <c r="F66" s="52">
        <v>2390382</v>
      </c>
      <c r="G66" s="29">
        <v>0</v>
      </c>
      <c r="H66" s="4" t="s">
        <v>237</v>
      </c>
    </row>
    <row r="67" spans="1:8" ht="57" customHeight="1">
      <c r="A67" s="26">
        <f>'法人一覧(25)'!A67</f>
        <v>64</v>
      </c>
      <c r="B67" s="2" t="str">
        <f>'法人一覧(25)'!B67</f>
        <v>農林水産省</v>
      </c>
      <c r="C67" s="2" t="str">
        <f>'法人一覧(25)'!C67</f>
        <v>水産総合研究センター</v>
      </c>
      <c r="D67" s="29">
        <f t="shared" si="1"/>
        <v>3350400</v>
      </c>
      <c r="E67" s="29">
        <v>0</v>
      </c>
      <c r="F67" s="29">
        <v>3350400</v>
      </c>
      <c r="G67" s="29">
        <v>0</v>
      </c>
      <c r="H67" s="4" t="s">
        <v>303</v>
      </c>
    </row>
    <row r="68" spans="1:8">
      <c r="A68" s="26">
        <f>'法人一覧(25)'!A68</f>
        <v>65</v>
      </c>
      <c r="B68" s="2" t="str">
        <f>'法人一覧(25)'!B68</f>
        <v>農林水産省</v>
      </c>
      <c r="C68" s="2" t="str">
        <f>'法人一覧(25)'!C68</f>
        <v>農畜産業振興機構</v>
      </c>
      <c r="D68" s="29">
        <f t="shared" si="1"/>
        <v>34482117220</v>
      </c>
      <c r="E68" s="29">
        <v>1098654116</v>
      </c>
      <c r="F68" s="29">
        <v>4270675373</v>
      </c>
      <c r="G68" s="29">
        <f>30211441847-1098654116</f>
        <v>29112787731</v>
      </c>
      <c r="H68" s="4"/>
    </row>
    <row r="69" spans="1:8">
      <c r="A69" s="26">
        <f>'法人一覧(25)'!A69</f>
        <v>66</v>
      </c>
      <c r="B69" s="2" t="str">
        <f>'法人一覧(25)'!B69</f>
        <v>農林水産省</v>
      </c>
      <c r="C69" s="2" t="str">
        <f>'法人一覧(25)'!C69</f>
        <v>農業者年金基金</v>
      </c>
      <c r="D69" s="29">
        <f t="shared" si="1"/>
        <v>1078037550</v>
      </c>
      <c r="E69" s="29">
        <v>1078037550</v>
      </c>
      <c r="F69" s="29">
        <v>0</v>
      </c>
      <c r="G69" s="29">
        <v>0</v>
      </c>
      <c r="H69" s="4" t="s">
        <v>237</v>
      </c>
    </row>
    <row r="70" spans="1:8">
      <c r="A70" s="26">
        <f>'法人一覧(25)'!A70</f>
        <v>67</v>
      </c>
      <c r="B70" s="2" t="str">
        <f>'法人一覧(25)'!B70</f>
        <v>農林水産省</v>
      </c>
      <c r="C70" s="2" t="str">
        <f>'法人一覧(25)'!C70</f>
        <v>農林漁業信用基金</v>
      </c>
      <c r="D70" s="29">
        <f t="shared" si="1"/>
        <v>12437104000</v>
      </c>
      <c r="E70" s="29">
        <v>54104000</v>
      </c>
      <c r="F70" s="29">
        <v>12383000000</v>
      </c>
      <c r="G70" s="29">
        <v>0</v>
      </c>
      <c r="H70" s="4" t="s">
        <v>237</v>
      </c>
    </row>
    <row r="71" spans="1:8">
      <c r="A71" s="26">
        <f>'法人一覧(25)'!A71</f>
        <v>68</v>
      </c>
      <c r="B71" s="2" t="str">
        <f>'法人一覧(25)'!B71</f>
        <v>経済産業省</v>
      </c>
      <c r="C71" s="2" t="str">
        <f>'法人一覧(25)'!C71</f>
        <v>経済産業研究所</v>
      </c>
      <c r="D71" s="29">
        <f t="shared" si="1"/>
        <v>0</v>
      </c>
      <c r="E71" s="29">
        <v>0</v>
      </c>
      <c r="F71" s="29">
        <v>0</v>
      </c>
      <c r="G71" s="29">
        <v>0</v>
      </c>
      <c r="H71" s="4" t="s">
        <v>237</v>
      </c>
    </row>
    <row r="72" spans="1:8">
      <c r="A72" s="26">
        <f>'法人一覧(25)'!A72</f>
        <v>69</v>
      </c>
      <c r="B72" s="2" t="str">
        <f>'法人一覧(25)'!B72</f>
        <v>経済産業省</v>
      </c>
      <c r="C72" s="2" t="str">
        <f>'法人一覧(25)'!C72</f>
        <v>工業所有権情報・研修館</v>
      </c>
      <c r="D72" s="29">
        <f t="shared" si="1"/>
        <v>0</v>
      </c>
      <c r="E72" s="29">
        <v>0</v>
      </c>
      <c r="F72" s="29">
        <v>0</v>
      </c>
      <c r="G72" s="29">
        <v>0</v>
      </c>
      <c r="H72" s="4" t="s">
        <v>237</v>
      </c>
    </row>
    <row r="73" spans="1:8">
      <c r="A73" s="26">
        <f>'法人一覧(25)'!A73</f>
        <v>70</v>
      </c>
      <c r="B73" s="2" t="str">
        <f>'法人一覧(25)'!B73</f>
        <v>経済産業省</v>
      </c>
      <c r="C73" s="2" t="str">
        <f>'法人一覧(25)'!C73</f>
        <v>日本貿易保険</v>
      </c>
      <c r="D73" s="29">
        <f t="shared" si="1"/>
        <v>0</v>
      </c>
      <c r="E73" s="29">
        <v>0</v>
      </c>
      <c r="F73" s="29">
        <v>0</v>
      </c>
      <c r="G73" s="29">
        <v>0</v>
      </c>
      <c r="H73" s="4" t="s">
        <v>237</v>
      </c>
    </row>
    <row r="74" spans="1:8" ht="33" customHeight="1">
      <c r="A74" s="26">
        <f>'法人一覧(25)'!A74</f>
        <v>71</v>
      </c>
      <c r="B74" s="2" t="str">
        <f>'法人一覧(25)'!B74</f>
        <v>経済産業省</v>
      </c>
      <c r="C74" s="2" t="str">
        <f>'法人一覧(25)'!C74</f>
        <v>産業技術総合研究所</v>
      </c>
      <c r="D74" s="29">
        <f t="shared" si="1"/>
        <v>0</v>
      </c>
      <c r="E74" s="29">
        <v>0</v>
      </c>
      <c r="F74" s="29">
        <v>0</v>
      </c>
      <c r="G74" s="29">
        <v>0</v>
      </c>
      <c r="H74" s="4" t="s">
        <v>272</v>
      </c>
    </row>
    <row r="75" spans="1:8">
      <c r="A75" s="26">
        <f>'法人一覧(25)'!A75</f>
        <v>72</v>
      </c>
      <c r="B75" s="2" t="str">
        <f>'法人一覧(25)'!B75</f>
        <v>経済産業省</v>
      </c>
      <c r="C75" s="2" t="str">
        <f>'法人一覧(25)'!C75</f>
        <v>製品評価技術基盤機構</v>
      </c>
      <c r="D75" s="29">
        <f t="shared" si="1"/>
        <v>34931782</v>
      </c>
      <c r="E75" s="29">
        <v>0</v>
      </c>
      <c r="F75" s="29">
        <v>34931782</v>
      </c>
      <c r="G75" s="29">
        <v>0</v>
      </c>
      <c r="H75" s="4" t="s">
        <v>237</v>
      </c>
    </row>
    <row r="76" spans="1:8">
      <c r="A76" s="26">
        <f>'法人一覧(25)'!A76</f>
        <v>73</v>
      </c>
      <c r="B76" s="2" t="str">
        <f>'法人一覧(25)'!B76</f>
        <v>経済産業省</v>
      </c>
      <c r="C76" s="2" t="str">
        <f>'法人一覧(25)'!C76</f>
        <v>新エネルギー・産業技術総合開発機構</v>
      </c>
      <c r="D76" s="52">
        <f t="shared" ref="D76:D78" si="2">SUM(E76:G76)</f>
        <v>15830391</v>
      </c>
      <c r="E76" s="52">
        <v>0</v>
      </c>
      <c r="F76" s="52">
        <v>15830391</v>
      </c>
      <c r="G76" s="52">
        <v>0</v>
      </c>
      <c r="H76" s="4" t="s">
        <v>237</v>
      </c>
    </row>
    <row r="77" spans="1:8">
      <c r="A77" s="26">
        <f>'法人一覧(25)'!A77</f>
        <v>74</v>
      </c>
      <c r="B77" s="2" t="str">
        <f>'法人一覧(25)'!B77</f>
        <v>経済産業省</v>
      </c>
      <c r="C77" s="2" t="str">
        <f>'法人一覧(25)'!C77</f>
        <v>日本貿易振興機構</v>
      </c>
      <c r="D77" s="52">
        <f t="shared" si="2"/>
        <v>43500000</v>
      </c>
      <c r="E77" s="52">
        <v>0</v>
      </c>
      <c r="F77" s="52">
        <v>43500000</v>
      </c>
      <c r="G77" s="52">
        <v>0</v>
      </c>
      <c r="H77" s="4" t="s">
        <v>237</v>
      </c>
    </row>
    <row r="78" spans="1:8">
      <c r="A78" s="26">
        <f>'法人一覧(25)'!A78</f>
        <v>75</v>
      </c>
      <c r="B78" s="2" t="str">
        <f>'法人一覧(25)'!B78</f>
        <v>経済産業省</v>
      </c>
      <c r="C78" s="2" t="str">
        <f>'法人一覧(25)'!C78</f>
        <v>情報処理推進機構</v>
      </c>
      <c r="D78" s="52">
        <f t="shared" si="2"/>
        <v>1856298694</v>
      </c>
      <c r="E78" s="52">
        <v>1856298694</v>
      </c>
      <c r="F78" s="52">
        <v>0</v>
      </c>
      <c r="G78" s="52">
        <v>0</v>
      </c>
      <c r="H78" s="4" t="s">
        <v>237</v>
      </c>
    </row>
    <row r="79" spans="1:8">
      <c r="A79" s="26">
        <f>'法人一覧(25)'!A79</f>
        <v>76</v>
      </c>
      <c r="B79" s="2" t="str">
        <f>'法人一覧(25)'!B79</f>
        <v>経済産業省</v>
      </c>
      <c r="C79" s="2" t="str">
        <f>'法人一覧(25)'!C79</f>
        <v>石油天然ガス・金属鉱物資源機構</v>
      </c>
      <c r="D79" s="29">
        <f t="shared" ref="D79:D104" si="3">SUM(E79:G79)</f>
        <v>27278648981</v>
      </c>
      <c r="E79" s="29">
        <f>31542709+2833863073</f>
        <v>2865405782</v>
      </c>
      <c r="F79" s="29">
        <v>23247959337</v>
      </c>
      <c r="G79" s="29">
        <v>1165283862</v>
      </c>
      <c r="H79" s="4" t="s">
        <v>237</v>
      </c>
    </row>
    <row r="80" spans="1:8">
      <c r="A80" s="26">
        <f>'法人一覧(25)'!A80</f>
        <v>77</v>
      </c>
      <c r="B80" s="2" t="str">
        <f>'法人一覧(25)'!B80</f>
        <v>経済産業省</v>
      </c>
      <c r="C80" s="2" t="str">
        <f>'法人一覧(25)'!C80</f>
        <v>中小企業基盤整備機構</v>
      </c>
      <c r="D80" s="29">
        <f t="shared" si="3"/>
        <v>4514507832</v>
      </c>
      <c r="E80" s="29">
        <v>0</v>
      </c>
      <c r="F80" s="29">
        <v>4514507832</v>
      </c>
      <c r="G80" s="29">
        <v>0</v>
      </c>
      <c r="H80" s="4" t="s">
        <v>237</v>
      </c>
    </row>
    <row r="81" spans="1:8">
      <c r="A81" s="26">
        <f>'法人一覧(25)'!A81</f>
        <v>78</v>
      </c>
      <c r="B81" s="2" t="str">
        <f>'法人一覧(25)'!B81</f>
        <v>国土交通省</v>
      </c>
      <c r="C81" s="2" t="str">
        <f>'法人一覧(25)'!C81</f>
        <v>土木研究所</v>
      </c>
      <c r="D81" s="29">
        <f t="shared" si="3"/>
        <v>0</v>
      </c>
      <c r="E81" s="78" t="s">
        <v>311</v>
      </c>
      <c r="F81" s="78" t="s">
        <v>311</v>
      </c>
      <c r="G81" s="78" t="s">
        <v>311</v>
      </c>
      <c r="H81" s="4" t="s">
        <v>237</v>
      </c>
    </row>
    <row r="82" spans="1:8">
      <c r="A82" s="26">
        <f>'法人一覧(25)'!A82</f>
        <v>79</v>
      </c>
      <c r="B82" s="2" t="str">
        <f>'法人一覧(25)'!B82</f>
        <v>国土交通省</v>
      </c>
      <c r="C82" s="2" t="str">
        <f>'法人一覧(25)'!C82</f>
        <v>建築研究所</v>
      </c>
      <c r="D82" s="29">
        <f t="shared" si="3"/>
        <v>0</v>
      </c>
      <c r="E82" s="78" t="s">
        <v>311</v>
      </c>
      <c r="F82" s="78" t="s">
        <v>311</v>
      </c>
      <c r="G82" s="78" t="s">
        <v>311</v>
      </c>
      <c r="H82" s="4" t="s">
        <v>237</v>
      </c>
    </row>
    <row r="83" spans="1:8">
      <c r="A83" s="26">
        <f>'法人一覧(25)'!A83</f>
        <v>80</v>
      </c>
      <c r="B83" s="2" t="str">
        <f>'法人一覧(25)'!B83</f>
        <v>国土交通省</v>
      </c>
      <c r="C83" s="2" t="str">
        <f>'法人一覧(25)'!C83</f>
        <v>交通安全環境研究所</v>
      </c>
      <c r="D83" s="29">
        <f t="shared" si="3"/>
        <v>0</v>
      </c>
      <c r="E83" s="65">
        <v>0</v>
      </c>
      <c r="F83" s="65">
        <v>0</v>
      </c>
      <c r="G83" s="65">
        <v>0</v>
      </c>
      <c r="H83" s="4" t="s">
        <v>237</v>
      </c>
    </row>
    <row r="84" spans="1:8">
      <c r="A84" s="26">
        <f>'法人一覧(25)'!A84</f>
        <v>81</v>
      </c>
      <c r="B84" s="2" t="str">
        <f>'法人一覧(25)'!B84</f>
        <v>国土交通省</v>
      </c>
      <c r="C84" s="2" t="str">
        <f>'法人一覧(25)'!C84</f>
        <v>海上技術安全研究所</v>
      </c>
      <c r="D84" s="29">
        <f t="shared" si="3"/>
        <v>0</v>
      </c>
      <c r="E84" s="65">
        <v>0</v>
      </c>
      <c r="F84" s="65">
        <v>0</v>
      </c>
      <c r="G84" s="65">
        <v>0</v>
      </c>
      <c r="H84" s="4" t="s">
        <v>237</v>
      </c>
    </row>
    <row r="85" spans="1:8">
      <c r="A85" s="26">
        <f>'法人一覧(25)'!A85</f>
        <v>82</v>
      </c>
      <c r="B85" s="2" t="str">
        <f>'法人一覧(25)'!B85</f>
        <v>国土交通省</v>
      </c>
      <c r="C85" s="2" t="str">
        <f>'法人一覧(25)'!C85</f>
        <v>港湾空港技術研究所</v>
      </c>
      <c r="D85" s="29">
        <f t="shared" si="3"/>
        <v>0</v>
      </c>
      <c r="E85" s="65">
        <v>0</v>
      </c>
      <c r="F85" s="65">
        <v>0</v>
      </c>
      <c r="G85" s="65">
        <v>0</v>
      </c>
      <c r="H85" s="4" t="s">
        <v>237</v>
      </c>
    </row>
    <row r="86" spans="1:8">
      <c r="A86" s="26">
        <f>'法人一覧(25)'!A86</f>
        <v>83</v>
      </c>
      <c r="B86" s="2" t="str">
        <f>'法人一覧(25)'!B86</f>
        <v>国土交通省</v>
      </c>
      <c r="C86" s="2" t="str">
        <f>'法人一覧(25)'!C86</f>
        <v>電子航法研究所</v>
      </c>
      <c r="D86" s="29">
        <f t="shared" si="3"/>
        <v>0</v>
      </c>
      <c r="E86" s="52">
        <v>0</v>
      </c>
      <c r="F86" s="52">
        <v>0</v>
      </c>
      <c r="G86" s="52">
        <v>0</v>
      </c>
      <c r="H86" s="4" t="s">
        <v>237</v>
      </c>
    </row>
    <row r="87" spans="1:8">
      <c r="A87" s="26">
        <f>'法人一覧(25)'!A87</f>
        <v>84</v>
      </c>
      <c r="B87" s="2" t="str">
        <f>'法人一覧(25)'!B87</f>
        <v>国土交通省</v>
      </c>
      <c r="C87" s="2" t="str">
        <f>'法人一覧(25)'!C87</f>
        <v>航海訓練所</v>
      </c>
      <c r="D87" s="29">
        <f t="shared" si="3"/>
        <v>0</v>
      </c>
      <c r="E87" s="52">
        <v>0</v>
      </c>
      <c r="F87" s="52">
        <v>0</v>
      </c>
      <c r="G87" s="52">
        <v>0</v>
      </c>
      <c r="H87" s="4" t="s">
        <v>237</v>
      </c>
    </row>
    <row r="88" spans="1:8" ht="16.8" customHeight="1">
      <c r="A88" s="26">
        <f>'法人一覧(25)'!A88</f>
        <v>85</v>
      </c>
      <c r="B88" s="2" t="str">
        <f>'法人一覧(25)'!B88</f>
        <v>国土交通省</v>
      </c>
      <c r="C88" s="2" t="str">
        <f>'法人一覧(25)'!C88</f>
        <v>海技教育機構</v>
      </c>
      <c r="D88" s="52">
        <f t="shared" si="3"/>
        <v>0</v>
      </c>
      <c r="E88" s="52">
        <v>0</v>
      </c>
      <c r="F88" s="52">
        <v>0</v>
      </c>
      <c r="G88" s="52">
        <v>0</v>
      </c>
      <c r="H88" s="57" t="s">
        <v>457</v>
      </c>
    </row>
    <row r="89" spans="1:8">
      <c r="A89" s="26">
        <f>'法人一覧(25)'!A89</f>
        <v>86</v>
      </c>
      <c r="B89" s="2" t="str">
        <f>'法人一覧(25)'!B89</f>
        <v>国土交通省</v>
      </c>
      <c r="C89" s="2" t="str">
        <f>'法人一覧(25)'!C89</f>
        <v>航空大学校</v>
      </c>
      <c r="D89" s="52">
        <f t="shared" si="3"/>
        <v>0</v>
      </c>
      <c r="E89" s="52">
        <v>0</v>
      </c>
      <c r="F89" s="52">
        <v>0</v>
      </c>
      <c r="G89" s="52">
        <v>0</v>
      </c>
      <c r="H89" s="57" t="s">
        <v>458</v>
      </c>
    </row>
    <row r="90" spans="1:8">
      <c r="A90" s="26">
        <f>'法人一覧(25)'!A90</f>
        <v>87</v>
      </c>
      <c r="B90" s="2" t="str">
        <f>'法人一覧(25)'!B90</f>
        <v>国土交通省</v>
      </c>
      <c r="C90" s="2" t="str">
        <f>'法人一覧(25)'!C90</f>
        <v>自動車検査</v>
      </c>
      <c r="D90" s="52">
        <f t="shared" si="3"/>
        <v>0</v>
      </c>
      <c r="E90" s="52">
        <v>0</v>
      </c>
      <c r="F90" s="52">
        <v>0</v>
      </c>
      <c r="G90" s="52">
        <v>0</v>
      </c>
      <c r="H90" s="57" t="s">
        <v>459</v>
      </c>
    </row>
    <row r="91" spans="1:8">
      <c r="A91" s="26">
        <f>'法人一覧(25)'!A91</f>
        <v>88</v>
      </c>
      <c r="B91" s="2" t="str">
        <f>'法人一覧(25)'!B91</f>
        <v>国土交通省</v>
      </c>
      <c r="C91" s="2" t="str">
        <f>'法人一覧(25)'!C91</f>
        <v>鉄道建設・運輸施設整備支援機構</v>
      </c>
      <c r="D91" s="52">
        <f t="shared" si="3"/>
        <v>642038531</v>
      </c>
      <c r="E91" s="69">
        <v>246388174</v>
      </c>
      <c r="F91" s="69">
        <v>395650357</v>
      </c>
      <c r="G91" s="69" t="s">
        <v>460</v>
      </c>
      <c r="H91" s="57" t="s">
        <v>461</v>
      </c>
    </row>
    <row r="92" spans="1:8">
      <c r="A92" s="26">
        <f>'法人一覧(25)'!A92</f>
        <v>89</v>
      </c>
      <c r="B92" s="2" t="str">
        <f>'法人一覧(25)'!B92</f>
        <v>国土交通省</v>
      </c>
      <c r="C92" s="2" t="str">
        <f>'法人一覧(25)'!C92</f>
        <v>国際観光振興機構</v>
      </c>
      <c r="D92" s="52">
        <f t="shared" si="3"/>
        <v>1093479393</v>
      </c>
      <c r="E92" s="52">
        <v>654293965</v>
      </c>
      <c r="F92" s="52">
        <v>439185428</v>
      </c>
      <c r="G92" s="52">
        <v>0</v>
      </c>
      <c r="H92" s="57" t="s">
        <v>237</v>
      </c>
    </row>
    <row r="93" spans="1:8" ht="48" customHeight="1">
      <c r="A93" s="26">
        <f>'法人一覧(25)'!A93</f>
        <v>90</v>
      </c>
      <c r="B93" s="2" t="str">
        <f>'法人一覧(25)'!B93</f>
        <v>国土交通省</v>
      </c>
      <c r="C93" s="2" t="str">
        <f>'法人一覧(25)'!C93</f>
        <v>水資源機構</v>
      </c>
      <c r="D93" s="52">
        <f t="shared" si="3"/>
        <v>0</v>
      </c>
      <c r="E93" s="52">
        <v>0</v>
      </c>
      <c r="F93" s="52">
        <v>0</v>
      </c>
      <c r="G93" s="52">
        <v>0</v>
      </c>
      <c r="H93" s="57" t="s">
        <v>462</v>
      </c>
    </row>
    <row r="94" spans="1:8">
      <c r="A94" s="26">
        <f>'法人一覧(25)'!A94</f>
        <v>91</v>
      </c>
      <c r="B94" s="2" t="str">
        <f>'法人一覧(25)'!B94</f>
        <v>国土交通省</v>
      </c>
      <c r="C94" s="2" t="str">
        <f>'法人一覧(25)'!C94</f>
        <v>自動車事故対策機構</v>
      </c>
      <c r="D94" s="52">
        <f t="shared" si="3"/>
        <v>17155450</v>
      </c>
      <c r="E94" s="52">
        <v>0</v>
      </c>
      <c r="F94" s="52">
        <v>17155450</v>
      </c>
      <c r="G94" s="52">
        <v>0</v>
      </c>
      <c r="H94" s="57" t="s">
        <v>237</v>
      </c>
    </row>
    <row r="95" spans="1:8">
      <c r="A95" s="26">
        <f>'法人一覧(25)'!A95</f>
        <v>92</v>
      </c>
      <c r="B95" s="2" t="str">
        <f>'法人一覧(25)'!B95</f>
        <v>国土交通省</v>
      </c>
      <c r="C95" s="2" t="str">
        <f>'法人一覧(25)'!C95</f>
        <v>空港周辺整備機構</v>
      </c>
      <c r="D95" s="52">
        <f t="shared" si="3"/>
        <v>8276000</v>
      </c>
      <c r="E95" s="52">
        <v>8276000</v>
      </c>
      <c r="F95" s="52">
        <v>0</v>
      </c>
      <c r="G95" s="52">
        <v>0</v>
      </c>
      <c r="H95" s="57" t="s">
        <v>237</v>
      </c>
    </row>
    <row r="96" spans="1:8">
      <c r="A96" s="26">
        <f>'法人一覧(25)'!A96</f>
        <v>93</v>
      </c>
      <c r="B96" s="2" t="str">
        <f>'法人一覧(25)'!B96</f>
        <v>国土交通省</v>
      </c>
      <c r="C96" s="2" t="str">
        <f>'法人一覧(25)'!C96</f>
        <v>海上災害防止センター</v>
      </c>
      <c r="D96" s="52">
        <f t="shared" si="3"/>
        <v>327000000</v>
      </c>
      <c r="E96" s="52">
        <v>0</v>
      </c>
      <c r="F96" s="52">
        <v>0</v>
      </c>
      <c r="G96" s="52">
        <v>327000000</v>
      </c>
      <c r="H96" s="57" t="s">
        <v>237</v>
      </c>
    </row>
    <row r="97" spans="1:8">
      <c r="A97" s="26">
        <f>'法人一覧(25)'!A97</f>
        <v>94</v>
      </c>
      <c r="B97" s="2" t="str">
        <f>'法人一覧(25)'!B97</f>
        <v>国土交通省</v>
      </c>
      <c r="C97" s="2" t="str">
        <f>'法人一覧(25)'!C97</f>
        <v>都市再生機構</v>
      </c>
      <c r="D97" s="29">
        <f t="shared" si="3"/>
        <v>0</v>
      </c>
      <c r="E97" s="52">
        <v>0</v>
      </c>
      <c r="F97" s="52">
        <v>0</v>
      </c>
      <c r="G97" s="52">
        <v>0</v>
      </c>
      <c r="H97" s="4" t="s">
        <v>237</v>
      </c>
    </row>
    <row r="98" spans="1:8">
      <c r="A98" s="26">
        <f>'法人一覧(25)'!A98</f>
        <v>95</v>
      </c>
      <c r="B98" s="2" t="str">
        <f>'法人一覧(25)'!B98</f>
        <v>国土交通省</v>
      </c>
      <c r="C98" s="2" t="str">
        <f>'法人一覧(25)'!C98</f>
        <v>奄美群島振興開発基金</v>
      </c>
      <c r="D98" s="29">
        <f t="shared" si="3"/>
        <v>0</v>
      </c>
      <c r="E98" s="29">
        <v>0</v>
      </c>
      <c r="F98" s="29">
        <v>0</v>
      </c>
      <c r="G98" s="29">
        <v>0</v>
      </c>
      <c r="H98" s="4" t="s">
        <v>237</v>
      </c>
    </row>
    <row r="99" spans="1:8">
      <c r="A99" s="26">
        <f>'法人一覧(25)'!A99</f>
        <v>96</v>
      </c>
      <c r="B99" s="2" t="str">
        <f>'法人一覧(25)'!B99</f>
        <v>国土交通省</v>
      </c>
      <c r="C99" s="2" t="str">
        <f>'法人一覧(25)'!C99</f>
        <v>日本高速道路保有・債務返済機構</v>
      </c>
      <c r="D99" s="29">
        <f t="shared" si="3"/>
        <v>1012263</v>
      </c>
      <c r="E99" s="52">
        <v>1012263</v>
      </c>
      <c r="F99" s="52">
        <v>0</v>
      </c>
      <c r="G99" s="52">
        <v>0</v>
      </c>
      <c r="H99" s="4" t="s">
        <v>237</v>
      </c>
    </row>
    <row r="100" spans="1:8">
      <c r="A100" s="26">
        <f>'法人一覧(25)'!A100</f>
        <v>97</v>
      </c>
      <c r="B100" s="2" t="str">
        <f>'法人一覧(25)'!B100</f>
        <v>国土交通省</v>
      </c>
      <c r="C100" s="2" t="str">
        <f>'法人一覧(25)'!C100</f>
        <v>住宅金融支援機構</v>
      </c>
      <c r="D100" s="29">
        <f t="shared" si="3"/>
        <v>1227256483</v>
      </c>
      <c r="E100" s="29">
        <v>0</v>
      </c>
      <c r="F100" s="29">
        <v>0</v>
      </c>
      <c r="G100" s="29">
        <v>1227256483</v>
      </c>
      <c r="H100" s="4" t="s">
        <v>237</v>
      </c>
    </row>
    <row r="101" spans="1:8">
      <c r="A101" s="26">
        <f>'法人一覧(25)'!A101</f>
        <v>98</v>
      </c>
      <c r="B101" s="2" t="str">
        <f>'法人一覧(25)'!B101</f>
        <v>環境省</v>
      </c>
      <c r="C101" s="2" t="str">
        <f>'法人一覧(25)'!C101</f>
        <v>国立環境研究所</v>
      </c>
      <c r="D101" s="29">
        <f t="shared" si="3"/>
        <v>0</v>
      </c>
      <c r="E101" s="29">
        <v>0</v>
      </c>
      <c r="F101" s="29">
        <v>0</v>
      </c>
      <c r="G101" s="29">
        <v>0</v>
      </c>
      <c r="H101" s="4" t="s">
        <v>237</v>
      </c>
    </row>
    <row r="102" spans="1:8">
      <c r="A102" s="26">
        <f>'法人一覧(25)'!A102</f>
        <v>99</v>
      </c>
      <c r="B102" s="2" t="str">
        <f>'法人一覧(25)'!B102</f>
        <v>環境省</v>
      </c>
      <c r="C102" s="2" t="str">
        <f>'法人一覧(25)'!C102</f>
        <v>環境再生保全機構</v>
      </c>
      <c r="D102" s="29">
        <f t="shared" si="3"/>
        <v>37367736</v>
      </c>
      <c r="E102" s="29">
        <v>0</v>
      </c>
      <c r="F102" s="29">
        <v>37367736</v>
      </c>
      <c r="G102" s="29">
        <v>0</v>
      </c>
      <c r="H102" s="4" t="s">
        <v>237</v>
      </c>
    </row>
    <row r="103" spans="1:8">
      <c r="A103" s="26">
        <f>'法人一覧(25)'!A103</f>
        <v>100</v>
      </c>
      <c r="B103" s="2" t="str">
        <f>'法人一覧(25)'!B103</f>
        <v>原子力規制委員会</v>
      </c>
      <c r="C103" s="2" t="str">
        <f>'法人一覧(25)'!C103</f>
        <v>原子力安全基盤機構</v>
      </c>
      <c r="D103" s="29">
        <f t="shared" si="3"/>
        <v>351326662</v>
      </c>
      <c r="E103" s="29">
        <v>0</v>
      </c>
      <c r="F103" s="29">
        <v>0</v>
      </c>
      <c r="G103" s="29">
        <v>351326662</v>
      </c>
      <c r="H103" s="4" t="s">
        <v>237</v>
      </c>
    </row>
    <row r="104" spans="1:8" ht="13.8" thickBot="1">
      <c r="A104" s="116">
        <f>'法人一覧(25)'!A104</f>
        <v>101</v>
      </c>
      <c r="B104" s="117" t="str">
        <f>'法人一覧(25)'!B104</f>
        <v>防衛省</v>
      </c>
      <c r="C104" s="117" t="str">
        <f>'法人一覧(25)'!C104</f>
        <v>駐留軍等労働者労務管理機構</v>
      </c>
      <c r="D104" s="118">
        <f t="shared" si="3"/>
        <v>0</v>
      </c>
      <c r="E104" s="118">
        <v>0</v>
      </c>
      <c r="F104" s="118">
        <v>0</v>
      </c>
      <c r="G104" s="118">
        <v>0</v>
      </c>
      <c r="H104" s="121" t="s">
        <v>237</v>
      </c>
    </row>
    <row r="105" spans="1:8" s="37" customFormat="1" ht="18.600000000000001" customHeight="1" thickTop="1">
      <c r="A105" s="167" t="s">
        <v>583</v>
      </c>
      <c r="B105" s="187"/>
      <c r="C105" s="170"/>
      <c r="D105" s="115">
        <f t="shared" ref="D105:F105" si="4">SUM(D92:D104)</f>
        <v>3062873987</v>
      </c>
      <c r="E105" s="115">
        <f t="shared" si="4"/>
        <v>663582228</v>
      </c>
      <c r="F105" s="115">
        <f t="shared" si="4"/>
        <v>493708614</v>
      </c>
      <c r="G105" s="115">
        <f>SUM(G92:G104)</f>
        <v>1905583145</v>
      </c>
      <c r="H105" s="119"/>
    </row>
    <row r="107" spans="1:8" ht="13.2" customHeight="1">
      <c r="B107" s="195" t="s">
        <v>592</v>
      </c>
      <c r="C107" s="195"/>
      <c r="D107" s="195"/>
      <c r="E107" s="195"/>
      <c r="F107" s="195"/>
      <c r="G107" s="195"/>
      <c r="H107" s="195"/>
    </row>
    <row r="108" spans="1:8" s="37" customFormat="1" ht="13.2" customHeight="1">
      <c r="B108" s="195"/>
      <c r="C108" s="195"/>
      <c r="D108" s="195"/>
      <c r="E108" s="195"/>
      <c r="F108" s="195"/>
      <c r="G108" s="195"/>
      <c r="H108" s="195"/>
    </row>
    <row r="109" spans="1:8" s="37" customFormat="1" ht="13.2" customHeight="1">
      <c r="B109" s="195"/>
      <c r="C109" s="195"/>
      <c r="D109" s="195"/>
      <c r="E109" s="195"/>
      <c r="F109" s="195"/>
      <c r="G109" s="195"/>
      <c r="H109" s="195"/>
    </row>
    <row r="110" spans="1:8" s="37" customFormat="1">
      <c r="B110" s="195"/>
      <c r="C110" s="195"/>
      <c r="D110" s="195"/>
      <c r="E110" s="195"/>
      <c r="F110" s="195"/>
      <c r="G110" s="195"/>
      <c r="H110" s="195"/>
    </row>
    <row r="111" spans="1:8">
      <c r="B111" s="37"/>
      <c r="C111" s="37"/>
      <c r="D111" s="37"/>
      <c r="E111" s="37"/>
      <c r="F111" s="37"/>
      <c r="G111" s="37"/>
      <c r="H111" s="37"/>
    </row>
    <row r="112" spans="1:8">
      <c r="B112" s="37"/>
      <c r="C112" s="37"/>
      <c r="D112" s="37"/>
      <c r="E112" s="37"/>
      <c r="F112" s="37"/>
      <c r="G112" s="37"/>
      <c r="H112" s="37"/>
    </row>
  </sheetData>
  <mergeCells count="8">
    <mergeCell ref="A2:A3"/>
    <mergeCell ref="B107:H110"/>
    <mergeCell ref="B2:B3"/>
    <mergeCell ref="C2:C3"/>
    <mergeCell ref="D2:D3"/>
    <mergeCell ref="E2:G2"/>
    <mergeCell ref="H2:H3"/>
    <mergeCell ref="A105:C105"/>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zoomScale="80" zoomScaleNormal="80" workbookViewId="0">
      <pane xSplit="3" ySplit="3" topLeftCell="D85" activePane="bottomRight" state="frozen"/>
      <selection activeCell="B2" sqref="B2:B3"/>
      <selection pane="topRight" activeCell="B2" sqref="B2:B3"/>
      <selection pane="bottomLeft" activeCell="B2" sqref="B2:B3"/>
      <selection pane="bottomRight" activeCell="C92" sqref="C92"/>
    </sheetView>
  </sheetViews>
  <sheetFormatPr defaultColWidth="8.88671875" defaultRowHeight="13.2"/>
  <cols>
    <col min="1" max="1" width="3.88671875" style="37" customWidth="1"/>
    <col min="2" max="2" width="12.77734375" style="1" customWidth="1"/>
    <col min="3" max="3" width="40.21875" style="1" bestFit="1" customWidth="1"/>
    <col min="4" max="4" width="13.44140625" style="1" customWidth="1"/>
    <col min="5" max="8" width="20.44140625" style="1" customWidth="1"/>
    <col min="9" max="16384" width="8.88671875" style="1"/>
  </cols>
  <sheetData>
    <row r="1" spans="1:8" ht="19.95" customHeight="1">
      <c r="B1" s="144" t="s">
        <v>231</v>
      </c>
      <c r="D1" s="37"/>
      <c r="E1" s="33"/>
      <c r="F1" s="37"/>
      <c r="G1" s="37"/>
      <c r="H1" s="39" t="s">
        <v>204</v>
      </c>
    </row>
    <row r="2" spans="1:8" ht="13.2" customHeight="1">
      <c r="A2" s="161" t="s">
        <v>195</v>
      </c>
      <c r="B2" s="161" t="s">
        <v>0</v>
      </c>
      <c r="C2" s="161" t="s">
        <v>1</v>
      </c>
      <c r="D2" s="181" t="s">
        <v>47</v>
      </c>
      <c r="E2" s="164" t="s">
        <v>48</v>
      </c>
      <c r="F2" s="165"/>
      <c r="G2" s="165"/>
      <c r="H2" s="196" t="s">
        <v>256</v>
      </c>
    </row>
    <row r="3" spans="1:8" ht="60" customHeight="1">
      <c r="A3" s="162"/>
      <c r="B3" s="162"/>
      <c r="C3" s="162"/>
      <c r="D3" s="181"/>
      <c r="E3" s="4" t="s">
        <v>49</v>
      </c>
      <c r="F3" s="4" t="s">
        <v>70</v>
      </c>
      <c r="G3" s="8" t="s">
        <v>312</v>
      </c>
      <c r="H3" s="196"/>
    </row>
    <row r="4" spans="1:8">
      <c r="A4" s="26">
        <f>'法人一覧(26)'!A4</f>
        <v>1</v>
      </c>
      <c r="B4" s="38" t="str">
        <f>'法人一覧(26)'!B4</f>
        <v>内閣府</v>
      </c>
      <c r="C4" s="38" t="str">
        <f>'法人一覧(26)'!C4</f>
        <v>国立公文書館</v>
      </c>
      <c r="D4" s="29">
        <f t="shared" ref="D4:D10" si="0">SUM(E4:G4)</f>
        <v>0</v>
      </c>
      <c r="E4" s="65">
        <v>0</v>
      </c>
      <c r="F4" s="65">
        <v>0</v>
      </c>
      <c r="G4" s="65">
        <v>0</v>
      </c>
      <c r="H4" s="4" t="s">
        <v>237</v>
      </c>
    </row>
    <row r="5" spans="1:8">
      <c r="A5" s="26">
        <f>'法人一覧(26)'!A5</f>
        <v>2</v>
      </c>
      <c r="B5" s="38" t="str">
        <f>'法人一覧(26)'!B5</f>
        <v>内閣府</v>
      </c>
      <c r="C5" s="38" t="str">
        <f>'法人一覧(26)'!C5</f>
        <v>北方領土問題対策協会</v>
      </c>
      <c r="D5" s="29">
        <f t="shared" si="0"/>
        <v>0</v>
      </c>
      <c r="E5" s="65">
        <v>0</v>
      </c>
      <c r="F5" s="65">
        <v>0</v>
      </c>
      <c r="G5" s="65">
        <v>0</v>
      </c>
      <c r="H5" s="4" t="s">
        <v>237</v>
      </c>
    </row>
    <row r="6" spans="1:8">
      <c r="A6" s="26">
        <f>'法人一覧(26)'!A6</f>
        <v>3</v>
      </c>
      <c r="B6" s="38" t="str">
        <f>'法人一覧(26)'!B6</f>
        <v>消費者庁</v>
      </c>
      <c r="C6" s="38" t="str">
        <f>'法人一覧(26)'!C6</f>
        <v>国民生活センター</v>
      </c>
      <c r="D6" s="29">
        <f t="shared" si="0"/>
        <v>0</v>
      </c>
      <c r="E6" s="29">
        <v>0</v>
      </c>
      <c r="F6" s="29">
        <v>0</v>
      </c>
      <c r="G6" s="29">
        <v>0</v>
      </c>
      <c r="H6" s="4" t="s">
        <v>237</v>
      </c>
    </row>
    <row r="7" spans="1:8">
      <c r="A7" s="26">
        <f>'法人一覧(26)'!A7</f>
        <v>4</v>
      </c>
      <c r="B7" s="38" t="str">
        <f>'法人一覧(26)'!B7</f>
        <v>総務省</v>
      </c>
      <c r="C7" s="38" t="str">
        <f>'法人一覧(26)'!C7</f>
        <v>情報通信研究機構</v>
      </c>
      <c r="D7" s="29">
        <f t="shared" si="0"/>
        <v>0</v>
      </c>
      <c r="E7" s="65">
        <v>0</v>
      </c>
      <c r="F7" s="65">
        <v>0</v>
      </c>
      <c r="G7" s="65">
        <v>0</v>
      </c>
      <c r="H7" s="4" t="s">
        <v>237</v>
      </c>
    </row>
    <row r="8" spans="1:8">
      <c r="A8" s="26">
        <f>'法人一覧(26)'!A8</f>
        <v>5</v>
      </c>
      <c r="B8" s="38" t="str">
        <f>'法人一覧(26)'!B8</f>
        <v>総務省</v>
      </c>
      <c r="C8" s="38" t="str">
        <f>'法人一覧(26)'!C8</f>
        <v>統計センター</v>
      </c>
      <c r="D8" s="29">
        <f t="shared" si="0"/>
        <v>0</v>
      </c>
      <c r="E8" s="65">
        <v>0</v>
      </c>
      <c r="F8" s="65">
        <v>0</v>
      </c>
      <c r="G8" s="65">
        <v>0</v>
      </c>
      <c r="H8" s="4" t="s">
        <v>237</v>
      </c>
    </row>
    <row r="9" spans="1:8">
      <c r="A9" s="26">
        <f>'法人一覧(26)'!A9</f>
        <v>6</v>
      </c>
      <c r="B9" s="38" t="str">
        <f>'法人一覧(26)'!B9</f>
        <v>総務省</v>
      </c>
      <c r="C9" s="38" t="str">
        <f>'法人一覧(26)'!C9</f>
        <v>郵便貯金・簡易生命保険管理機構</v>
      </c>
      <c r="D9" s="29">
        <f t="shared" si="0"/>
        <v>0</v>
      </c>
      <c r="E9" s="65">
        <v>0</v>
      </c>
      <c r="F9" s="65">
        <v>0</v>
      </c>
      <c r="G9" s="65">
        <v>0</v>
      </c>
      <c r="H9" s="4" t="s">
        <v>237</v>
      </c>
    </row>
    <row r="10" spans="1:8">
      <c r="A10" s="26">
        <f>'法人一覧(26)'!A10</f>
        <v>7</v>
      </c>
      <c r="B10" s="38" t="str">
        <f>'法人一覧(26)'!B10</f>
        <v>外務省</v>
      </c>
      <c r="C10" s="38" t="str">
        <f>'法人一覧(26)'!C10</f>
        <v>国際協力機構</v>
      </c>
      <c r="D10" s="29">
        <f t="shared" si="0"/>
        <v>342011070</v>
      </c>
      <c r="E10" s="29">
        <v>0</v>
      </c>
      <c r="F10" s="29">
        <v>342011070</v>
      </c>
      <c r="G10" s="29">
        <v>0</v>
      </c>
      <c r="H10" s="4" t="s">
        <v>237</v>
      </c>
    </row>
    <row r="11" spans="1:8">
      <c r="A11" s="26">
        <f>'法人一覧(26)'!A11</f>
        <v>8</v>
      </c>
      <c r="B11" s="38" t="str">
        <f>'法人一覧(26)'!B11</f>
        <v>外務省</v>
      </c>
      <c r="C11" s="38" t="str">
        <f>'法人一覧(26)'!C11</f>
        <v>国際交流基金</v>
      </c>
      <c r="D11" s="29">
        <f>SUM(E11:G11)</f>
        <v>40126948</v>
      </c>
      <c r="E11" s="29">
        <v>0</v>
      </c>
      <c r="F11" s="29">
        <v>40126948</v>
      </c>
      <c r="G11" s="29">
        <v>0</v>
      </c>
      <c r="H11" s="4" t="s">
        <v>237</v>
      </c>
    </row>
    <row r="12" spans="1:8">
      <c r="A12" s="26">
        <f>'法人一覧(26)'!A12</f>
        <v>9</v>
      </c>
      <c r="B12" s="38" t="str">
        <f>'法人一覧(26)'!B12</f>
        <v>財務省</v>
      </c>
      <c r="C12" s="38" t="str">
        <f>'法人一覧(26)'!C12</f>
        <v>酒類総合研究所</v>
      </c>
      <c r="D12" s="29">
        <f t="shared" ref="D12:D75" si="1">SUM(E12:G12)</f>
        <v>0</v>
      </c>
      <c r="E12" s="65">
        <v>0</v>
      </c>
      <c r="F12" s="65">
        <v>0</v>
      </c>
      <c r="G12" s="65">
        <v>0</v>
      </c>
      <c r="H12" s="4" t="s">
        <v>237</v>
      </c>
    </row>
    <row r="13" spans="1:8">
      <c r="A13" s="26">
        <f>'法人一覧(26)'!A13</f>
        <v>10</v>
      </c>
      <c r="B13" s="38" t="str">
        <f>'法人一覧(26)'!B13</f>
        <v>財務省</v>
      </c>
      <c r="C13" s="38" t="str">
        <f>'法人一覧(26)'!C13</f>
        <v>造幣局</v>
      </c>
      <c r="D13" s="29">
        <f t="shared" si="1"/>
        <v>3646729339</v>
      </c>
      <c r="E13" s="52">
        <v>0</v>
      </c>
      <c r="F13" s="52">
        <v>0</v>
      </c>
      <c r="G13" s="52">
        <v>3646729339</v>
      </c>
      <c r="H13" s="57" t="s">
        <v>447</v>
      </c>
    </row>
    <row r="14" spans="1:8" ht="63.6" customHeight="1">
      <c r="A14" s="26">
        <f>'法人一覧(26)'!A14</f>
        <v>11</v>
      </c>
      <c r="B14" s="38" t="str">
        <f>'法人一覧(26)'!B14</f>
        <v>財務省</v>
      </c>
      <c r="C14" s="38" t="str">
        <f>'法人一覧(26)'!C14</f>
        <v>国立印刷局</v>
      </c>
      <c r="D14" s="29">
        <f t="shared" si="1"/>
        <v>43439334</v>
      </c>
      <c r="E14" s="52">
        <v>0</v>
      </c>
      <c r="F14" s="52">
        <v>43439334</v>
      </c>
      <c r="G14" s="52">
        <v>0</v>
      </c>
      <c r="H14" s="57" t="s">
        <v>448</v>
      </c>
    </row>
    <row r="15" spans="1:8">
      <c r="A15" s="26">
        <f>'法人一覧(26)'!A15</f>
        <v>12</v>
      </c>
      <c r="B15" s="38" t="str">
        <f>'法人一覧(26)'!B15</f>
        <v>文部科学省</v>
      </c>
      <c r="C15" s="38" t="str">
        <f>'法人一覧(26)'!C15</f>
        <v>国立特別支援教育総合研究所</v>
      </c>
      <c r="D15" s="29">
        <f t="shared" si="1"/>
        <v>0</v>
      </c>
      <c r="E15" s="52">
        <v>0</v>
      </c>
      <c r="F15" s="52">
        <v>0</v>
      </c>
      <c r="G15" s="52">
        <v>0</v>
      </c>
      <c r="H15" s="4" t="s">
        <v>237</v>
      </c>
    </row>
    <row r="16" spans="1:8">
      <c r="A16" s="26">
        <f>'法人一覧(26)'!A16</f>
        <v>13</v>
      </c>
      <c r="B16" s="38" t="str">
        <f>'法人一覧(26)'!B16</f>
        <v>文部科学省</v>
      </c>
      <c r="C16" s="38" t="str">
        <f>'法人一覧(26)'!C16</f>
        <v>大学入試センター</v>
      </c>
      <c r="D16" s="29">
        <f t="shared" si="1"/>
        <v>0</v>
      </c>
      <c r="E16" s="52">
        <v>0</v>
      </c>
      <c r="F16" s="52">
        <v>0</v>
      </c>
      <c r="G16" s="52">
        <v>0</v>
      </c>
      <c r="H16" s="4" t="s">
        <v>237</v>
      </c>
    </row>
    <row r="17" spans="1:8">
      <c r="A17" s="26">
        <f>'法人一覧(26)'!A17</f>
        <v>14</v>
      </c>
      <c r="B17" s="38" t="str">
        <f>'法人一覧(26)'!B17</f>
        <v>文部科学省</v>
      </c>
      <c r="C17" s="38" t="str">
        <f>'法人一覧(26)'!C17</f>
        <v>国立青少年教育振興機構</v>
      </c>
      <c r="D17" s="29">
        <f t="shared" si="1"/>
        <v>0</v>
      </c>
      <c r="E17" s="52">
        <v>0</v>
      </c>
      <c r="F17" s="52">
        <v>0</v>
      </c>
      <c r="G17" s="52">
        <v>0</v>
      </c>
      <c r="H17" s="4" t="s">
        <v>237</v>
      </c>
    </row>
    <row r="18" spans="1:8">
      <c r="A18" s="26">
        <f>'法人一覧(26)'!A18</f>
        <v>15</v>
      </c>
      <c r="B18" s="38" t="str">
        <f>'法人一覧(26)'!B18</f>
        <v>文部科学省</v>
      </c>
      <c r="C18" s="38" t="str">
        <f>'法人一覧(26)'!C18</f>
        <v>国立女性教育会館</v>
      </c>
      <c r="D18" s="29">
        <f t="shared" si="1"/>
        <v>0</v>
      </c>
      <c r="E18" s="52">
        <v>0</v>
      </c>
      <c r="F18" s="52">
        <v>0</v>
      </c>
      <c r="G18" s="52">
        <v>0</v>
      </c>
      <c r="H18" s="4" t="s">
        <v>237</v>
      </c>
    </row>
    <row r="19" spans="1:8">
      <c r="A19" s="26">
        <f>'法人一覧(26)'!A19</f>
        <v>16</v>
      </c>
      <c r="B19" s="38" t="str">
        <f>'法人一覧(26)'!B19</f>
        <v>文部科学省</v>
      </c>
      <c r="C19" s="38" t="str">
        <f>'法人一覧(26)'!C19</f>
        <v>国立科学博物館</v>
      </c>
      <c r="D19" s="29">
        <f t="shared" si="1"/>
        <v>0</v>
      </c>
      <c r="E19" s="52">
        <v>0</v>
      </c>
      <c r="F19" s="52">
        <v>0</v>
      </c>
      <c r="G19" s="52">
        <v>0</v>
      </c>
      <c r="H19" s="4" t="s">
        <v>237</v>
      </c>
    </row>
    <row r="20" spans="1:8">
      <c r="A20" s="26">
        <f>'法人一覧(26)'!A20</f>
        <v>17</v>
      </c>
      <c r="B20" s="38" t="str">
        <f>'法人一覧(26)'!B20</f>
        <v>文部科学省</v>
      </c>
      <c r="C20" s="38" t="str">
        <f>'法人一覧(26)'!C20</f>
        <v>物質・材料研究機構</v>
      </c>
      <c r="D20" s="29">
        <f t="shared" si="1"/>
        <v>0</v>
      </c>
      <c r="E20" s="52">
        <v>0</v>
      </c>
      <c r="F20" s="52">
        <v>0</v>
      </c>
      <c r="G20" s="52">
        <v>0</v>
      </c>
      <c r="H20" s="4" t="s">
        <v>237</v>
      </c>
    </row>
    <row r="21" spans="1:8">
      <c r="A21" s="26">
        <f>'法人一覧(26)'!A21</f>
        <v>18</v>
      </c>
      <c r="B21" s="38" t="str">
        <f>'法人一覧(26)'!B21</f>
        <v>文部科学省</v>
      </c>
      <c r="C21" s="38" t="str">
        <f>'法人一覧(26)'!C21</f>
        <v>防災科学技術研究所</v>
      </c>
      <c r="D21" s="29">
        <f t="shared" si="1"/>
        <v>0</v>
      </c>
      <c r="E21" s="52">
        <v>0</v>
      </c>
      <c r="F21" s="52">
        <v>0</v>
      </c>
      <c r="G21" s="52">
        <v>0</v>
      </c>
      <c r="H21" s="4" t="s">
        <v>237</v>
      </c>
    </row>
    <row r="22" spans="1:8">
      <c r="A22" s="26">
        <f>'法人一覧(26)'!A22</f>
        <v>19</v>
      </c>
      <c r="B22" s="38" t="str">
        <f>'法人一覧(26)'!B22</f>
        <v>文部科学省</v>
      </c>
      <c r="C22" s="38" t="str">
        <f>'法人一覧(26)'!C22</f>
        <v>放射線医学総合研究所</v>
      </c>
      <c r="D22" s="29">
        <f t="shared" si="1"/>
        <v>0</v>
      </c>
      <c r="E22" s="52">
        <v>0</v>
      </c>
      <c r="F22" s="52">
        <v>0</v>
      </c>
      <c r="G22" s="52">
        <v>0</v>
      </c>
      <c r="H22" s="4" t="s">
        <v>237</v>
      </c>
    </row>
    <row r="23" spans="1:8">
      <c r="A23" s="26">
        <f>'法人一覧(26)'!A23</f>
        <v>20</v>
      </c>
      <c r="B23" s="38" t="str">
        <f>'法人一覧(26)'!B23</f>
        <v>文部科学省</v>
      </c>
      <c r="C23" s="38" t="str">
        <f>'法人一覧(26)'!C23</f>
        <v>国立美術館</v>
      </c>
      <c r="D23" s="29">
        <f t="shared" si="1"/>
        <v>0</v>
      </c>
      <c r="E23" s="52">
        <v>0</v>
      </c>
      <c r="F23" s="52">
        <v>0</v>
      </c>
      <c r="G23" s="52">
        <v>0</v>
      </c>
      <c r="H23" s="4" t="s">
        <v>237</v>
      </c>
    </row>
    <row r="24" spans="1:8">
      <c r="A24" s="26">
        <f>'法人一覧(26)'!A24</f>
        <v>21</v>
      </c>
      <c r="B24" s="38" t="str">
        <f>'法人一覧(26)'!B24</f>
        <v>文部科学省</v>
      </c>
      <c r="C24" s="38" t="str">
        <f>'法人一覧(26)'!C24</f>
        <v>国立文化財機構</v>
      </c>
      <c r="D24" s="29">
        <f t="shared" si="1"/>
        <v>0</v>
      </c>
      <c r="E24" s="52">
        <v>0</v>
      </c>
      <c r="F24" s="52">
        <v>0</v>
      </c>
      <c r="G24" s="52">
        <v>0</v>
      </c>
      <c r="H24" s="4" t="s">
        <v>237</v>
      </c>
    </row>
    <row r="25" spans="1:8">
      <c r="A25" s="26">
        <f>'法人一覧(26)'!A25</f>
        <v>22</v>
      </c>
      <c r="B25" s="38" t="str">
        <f>'法人一覧(26)'!B25</f>
        <v>文部科学省</v>
      </c>
      <c r="C25" s="38" t="str">
        <f>'法人一覧(26)'!C25</f>
        <v>教員研修センター</v>
      </c>
      <c r="D25" s="29">
        <f t="shared" si="1"/>
        <v>0</v>
      </c>
      <c r="E25" s="52">
        <v>0</v>
      </c>
      <c r="F25" s="52">
        <v>0</v>
      </c>
      <c r="G25" s="52">
        <v>0</v>
      </c>
      <c r="H25" s="4" t="s">
        <v>237</v>
      </c>
    </row>
    <row r="26" spans="1:8">
      <c r="A26" s="26">
        <f>'法人一覧(26)'!A26</f>
        <v>23</v>
      </c>
      <c r="B26" s="38" t="str">
        <f>'法人一覧(26)'!B26</f>
        <v>文部科学省</v>
      </c>
      <c r="C26" s="38" t="str">
        <f>'法人一覧(26)'!C26</f>
        <v>科学技術振興機構</v>
      </c>
      <c r="D26" s="29">
        <f t="shared" si="1"/>
        <v>82132500</v>
      </c>
      <c r="E26" s="52">
        <v>0</v>
      </c>
      <c r="F26" s="52">
        <v>82132500</v>
      </c>
      <c r="G26" s="52">
        <v>0</v>
      </c>
      <c r="H26" s="4" t="s">
        <v>237</v>
      </c>
    </row>
    <row r="27" spans="1:8">
      <c r="A27" s="26">
        <f>'法人一覧(26)'!A27</f>
        <v>24</v>
      </c>
      <c r="B27" s="38" t="str">
        <f>'法人一覧(26)'!B27</f>
        <v>文部科学省</v>
      </c>
      <c r="C27" s="38" t="str">
        <f>'法人一覧(26)'!C27</f>
        <v>日本学術振興会</v>
      </c>
      <c r="D27" s="29">
        <f t="shared" si="1"/>
        <v>2365301353</v>
      </c>
      <c r="E27" s="52">
        <v>0</v>
      </c>
      <c r="F27" s="52">
        <v>0</v>
      </c>
      <c r="G27" s="52">
        <v>2365301353</v>
      </c>
      <c r="H27" s="4" t="s">
        <v>237</v>
      </c>
    </row>
    <row r="28" spans="1:8">
      <c r="A28" s="26">
        <f>'法人一覧(26)'!A28</f>
        <v>25</v>
      </c>
      <c r="B28" s="38" t="str">
        <f>'法人一覧(26)'!B28</f>
        <v>文部科学省</v>
      </c>
      <c r="C28" s="38" t="str">
        <f>'法人一覧(26)'!C28</f>
        <v>理化学研究所</v>
      </c>
      <c r="D28" s="29">
        <f t="shared" si="1"/>
        <v>0</v>
      </c>
      <c r="E28" s="52">
        <v>0</v>
      </c>
      <c r="F28" s="52">
        <v>0</v>
      </c>
      <c r="G28" s="52">
        <v>0</v>
      </c>
      <c r="H28" s="4" t="s">
        <v>237</v>
      </c>
    </row>
    <row r="29" spans="1:8">
      <c r="A29" s="26">
        <f>'法人一覧(26)'!A29</f>
        <v>26</v>
      </c>
      <c r="B29" s="38" t="str">
        <f>'法人一覧(26)'!B29</f>
        <v>文部科学省</v>
      </c>
      <c r="C29" s="38" t="str">
        <f>'法人一覧(26)'!C29</f>
        <v>宇宙航空研究開発機構</v>
      </c>
      <c r="D29" s="29">
        <f t="shared" si="1"/>
        <v>0</v>
      </c>
      <c r="E29" s="52">
        <v>0</v>
      </c>
      <c r="F29" s="52">
        <v>0</v>
      </c>
      <c r="G29" s="52">
        <v>0</v>
      </c>
      <c r="H29" s="4" t="s">
        <v>237</v>
      </c>
    </row>
    <row r="30" spans="1:8">
      <c r="A30" s="26">
        <f>'法人一覧(26)'!A30</f>
        <v>27</v>
      </c>
      <c r="B30" s="38" t="str">
        <f>'法人一覧(26)'!B30</f>
        <v>文部科学省</v>
      </c>
      <c r="C30" s="38" t="str">
        <f>'法人一覧(26)'!C30</f>
        <v>日本スポーツ振興センター</v>
      </c>
      <c r="D30" s="29">
        <f t="shared" si="1"/>
        <v>10181685669</v>
      </c>
      <c r="E30" s="52">
        <v>0</v>
      </c>
      <c r="F30" s="52">
        <v>0</v>
      </c>
      <c r="G30" s="52">
        <v>10181685669</v>
      </c>
      <c r="H30" s="4" t="s">
        <v>237</v>
      </c>
    </row>
    <row r="31" spans="1:8">
      <c r="A31" s="26">
        <f>'法人一覧(26)'!A31</f>
        <v>28</v>
      </c>
      <c r="B31" s="38" t="str">
        <f>'法人一覧(26)'!B31</f>
        <v>文部科学省</v>
      </c>
      <c r="C31" s="38" t="str">
        <f>'法人一覧(26)'!C31</f>
        <v>日本芸術文化振興会</v>
      </c>
      <c r="D31" s="29">
        <f t="shared" si="1"/>
        <v>0</v>
      </c>
      <c r="E31" s="52">
        <v>0</v>
      </c>
      <c r="F31" s="52">
        <v>0</v>
      </c>
      <c r="G31" s="52">
        <v>0</v>
      </c>
      <c r="H31" s="4" t="s">
        <v>237</v>
      </c>
    </row>
    <row r="32" spans="1:8">
      <c r="A32" s="26">
        <f>'法人一覧(26)'!A32</f>
        <v>29</v>
      </c>
      <c r="B32" s="38" t="str">
        <f>'法人一覧(26)'!B32</f>
        <v>文部科学省</v>
      </c>
      <c r="C32" s="38" t="str">
        <f>'法人一覧(26)'!C32</f>
        <v>日本学生支援機構</v>
      </c>
      <c r="D32" s="29">
        <f t="shared" si="1"/>
        <v>1871171067</v>
      </c>
      <c r="E32" s="52">
        <v>1871171067</v>
      </c>
      <c r="F32" s="52">
        <v>0</v>
      </c>
      <c r="G32" s="52">
        <v>0</v>
      </c>
      <c r="H32" s="4" t="s">
        <v>237</v>
      </c>
    </row>
    <row r="33" spans="1:8">
      <c r="A33" s="26">
        <f>'法人一覧(26)'!A33</f>
        <v>30</v>
      </c>
      <c r="B33" s="38" t="str">
        <f>'法人一覧(26)'!B33</f>
        <v>文部科学省</v>
      </c>
      <c r="C33" s="38" t="str">
        <f>'法人一覧(26)'!C33</f>
        <v>海洋研究開発機構</v>
      </c>
      <c r="D33" s="29">
        <f t="shared" si="1"/>
        <v>835655790</v>
      </c>
      <c r="E33" s="52">
        <v>835655790</v>
      </c>
      <c r="F33" s="52">
        <v>0</v>
      </c>
      <c r="G33" s="52">
        <v>0</v>
      </c>
      <c r="H33" s="4" t="s">
        <v>237</v>
      </c>
    </row>
    <row r="34" spans="1:8">
      <c r="A34" s="26">
        <f>'法人一覧(26)'!A34</f>
        <v>31</v>
      </c>
      <c r="B34" s="38" t="str">
        <f>'法人一覧(26)'!B34</f>
        <v>文部科学省</v>
      </c>
      <c r="C34" s="38" t="str">
        <f>'法人一覧(26)'!C34</f>
        <v>国立高等専門学校機構</v>
      </c>
      <c r="D34" s="29">
        <f t="shared" si="1"/>
        <v>1114873603</v>
      </c>
      <c r="E34" s="52">
        <v>1114873603</v>
      </c>
      <c r="F34" s="52">
        <v>0</v>
      </c>
      <c r="G34" s="52">
        <v>0</v>
      </c>
      <c r="H34" s="4" t="s">
        <v>237</v>
      </c>
    </row>
    <row r="35" spans="1:8">
      <c r="A35" s="26">
        <f>'法人一覧(26)'!A35</f>
        <v>32</v>
      </c>
      <c r="B35" s="38" t="str">
        <f>'法人一覧(26)'!B35</f>
        <v>文部科学省</v>
      </c>
      <c r="C35" s="38" t="str">
        <f>'法人一覧(26)'!C35</f>
        <v>大学評価・学位授与機構</v>
      </c>
      <c r="D35" s="29">
        <f t="shared" si="1"/>
        <v>116983731</v>
      </c>
      <c r="E35" s="52">
        <v>116983731</v>
      </c>
      <c r="F35" s="52">
        <v>0</v>
      </c>
      <c r="G35" s="52">
        <v>0</v>
      </c>
      <c r="H35" s="4" t="s">
        <v>237</v>
      </c>
    </row>
    <row r="36" spans="1:8">
      <c r="A36" s="26">
        <f>'法人一覧(26)'!A36</f>
        <v>33</v>
      </c>
      <c r="B36" s="38" t="str">
        <f>'法人一覧(26)'!B36</f>
        <v>文部科学省</v>
      </c>
      <c r="C36" s="38" t="str">
        <f>'法人一覧(26)'!C36</f>
        <v>国立大学財務・経営センター</v>
      </c>
      <c r="D36" s="29">
        <f t="shared" si="1"/>
        <v>0</v>
      </c>
      <c r="E36" s="52">
        <v>0</v>
      </c>
      <c r="F36" s="52">
        <v>0</v>
      </c>
      <c r="G36" s="52">
        <v>0</v>
      </c>
      <c r="H36" s="4" t="s">
        <v>237</v>
      </c>
    </row>
    <row r="37" spans="1:8">
      <c r="A37" s="26">
        <f>'法人一覧(26)'!A37</f>
        <v>34</v>
      </c>
      <c r="B37" s="38" t="str">
        <f>'法人一覧(26)'!B37</f>
        <v>文部科学省</v>
      </c>
      <c r="C37" s="38" t="str">
        <f>'法人一覧(26)'!C37</f>
        <v>日本原子力研究開発機構</v>
      </c>
      <c r="D37" s="29">
        <f t="shared" si="1"/>
        <v>2595765644</v>
      </c>
      <c r="E37" s="52">
        <v>0</v>
      </c>
      <c r="F37" s="52">
        <v>2595765644</v>
      </c>
      <c r="G37" s="52">
        <v>0</v>
      </c>
      <c r="H37" s="4" t="s">
        <v>237</v>
      </c>
    </row>
    <row r="38" spans="1:8">
      <c r="A38" s="26">
        <f>'法人一覧(26)'!A38</f>
        <v>35</v>
      </c>
      <c r="B38" s="38" t="str">
        <f>'法人一覧(26)'!B38</f>
        <v>厚生労働省</v>
      </c>
      <c r="C38" s="38" t="str">
        <f>'法人一覧(26)'!C38</f>
        <v>国立健康・栄養研究所</v>
      </c>
      <c r="D38" s="29">
        <f t="shared" si="1"/>
        <v>0</v>
      </c>
      <c r="E38" s="68">
        <v>0</v>
      </c>
      <c r="F38" s="68">
        <v>0</v>
      </c>
      <c r="G38" s="68">
        <v>0</v>
      </c>
      <c r="H38" s="4" t="s">
        <v>237</v>
      </c>
    </row>
    <row r="39" spans="1:8">
      <c r="A39" s="26">
        <f>'法人一覧(26)'!A39</f>
        <v>36</v>
      </c>
      <c r="B39" s="38" t="str">
        <f>'法人一覧(26)'!B39</f>
        <v>厚生労働省</v>
      </c>
      <c r="C39" s="38" t="str">
        <f>'法人一覧(26)'!C39</f>
        <v>労働安全衛生総合研究所</v>
      </c>
      <c r="D39" s="29">
        <f t="shared" si="1"/>
        <v>0</v>
      </c>
      <c r="E39" s="52">
        <v>0</v>
      </c>
      <c r="F39" s="52">
        <v>0</v>
      </c>
      <c r="G39" s="52">
        <v>0</v>
      </c>
      <c r="H39" s="4" t="s">
        <v>237</v>
      </c>
    </row>
    <row r="40" spans="1:8">
      <c r="A40" s="26">
        <f>'法人一覧(26)'!A40</f>
        <v>37</v>
      </c>
      <c r="B40" s="38" t="str">
        <f>'法人一覧(26)'!B40</f>
        <v>厚生労働省</v>
      </c>
      <c r="C40" s="38" t="str">
        <f>'法人一覧(26)'!C40</f>
        <v>勤労者退職金共済機構</v>
      </c>
      <c r="D40" s="29">
        <f t="shared" si="1"/>
        <v>0</v>
      </c>
      <c r="E40" s="52">
        <v>0</v>
      </c>
      <c r="F40" s="52">
        <v>0</v>
      </c>
      <c r="G40" s="52">
        <v>0</v>
      </c>
      <c r="H40" s="4" t="s">
        <v>237</v>
      </c>
    </row>
    <row r="41" spans="1:8">
      <c r="A41" s="26">
        <f>'法人一覧(26)'!A41</f>
        <v>38</v>
      </c>
      <c r="B41" s="38" t="str">
        <f>'法人一覧(26)'!B41</f>
        <v>厚生労働省</v>
      </c>
      <c r="C41" s="38" t="str">
        <f>'法人一覧(26)'!C41</f>
        <v>高齢・障害・求職者雇用支援機構</v>
      </c>
      <c r="D41" s="29">
        <f t="shared" si="1"/>
        <v>3821330644</v>
      </c>
      <c r="E41" s="52">
        <v>0</v>
      </c>
      <c r="F41" s="52">
        <v>14220441</v>
      </c>
      <c r="G41" s="52">
        <v>3807110203</v>
      </c>
      <c r="H41" s="4" t="s">
        <v>237</v>
      </c>
    </row>
    <row r="42" spans="1:8">
      <c r="A42" s="26">
        <f>'法人一覧(26)'!A42</f>
        <v>39</v>
      </c>
      <c r="B42" s="38" t="str">
        <f>'法人一覧(26)'!B42</f>
        <v>厚生労働省</v>
      </c>
      <c r="C42" s="38" t="str">
        <f>'法人一覧(26)'!C42</f>
        <v>福祉医療機構</v>
      </c>
      <c r="D42" s="29">
        <f t="shared" si="1"/>
        <v>221704229053</v>
      </c>
      <c r="E42" s="52">
        <v>0</v>
      </c>
      <c r="F42" s="52">
        <v>1433596398</v>
      </c>
      <c r="G42" s="52">
        <v>220270632655</v>
      </c>
      <c r="H42" s="4" t="s">
        <v>237</v>
      </c>
    </row>
    <row r="43" spans="1:8">
      <c r="A43" s="26">
        <f>'法人一覧(26)'!A43</f>
        <v>40</v>
      </c>
      <c r="B43" s="38" t="str">
        <f>'法人一覧(26)'!B43</f>
        <v>厚生労働省</v>
      </c>
      <c r="C43" s="38" t="str">
        <f>'法人一覧(26)'!C43</f>
        <v>国立重度知的障害者総合施設のぞみの園</v>
      </c>
      <c r="D43" s="29">
        <f t="shared" si="1"/>
        <v>0</v>
      </c>
      <c r="E43" s="52">
        <v>0</v>
      </c>
      <c r="F43" s="52">
        <v>0</v>
      </c>
      <c r="G43" s="52">
        <v>0</v>
      </c>
      <c r="H43" s="4" t="s">
        <v>237</v>
      </c>
    </row>
    <row r="44" spans="1:8">
      <c r="A44" s="26">
        <f>'法人一覧(26)'!A44</f>
        <v>41</v>
      </c>
      <c r="B44" s="38" t="str">
        <f>'法人一覧(26)'!B44</f>
        <v>厚生労働省</v>
      </c>
      <c r="C44" s="38" t="str">
        <f>'法人一覧(26)'!C44</f>
        <v>労働政策研究・研修機構</v>
      </c>
      <c r="D44" s="29">
        <f t="shared" si="1"/>
        <v>440000</v>
      </c>
      <c r="E44" s="52">
        <v>0</v>
      </c>
      <c r="F44" s="52">
        <v>440000</v>
      </c>
      <c r="G44" s="52">
        <v>0</v>
      </c>
      <c r="H44" s="4" t="s">
        <v>237</v>
      </c>
    </row>
    <row r="45" spans="1:8">
      <c r="A45" s="26">
        <f>'法人一覧(26)'!A45</f>
        <v>42</v>
      </c>
      <c r="B45" s="38" t="str">
        <f>'法人一覧(26)'!B45</f>
        <v>厚生労働省</v>
      </c>
      <c r="C45" s="38" t="str">
        <f>'法人一覧(26)'!C45</f>
        <v>労働者健康福祉機構</v>
      </c>
      <c r="D45" s="29">
        <f t="shared" si="1"/>
        <v>183919674</v>
      </c>
      <c r="E45" s="52">
        <v>0</v>
      </c>
      <c r="F45" s="52">
        <v>168219885</v>
      </c>
      <c r="G45" s="52">
        <v>15699789</v>
      </c>
      <c r="H45" s="4" t="s">
        <v>237</v>
      </c>
    </row>
    <row r="46" spans="1:8">
      <c r="A46" s="26">
        <f>'法人一覧(26)'!A46</f>
        <v>43</v>
      </c>
      <c r="B46" s="38" t="str">
        <f>'法人一覧(26)'!B46</f>
        <v>厚生労働省</v>
      </c>
      <c r="C46" s="38" t="str">
        <f>'法人一覧(26)'!C46</f>
        <v>国立病院機構</v>
      </c>
      <c r="D46" s="29">
        <f t="shared" si="1"/>
        <v>1648389404</v>
      </c>
      <c r="E46" s="52">
        <v>1561297129</v>
      </c>
      <c r="F46" s="52">
        <v>87092275</v>
      </c>
      <c r="G46" s="52">
        <v>0</v>
      </c>
      <c r="H46" s="4" t="s">
        <v>237</v>
      </c>
    </row>
    <row r="47" spans="1:8">
      <c r="A47" s="26">
        <f>'法人一覧(26)'!A47</f>
        <v>44</v>
      </c>
      <c r="B47" s="38" t="str">
        <f>'法人一覧(26)'!B47</f>
        <v>厚生労働省</v>
      </c>
      <c r="C47" s="38" t="str">
        <f>'法人一覧(26)'!C47</f>
        <v>医薬品医療機器総合機構</v>
      </c>
      <c r="D47" s="29">
        <f t="shared" si="1"/>
        <v>865144900</v>
      </c>
      <c r="E47" s="52">
        <v>865144900</v>
      </c>
      <c r="F47" s="52">
        <v>0</v>
      </c>
      <c r="G47" s="52">
        <v>0</v>
      </c>
      <c r="H47" s="4" t="s">
        <v>237</v>
      </c>
    </row>
    <row r="48" spans="1:8">
      <c r="A48" s="26">
        <f>'法人一覧(26)'!A48</f>
        <v>45</v>
      </c>
      <c r="B48" s="38" t="str">
        <f>'法人一覧(26)'!B48</f>
        <v>厚生労働省</v>
      </c>
      <c r="C48" s="38" t="str">
        <f>'法人一覧(26)'!C48</f>
        <v>医薬基盤研究所</v>
      </c>
      <c r="D48" s="29">
        <f t="shared" si="1"/>
        <v>0</v>
      </c>
      <c r="E48" s="52">
        <v>0</v>
      </c>
      <c r="F48" s="52">
        <v>0</v>
      </c>
      <c r="G48" s="52">
        <v>0</v>
      </c>
      <c r="H48" s="4" t="s">
        <v>237</v>
      </c>
    </row>
    <row r="49" spans="1:8">
      <c r="A49" s="26">
        <f>'法人一覧(26)'!A49</f>
        <v>46</v>
      </c>
      <c r="B49" s="38" t="str">
        <f>'法人一覧(26)'!B49</f>
        <v>厚生労働省</v>
      </c>
      <c r="C49" s="38" t="str">
        <f>'法人一覧(26)'!C49</f>
        <v>地域医療機能推進機構</v>
      </c>
      <c r="D49" s="29">
        <f t="shared" si="1"/>
        <v>115012071467</v>
      </c>
      <c r="E49" s="52">
        <v>0</v>
      </c>
      <c r="F49" s="52">
        <v>0</v>
      </c>
      <c r="G49" s="52">
        <v>115012071467</v>
      </c>
      <c r="H49" s="4" t="s">
        <v>237</v>
      </c>
    </row>
    <row r="50" spans="1:8">
      <c r="A50" s="26">
        <f>'法人一覧(26)'!A50</f>
        <v>47</v>
      </c>
      <c r="B50" s="38" t="str">
        <f>'法人一覧(26)'!B50</f>
        <v>厚生労働省</v>
      </c>
      <c r="C50" s="38" t="str">
        <f>'法人一覧(26)'!C50</f>
        <v>年金積立金管理運用</v>
      </c>
      <c r="D50" s="29">
        <f t="shared" si="1"/>
        <v>3270958977935</v>
      </c>
      <c r="E50" s="52">
        <v>0</v>
      </c>
      <c r="F50" s="52">
        <v>0</v>
      </c>
      <c r="G50" s="52">
        <v>3270958977935</v>
      </c>
      <c r="H50" s="4" t="s">
        <v>237</v>
      </c>
    </row>
    <row r="51" spans="1:8">
      <c r="A51" s="26">
        <f>'法人一覧(26)'!A51</f>
        <v>48</v>
      </c>
      <c r="B51" s="38" t="str">
        <f>'法人一覧(26)'!B51</f>
        <v>厚生労働省</v>
      </c>
      <c r="C51" s="38" t="str">
        <f>'法人一覧(26)'!C51</f>
        <v>国立がん研究センター</v>
      </c>
      <c r="D51" s="29">
        <f t="shared" si="1"/>
        <v>0</v>
      </c>
      <c r="E51" s="52">
        <v>0</v>
      </c>
      <c r="F51" s="52">
        <v>0</v>
      </c>
      <c r="G51" s="52">
        <v>0</v>
      </c>
      <c r="H51" s="4" t="s">
        <v>237</v>
      </c>
    </row>
    <row r="52" spans="1:8">
      <c r="A52" s="26">
        <f>'法人一覧(26)'!A52</f>
        <v>49</v>
      </c>
      <c r="B52" s="38" t="str">
        <f>'法人一覧(26)'!B52</f>
        <v>厚生労働省</v>
      </c>
      <c r="C52" s="38" t="str">
        <f>'法人一覧(26)'!C52</f>
        <v>国立循環器病研究センター</v>
      </c>
      <c r="D52" s="29">
        <f t="shared" si="1"/>
        <v>0</v>
      </c>
      <c r="E52" s="52">
        <v>0</v>
      </c>
      <c r="F52" s="52">
        <v>0</v>
      </c>
      <c r="G52" s="52">
        <v>0</v>
      </c>
      <c r="H52" s="4" t="s">
        <v>237</v>
      </c>
    </row>
    <row r="53" spans="1:8">
      <c r="A53" s="26">
        <f>'法人一覧(26)'!A53</f>
        <v>50</v>
      </c>
      <c r="B53" s="38" t="str">
        <f>'法人一覧(26)'!B53</f>
        <v>厚生労働省</v>
      </c>
      <c r="C53" s="38" t="str">
        <f>'法人一覧(26)'!C53</f>
        <v>国立精神・神経医療研究センター</v>
      </c>
      <c r="D53" s="29">
        <f t="shared" si="1"/>
        <v>0</v>
      </c>
      <c r="E53" s="52">
        <v>0</v>
      </c>
      <c r="F53" s="52">
        <v>0</v>
      </c>
      <c r="G53" s="52">
        <v>0</v>
      </c>
      <c r="H53" s="4" t="s">
        <v>237</v>
      </c>
    </row>
    <row r="54" spans="1:8">
      <c r="A54" s="26">
        <f>'法人一覧(26)'!A54</f>
        <v>51</v>
      </c>
      <c r="B54" s="38" t="str">
        <f>'法人一覧(26)'!B54</f>
        <v>厚生労働省</v>
      </c>
      <c r="C54" s="38" t="str">
        <f>'法人一覧(26)'!C54</f>
        <v>国立国際医療研究センター</v>
      </c>
      <c r="D54" s="29">
        <f t="shared" si="1"/>
        <v>0</v>
      </c>
      <c r="E54" s="52">
        <v>0</v>
      </c>
      <c r="F54" s="52">
        <v>0</v>
      </c>
      <c r="G54" s="52">
        <v>0</v>
      </c>
      <c r="H54" s="4" t="s">
        <v>237</v>
      </c>
    </row>
    <row r="55" spans="1:8">
      <c r="A55" s="26">
        <f>'法人一覧(26)'!A55</f>
        <v>52</v>
      </c>
      <c r="B55" s="38" t="str">
        <f>'法人一覧(26)'!B55</f>
        <v>厚生労働省</v>
      </c>
      <c r="C55" s="38" t="str">
        <f>'法人一覧(26)'!C55</f>
        <v>国立成育医療研究センター</v>
      </c>
      <c r="D55" s="29">
        <f t="shared" si="1"/>
        <v>13430620</v>
      </c>
      <c r="E55" s="52">
        <v>0</v>
      </c>
      <c r="F55" s="52">
        <v>13430620</v>
      </c>
      <c r="G55" s="52">
        <v>0</v>
      </c>
      <c r="H55" s="4" t="s">
        <v>237</v>
      </c>
    </row>
    <row r="56" spans="1:8">
      <c r="A56" s="26">
        <f>'法人一覧(26)'!A56</f>
        <v>53</v>
      </c>
      <c r="B56" s="38" t="str">
        <f>'法人一覧(26)'!B56</f>
        <v>厚生労働省</v>
      </c>
      <c r="C56" s="38" t="str">
        <f>'法人一覧(26)'!C56</f>
        <v>国立長寿医療研究センター</v>
      </c>
      <c r="D56" s="29">
        <f t="shared" si="1"/>
        <v>0</v>
      </c>
      <c r="E56" s="52">
        <v>0</v>
      </c>
      <c r="F56" s="52">
        <v>0</v>
      </c>
      <c r="G56" s="52">
        <v>0</v>
      </c>
      <c r="H56" s="4" t="s">
        <v>237</v>
      </c>
    </row>
    <row r="57" spans="1:8">
      <c r="A57" s="26">
        <f>'法人一覧(26)'!A57</f>
        <v>54</v>
      </c>
      <c r="B57" s="38" t="str">
        <f>'法人一覧(26)'!B57</f>
        <v>農林水産省</v>
      </c>
      <c r="C57" s="38" t="str">
        <f>'法人一覧(26)'!C57</f>
        <v>農林水産消費安全技術センター</v>
      </c>
      <c r="D57" s="29">
        <f t="shared" si="1"/>
        <v>0</v>
      </c>
      <c r="E57" s="29">
        <v>0</v>
      </c>
      <c r="F57" s="29">
        <v>0</v>
      </c>
      <c r="G57" s="29">
        <v>0</v>
      </c>
      <c r="H57" s="4" t="s">
        <v>237</v>
      </c>
    </row>
    <row r="58" spans="1:8">
      <c r="A58" s="26">
        <f>'法人一覧(26)'!A58</f>
        <v>55</v>
      </c>
      <c r="B58" s="38" t="str">
        <f>'法人一覧(26)'!B58</f>
        <v>農林水産省</v>
      </c>
      <c r="C58" s="38" t="str">
        <f>'法人一覧(26)'!C58</f>
        <v>種苗管理センター</v>
      </c>
      <c r="D58" s="29">
        <f t="shared" si="1"/>
        <v>0</v>
      </c>
      <c r="E58" s="29">
        <v>0</v>
      </c>
      <c r="F58" s="29">
        <v>0</v>
      </c>
      <c r="G58" s="29">
        <v>0</v>
      </c>
      <c r="H58" s="4" t="s">
        <v>237</v>
      </c>
    </row>
    <row r="59" spans="1:8">
      <c r="A59" s="26">
        <f>'法人一覧(26)'!A59</f>
        <v>56</v>
      </c>
      <c r="B59" s="38" t="str">
        <f>'法人一覧(26)'!B59</f>
        <v>農林水産省</v>
      </c>
      <c r="C59" s="38" t="str">
        <f>'法人一覧(26)'!C59</f>
        <v>家畜改良センター</v>
      </c>
      <c r="D59" s="29">
        <f t="shared" si="1"/>
        <v>0</v>
      </c>
      <c r="E59" s="29">
        <v>0</v>
      </c>
      <c r="F59" s="29">
        <v>0</v>
      </c>
      <c r="G59" s="29">
        <v>0</v>
      </c>
      <c r="H59" s="4" t="s">
        <v>258</v>
      </c>
    </row>
    <row r="60" spans="1:8">
      <c r="A60" s="26">
        <f>'法人一覧(26)'!A60</f>
        <v>57</v>
      </c>
      <c r="B60" s="38" t="str">
        <f>'法人一覧(26)'!B60</f>
        <v>農林水産省</v>
      </c>
      <c r="C60" s="38" t="str">
        <f>'法人一覧(26)'!C60</f>
        <v>水産大学校</v>
      </c>
      <c r="D60" s="29">
        <f t="shared" si="1"/>
        <v>0</v>
      </c>
      <c r="E60" s="29">
        <v>0</v>
      </c>
      <c r="F60" s="29">
        <v>0</v>
      </c>
      <c r="G60" s="29">
        <v>0</v>
      </c>
      <c r="H60" s="4" t="s">
        <v>237</v>
      </c>
    </row>
    <row r="61" spans="1:8">
      <c r="A61" s="26">
        <f>'法人一覧(26)'!A61</f>
        <v>58</v>
      </c>
      <c r="B61" s="38" t="str">
        <f>'法人一覧(26)'!B61</f>
        <v>農林水産省</v>
      </c>
      <c r="C61" s="38" t="str">
        <f>'法人一覧(26)'!C61</f>
        <v>農業・食品産業技術総合研究機構</v>
      </c>
      <c r="D61" s="29">
        <f t="shared" si="1"/>
        <v>751032634</v>
      </c>
      <c r="E61" s="29">
        <v>0</v>
      </c>
      <c r="F61" s="29">
        <v>751032634</v>
      </c>
      <c r="G61" s="29">
        <v>0</v>
      </c>
      <c r="H61" s="4"/>
    </row>
    <row r="62" spans="1:8" ht="31.8" customHeight="1">
      <c r="A62" s="26">
        <f>'法人一覧(26)'!A62</f>
        <v>59</v>
      </c>
      <c r="B62" s="38" t="str">
        <f>'法人一覧(26)'!B62</f>
        <v>農林水産省</v>
      </c>
      <c r="C62" s="38" t="str">
        <f>'法人一覧(26)'!C62</f>
        <v>農業生物資源研究所</v>
      </c>
      <c r="D62" s="29">
        <f t="shared" si="1"/>
        <v>0</v>
      </c>
      <c r="E62" s="29">
        <v>0</v>
      </c>
      <c r="F62" s="29">
        <v>0</v>
      </c>
      <c r="G62" s="29">
        <v>0</v>
      </c>
      <c r="H62" s="4" t="s">
        <v>441</v>
      </c>
    </row>
    <row r="63" spans="1:8">
      <c r="A63" s="26">
        <f>'法人一覧(26)'!A63</f>
        <v>60</v>
      </c>
      <c r="B63" s="38" t="str">
        <f>'法人一覧(26)'!B63</f>
        <v>農林水産省</v>
      </c>
      <c r="C63" s="38" t="str">
        <f>'法人一覧(26)'!C63</f>
        <v>農業環境技術研究所</v>
      </c>
      <c r="D63" s="29">
        <f t="shared" si="1"/>
        <v>0</v>
      </c>
      <c r="E63" s="29">
        <v>0</v>
      </c>
      <c r="F63" s="29">
        <v>0</v>
      </c>
      <c r="G63" s="29">
        <v>0</v>
      </c>
      <c r="H63" s="4" t="s">
        <v>237</v>
      </c>
    </row>
    <row r="64" spans="1:8">
      <c r="A64" s="26">
        <f>'法人一覧(26)'!A64</f>
        <v>61</v>
      </c>
      <c r="B64" s="38" t="str">
        <f>'法人一覧(26)'!B64</f>
        <v>農林水産省</v>
      </c>
      <c r="C64" s="38" t="str">
        <f>'法人一覧(26)'!C64</f>
        <v>国際農林水産業研究センター</v>
      </c>
      <c r="D64" s="29">
        <f t="shared" si="1"/>
        <v>0</v>
      </c>
      <c r="E64" s="29">
        <v>0</v>
      </c>
      <c r="F64" s="29">
        <v>0</v>
      </c>
      <c r="G64" s="29">
        <v>0</v>
      </c>
      <c r="H64" s="4" t="s">
        <v>260</v>
      </c>
    </row>
    <row r="65" spans="1:8">
      <c r="A65" s="26">
        <f>'法人一覧(26)'!A65</f>
        <v>62</v>
      </c>
      <c r="B65" s="38" t="str">
        <f>'法人一覧(26)'!B65</f>
        <v>農林水産省</v>
      </c>
      <c r="C65" s="38" t="str">
        <f>'法人一覧(26)'!C65</f>
        <v>森林総合研究所</v>
      </c>
      <c r="D65" s="29">
        <f t="shared" si="1"/>
        <v>2390382</v>
      </c>
      <c r="E65" s="52">
        <v>0</v>
      </c>
      <c r="F65" s="52">
        <v>2390382</v>
      </c>
      <c r="G65" s="52">
        <v>0</v>
      </c>
      <c r="H65" s="4" t="s">
        <v>237</v>
      </c>
    </row>
    <row r="66" spans="1:8">
      <c r="A66" s="26">
        <f>'法人一覧(26)'!A66</f>
        <v>63</v>
      </c>
      <c r="B66" s="38" t="str">
        <f>'法人一覧(26)'!B66</f>
        <v>農林水産省</v>
      </c>
      <c r="C66" s="38" t="str">
        <f>'法人一覧(26)'!C66</f>
        <v>水産総合研究センター</v>
      </c>
      <c r="D66" s="29">
        <f t="shared" si="1"/>
        <v>0</v>
      </c>
      <c r="E66" s="29">
        <v>0</v>
      </c>
      <c r="F66" s="29">
        <v>0</v>
      </c>
      <c r="G66" s="29">
        <v>0</v>
      </c>
      <c r="H66" s="4" t="s">
        <v>237</v>
      </c>
    </row>
    <row r="67" spans="1:8">
      <c r="A67" s="26">
        <f>'法人一覧(26)'!A67</f>
        <v>64</v>
      </c>
      <c r="B67" s="38" t="str">
        <f>'法人一覧(26)'!B67</f>
        <v>農林水産省</v>
      </c>
      <c r="C67" s="38" t="str">
        <f>'法人一覧(26)'!C67</f>
        <v>農畜産業振興機構</v>
      </c>
      <c r="D67" s="29">
        <f t="shared" si="1"/>
        <v>105541588720</v>
      </c>
      <c r="E67" s="29">
        <v>0</v>
      </c>
      <c r="F67" s="29">
        <v>80970391866</v>
      </c>
      <c r="G67" s="29">
        <v>24571196854</v>
      </c>
      <c r="H67" s="4" t="s">
        <v>260</v>
      </c>
    </row>
    <row r="68" spans="1:8">
      <c r="A68" s="26">
        <f>'法人一覧(26)'!A68</f>
        <v>65</v>
      </c>
      <c r="B68" s="38" t="str">
        <f>'法人一覧(26)'!B68</f>
        <v>農林水産省</v>
      </c>
      <c r="C68" s="38" t="str">
        <f>'法人一覧(26)'!C68</f>
        <v>農業者年金基金</v>
      </c>
      <c r="D68" s="29">
        <f t="shared" si="1"/>
        <v>0</v>
      </c>
      <c r="E68" s="29">
        <v>0</v>
      </c>
      <c r="F68" s="29">
        <v>0</v>
      </c>
      <c r="G68" s="29">
        <v>0</v>
      </c>
      <c r="H68" s="4" t="s">
        <v>237</v>
      </c>
    </row>
    <row r="69" spans="1:8">
      <c r="A69" s="26">
        <f>'法人一覧(26)'!A69</f>
        <v>66</v>
      </c>
      <c r="B69" s="38" t="str">
        <f>'法人一覧(26)'!B69</f>
        <v>農林水産省</v>
      </c>
      <c r="C69" s="38" t="str">
        <f>'法人一覧(26)'!C69</f>
        <v>農林漁業信用基金</v>
      </c>
      <c r="D69" s="29">
        <f t="shared" si="1"/>
        <v>0</v>
      </c>
      <c r="E69" s="29">
        <v>0</v>
      </c>
      <c r="F69" s="29">
        <v>0</v>
      </c>
      <c r="G69" s="29">
        <v>0</v>
      </c>
      <c r="H69" s="4" t="s">
        <v>237</v>
      </c>
    </row>
    <row r="70" spans="1:8">
      <c r="A70" s="26">
        <f>'法人一覧(26)'!A70</f>
        <v>67</v>
      </c>
      <c r="B70" s="38" t="str">
        <f>'法人一覧(26)'!B70</f>
        <v>経済産業省</v>
      </c>
      <c r="C70" s="38" t="str">
        <f>'法人一覧(26)'!C70</f>
        <v>経済産業研究所</v>
      </c>
      <c r="D70" s="29">
        <f t="shared" si="1"/>
        <v>0</v>
      </c>
      <c r="E70" s="29">
        <v>0</v>
      </c>
      <c r="F70" s="29">
        <v>0</v>
      </c>
      <c r="G70" s="29">
        <v>0</v>
      </c>
      <c r="H70" s="4" t="s">
        <v>237</v>
      </c>
    </row>
    <row r="71" spans="1:8">
      <c r="A71" s="26">
        <f>'法人一覧(26)'!A71</f>
        <v>68</v>
      </c>
      <c r="B71" s="38" t="str">
        <f>'法人一覧(26)'!B71</f>
        <v>経済産業省</v>
      </c>
      <c r="C71" s="38" t="str">
        <f>'法人一覧(26)'!C71</f>
        <v>工業所有権情報・研修館</v>
      </c>
      <c r="D71" s="29">
        <f t="shared" si="1"/>
        <v>0</v>
      </c>
      <c r="E71" s="29">
        <v>0</v>
      </c>
      <c r="F71" s="29">
        <v>0</v>
      </c>
      <c r="G71" s="29">
        <v>0</v>
      </c>
      <c r="H71" s="4" t="s">
        <v>237</v>
      </c>
    </row>
    <row r="72" spans="1:8">
      <c r="A72" s="26">
        <f>'法人一覧(26)'!A72</f>
        <v>69</v>
      </c>
      <c r="B72" s="38" t="str">
        <f>'法人一覧(26)'!B72</f>
        <v>経済産業省</v>
      </c>
      <c r="C72" s="38" t="str">
        <f>'法人一覧(26)'!C72</f>
        <v>日本貿易保険</v>
      </c>
      <c r="D72" s="29">
        <f t="shared" si="1"/>
        <v>0</v>
      </c>
      <c r="E72" s="29">
        <v>0</v>
      </c>
      <c r="F72" s="29">
        <v>0</v>
      </c>
      <c r="G72" s="29">
        <v>0</v>
      </c>
      <c r="H72" s="4" t="s">
        <v>237</v>
      </c>
    </row>
    <row r="73" spans="1:8">
      <c r="A73" s="26">
        <f>'法人一覧(26)'!A73</f>
        <v>70</v>
      </c>
      <c r="B73" s="38" t="str">
        <f>'法人一覧(26)'!B73</f>
        <v>経済産業省</v>
      </c>
      <c r="C73" s="38" t="str">
        <f>'法人一覧(26)'!C73</f>
        <v>産業技術総合研究所</v>
      </c>
      <c r="D73" s="29">
        <f t="shared" si="1"/>
        <v>0</v>
      </c>
      <c r="E73" s="29">
        <v>0</v>
      </c>
      <c r="F73" s="29">
        <v>0</v>
      </c>
      <c r="G73" s="29">
        <v>0</v>
      </c>
      <c r="H73" s="4" t="s">
        <v>237</v>
      </c>
    </row>
    <row r="74" spans="1:8">
      <c r="A74" s="26">
        <f>'法人一覧(26)'!A74</f>
        <v>71</v>
      </c>
      <c r="B74" s="38" t="str">
        <f>'法人一覧(26)'!B74</f>
        <v>経済産業省</v>
      </c>
      <c r="C74" s="38" t="str">
        <f>'法人一覧(26)'!C74</f>
        <v>製品評価技術基盤機構</v>
      </c>
      <c r="D74" s="29">
        <f t="shared" si="1"/>
        <v>0</v>
      </c>
      <c r="E74" s="29">
        <v>0</v>
      </c>
      <c r="F74" s="29">
        <v>0</v>
      </c>
      <c r="G74" s="29">
        <v>0</v>
      </c>
      <c r="H74" s="4" t="s">
        <v>237</v>
      </c>
    </row>
    <row r="75" spans="1:8">
      <c r="A75" s="26">
        <f>'法人一覧(26)'!A75</f>
        <v>72</v>
      </c>
      <c r="B75" s="38" t="str">
        <f>'法人一覧(26)'!B75</f>
        <v>経済産業省</v>
      </c>
      <c r="C75" s="38" t="str">
        <f>'法人一覧(26)'!C75</f>
        <v>新エネルギー・産業技術総合開発機構</v>
      </c>
      <c r="D75" s="29">
        <f t="shared" si="1"/>
        <v>0</v>
      </c>
      <c r="E75" s="29">
        <v>0</v>
      </c>
      <c r="F75" s="29">
        <v>0</v>
      </c>
      <c r="G75" s="29">
        <v>0</v>
      </c>
      <c r="H75" s="4" t="s">
        <v>237</v>
      </c>
    </row>
    <row r="76" spans="1:8">
      <c r="A76" s="26">
        <f>'法人一覧(26)'!A76</f>
        <v>73</v>
      </c>
      <c r="B76" s="38" t="str">
        <f>'法人一覧(26)'!B76</f>
        <v>経済産業省</v>
      </c>
      <c r="C76" s="38" t="str">
        <f>'法人一覧(26)'!C76</f>
        <v>日本貿易振興機構</v>
      </c>
      <c r="D76" s="29">
        <f t="shared" ref="D76:D101" si="2">SUM(E76:G76)</f>
        <v>6733459501</v>
      </c>
      <c r="E76" s="29">
        <v>0</v>
      </c>
      <c r="F76" s="29">
        <v>6733459501</v>
      </c>
      <c r="G76" s="29">
        <v>0</v>
      </c>
      <c r="H76" s="4" t="s">
        <v>237</v>
      </c>
    </row>
    <row r="77" spans="1:8">
      <c r="A77" s="26">
        <f>'法人一覧(26)'!A77</f>
        <v>74</v>
      </c>
      <c r="B77" s="38" t="str">
        <f>'法人一覧(26)'!B77</f>
        <v>経済産業省</v>
      </c>
      <c r="C77" s="38" t="str">
        <f>'法人一覧(26)'!C77</f>
        <v>情報処理推進機構</v>
      </c>
      <c r="D77" s="29">
        <f t="shared" si="2"/>
        <v>0</v>
      </c>
      <c r="E77" s="29">
        <v>0</v>
      </c>
      <c r="F77" s="29">
        <v>0</v>
      </c>
      <c r="G77" s="29">
        <v>0</v>
      </c>
      <c r="H77" s="4" t="s">
        <v>237</v>
      </c>
    </row>
    <row r="78" spans="1:8">
      <c r="A78" s="26">
        <f>'法人一覧(26)'!A78</f>
        <v>75</v>
      </c>
      <c r="B78" s="38" t="str">
        <f>'法人一覧(26)'!B78</f>
        <v>経済産業省</v>
      </c>
      <c r="C78" s="38" t="str">
        <f>'法人一覧(26)'!C78</f>
        <v>石油天然ガス・金属鉱物資源機構</v>
      </c>
      <c r="D78" s="29">
        <f t="shared" si="2"/>
        <v>7101369</v>
      </c>
      <c r="E78" s="29">
        <v>0</v>
      </c>
      <c r="F78" s="29">
        <v>7101369</v>
      </c>
      <c r="G78" s="29">
        <v>0</v>
      </c>
      <c r="H78" s="4" t="s">
        <v>237</v>
      </c>
    </row>
    <row r="79" spans="1:8">
      <c r="A79" s="26">
        <f>'法人一覧(26)'!A79</f>
        <v>76</v>
      </c>
      <c r="B79" s="38" t="str">
        <f>'法人一覧(26)'!B79</f>
        <v>経済産業省</v>
      </c>
      <c r="C79" s="38" t="str">
        <f>'法人一覧(26)'!C79</f>
        <v>中小企業基盤整備機構</v>
      </c>
      <c r="D79" s="29">
        <f t="shared" si="2"/>
        <v>24092019729</v>
      </c>
      <c r="E79" s="29">
        <v>19243995273</v>
      </c>
      <c r="F79" s="29">
        <v>483033913</v>
      </c>
      <c r="G79" s="29">
        <v>4364990543</v>
      </c>
      <c r="H79" s="4" t="s">
        <v>237</v>
      </c>
    </row>
    <row r="80" spans="1:8">
      <c r="A80" s="26">
        <f>'法人一覧(26)'!A80</f>
        <v>77</v>
      </c>
      <c r="B80" s="38" t="str">
        <f>'法人一覧(26)'!B80</f>
        <v>国土交通省</v>
      </c>
      <c r="C80" s="38" t="str">
        <f>'法人一覧(26)'!C80</f>
        <v>土木研究所</v>
      </c>
      <c r="D80" s="29">
        <f t="shared" si="2"/>
        <v>0</v>
      </c>
      <c r="E80" s="78" t="s">
        <v>311</v>
      </c>
      <c r="F80" s="78" t="s">
        <v>311</v>
      </c>
      <c r="G80" s="78" t="s">
        <v>311</v>
      </c>
      <c r="H80" s="4" t="s">
        <v>237</v>
      </c>
    </row>
    <row r="81" spans="1:8">
      <c r="A81" s="26">
        <f>'法人一覧(26)'!A81</f>
        <v>78</v>
      </c>
      <c r="B81" s="38" t="str">
        <f>'法人一覧(26)'!B81</f>
        <v>国土交通省</v>
      </c>
      <c r="C81" s="38" t="str">
        <f>'法人一覧(26)'!C81</f>
        <v>建築研究所</v>
      </c>
      <c r="D81" s="29">
        <f t="shared" si="2"/>
        <v>0</v>
      </c>
      <c r="E81" s="78" t="s">
        <v>311</v>
      </c>
      <c r="F81" s="78" t="s">
        <v>311</v>
      </c>
      <c r="G81" s="78" t="s">
        <v>311</v>
      </c>
      <c r="H81" s="4" t="s">
        <v>237</v>
      </c>
    </row>
    <row r="82" spans="1:8">
      <c r="A82" s="26">
        <f>'法人一覧(26)'!A82</f>
        <v>79</v>
      </c>
      <c r="B82" s="38" t="str">
        <f>'法人一覧(26)'!B82</f>
        <v>国土交通省</v>
      </c>
      <c r="C82" s="38" t="str">
        <f>'法人一覧(26)'!C82</f>
        <v>交通安全環境研究所</v>
      </c>
      <c r="D82" s="29">
        <f t="shared" si="2"/>
        <v>0</v>
      </c>
      <c r="E82" s="65">
        <v>0</v>
      </c>
      <c r="F82" s="65">
        <v>0</v>
      </c>
      <c r="G82" s="65">
        <v>0</v>
      </c>
      <c r="H82" s="4" t="s">
        <v>237</v>
      </c>
    </row>
    <row r="83" spans="1:8">
      <c r="A83" s="26">
        <f>'法人一覧(26)'!A83</f>
        <v>80</v>
      </c>
      <c r="B83" s="38" t="str">
        <f>'法人一覧(26)'!B83</f>
        <v>国土交通省</v>
      </c>
      <c r="C83" s="38" t="str">
        <f>'法人一覧(26)'!C83</f>
        <v>海上技術安全研究所</v>
      </c>
      <c r="D83" s="29">
        <f t="shared" si="2"/>
        <v>0</v>
      </c>
      <c r="E83" s="65">
        <v>0</v>
      </c>
      <c r="F83" s="65">
        <v>0</v>
      </c>
      <c r="G83" s="65">
        <v>0</v>
      </c>
      <c r="H83" s="4" t="s">
        <v>237</v>
      </c>
    </row>
    <row r="84" spans="1:8">
      <c r="A84" s="26">
        <f>'法人一覧(26)'!A84</f>
        <v>81</v>
      </c>
      <c r="B84" s="38" t="str">
        <f>'法人一覧(26)'!B84</f>
        <v>国土交通省</v>
      </c>
      <c r="C84" s="38" t="str">
        <f>'法人一覧(26)'!C84</f>
        <v>港湾空港技術研究所</v>
      </c>
      <c r="D84" s="29">
        <f t="shared" si="2"/>
        <v>0</v>
      </c>
      <c r="E84" s="65">
        <v>0</v>
      </c>
      <c r="F84" s="65">
        <v>0</v>
      </c>
      <c r="G84" s="65">
        <v>0</v>
      </c>
      <c r="H84" s="4" t="s">
        <v>237</v>
      </c>
    </row>
    <row r="85" spans="1:8">
      <c r="A85" s="26">
        <f>'法人一覧(26)'!A85</f>
        <v>82</v>
      </c>
      <c r="B85" s="38" t="str">
        <f>'法人一覧(26)'!B85</f>
        <v>国土交通省</v>
      </c>
      <c r="C85" s="38" t="str">
        <f>'法人一覧(26)'!C85</f>
        <v>電子航法研究所</v>
      </c>
      <c r="D85" s="29">
        <f t="shared" si="2"/>
        <v>0</v>
      </c>
      <c r="E85" s="65">
        <v>0</v>
      </c>
      <c r="F85" s="65">
        <v>0</v>
      </c>
      <c r="G85" s="65">
        <v>0</v>
      </c>
      <c r="H85" s="4" t="s">
        <v>237</v>
      </c>
    </row>
    <row r="86" spans="1:8">
      <c r="A86" s="26">
        <f>'法人一覧(26)'!A86</f>
        <v>83</v>
      </c>
      <c r="B86" s="38" t="str">
        <f>'法人一覧(26)'!B86</f>
        <v>国土交通省</v>
      </c>
      <c r="C86" s="38" t="str">
        <f>'法人一覧(26)'!C86</f>
        <v>航海訓練所</v>
      </c>
      <c r="D86" s="29">
        <f t="shared" si="2"/>
        <v>75598083</v>
      </c>
      <c r="E86" s="65">
        <v>0</v>
      </c>
      <c r="F86" s="65">
        <v>75598083</v>
      </c>
      <c r="G86" s="65">
        <v>0</v>
      </c>
      <c r="H86" s="4" t="s">
        <v>237</v>
      </c>
    </row>
    <row r="87" spans="1:8">
      <c r="A87" s="26">
        <f>'法人一覧(26)'!A87</f>
        <v>84</v>
      </c>
      <c r="B87" s="38" t="str">
        <f>'法人一覧(26)'!B87</f>
        <v>国土交通省</v>
      </c>
      <c r="C87" s="38" t="str">
        <f>'法人一覧(26)'!C87</f>
        <v>海技教育機構</v>
      </c>
      <c r="D87" s="29">
        <f t="shared" si="2"/>
        <v>0</v>
      </c>
      <c r="E87" s="65">
        <v>0</v>
      </c>
      <c r="F87" s="65">
        <v>0</v>
      </c>
      <c r="G87" s="65">
        <v>0</v>
      </c>
      <c r="H87" s="4" t="s">
        <v>237</v>
      </c>
    </row>
    <row r="88" spans="1:8">
      <c r="A88" s="26">
        <f>'法人一覧(26)'!A88</f>
        <v>85</v>
      </c>
      <c r="B88" s="38" t="str">
        <f>'法人一覧(26)'!B88</f>
        <v>国土交通省</v>
      </c>
      <c r="C88" s="38" t="str">
        <f>'法人一覧(26)'!C88</f>
        <v>航空大学校</v>
      </c>
      <c r="D88" s="29">
        <f t="shared" si="2"/>
        <v>0</v>
      </c>
      <c r="E88" s="29">
        <v>0</v>
      </c>
      <c r="F88" s="29">
        <v>0</v>
      </c>
      <c r="G88" s="29">
        <v>0</v>
      </c>
      <c r="H88" s="4" t="s">
        <v>237</v>
      </c>
    </row>
    <row r="89" spans="1:8">
      <c r="A89" s="26">
        <f>'法人一覧(26)'!A89</f>
        <v>86</v>
      </c>
      <c r="B89" s="38" t="str">
        <f>'法人一覧(26)'!B89</f>
        <v>国土交通省</v>
      </c>
      <c r="C89" s="38" t="str">
        <f>'法人一覧(26)'!C89</f>
        <v>自動車検査</v>
      </c>
      <c r="D89" s="29">
        <f t="shared" si="2"/>
        <v>0</v>
      </c>
      <c r="E89" s="65">
        <v>0</v>
      </c>
      <c r="F89" s="65">
        <v>0</v>
      </c>
      <c r="G89" s="65">
        <v>0</v>
      </c>
      <c r="H89" s="4" t="s">
        <v>237</v>
      </c>
    </row>
    <row r="90" spans="1:8">
      <c r="A90" s="26">
        <f>'法人一覧(26)'!A90</f>
        <v>87</v>
      </c>
      <c r="B90" s="38" t="str">
        <f>'法人一覧(26)'!B90</f>
        <v>国土交通省</v>
      </c>
      <c r="C90" s="38" t="str">
        <f>'法人一覧(26)'!C90</f>
        <v>鉄道建設・運輸施設整備支援機構</v>
      </c>
      <c r="D90" s="52">
        <f t="shared" si="2"/>
        <v>176685994</v>
      </c>
      <c r="E90" s="69" t="s">
        <v>463</v>
      </c>
      <c r="F90" s="69">
        <v>176685994</v>
      </c>
      <c r="G90" s="69" t="s">
        <v>463</v>
      </c>
      <c r="H90" s="57" t="s">
        <v>463</v>
      </c>
    </row>
    <row r="91" spans="1:8">
      <c r="A91" s="26">
        <f>'法人一覧(26)'!A91</f>
        <v>88</v>
      </c>
      <c r="B91" s="38" t="str">
        <f>'法人一覧(26)'!B91</f>
        <v>国土交通省</v>
      </c>
      <c r="C91" s="38" t="str">
        <f>'法人一覧(26)'!C91</f>
        <v>国際観光振興機構</v>
      </c>
      <c r="D91" s="52">
        <f t="shared" si="2"/>
        <v>0</v>
      </c>
      <c r="E91" s="52">
        <v>0</v>
      </c>
      <c r="F91" s="52">
        <v>0</v>
      </c>
      <c r="G91" s="52">
        <v>0</v>
      </c>
      <c r="H91" s="57" t="s">
        <v>463</v>
      </c>
    </row>
    <row r="92" spans="1:8" ht="31.8" customHeight="1">
      <c r="A92" s="26">
        <f>'法人一覧(26)'!A92</f>
        <v>89</v>
      </c>
      <c r="B92" s="38" t="str">
        <f>'法人一覧(26)'!B92</f>
        <v>国土交通省</v>
      </c>
      <c r="C92" s="38" t="str">
        <f>'法人一覧(26)'!C92</f>
        <v>水資源機構</v>
      </c>
      <c r="D92" s="52">
        <f t="shared" si="2"/>
        <v>0</v>
      </c>
      <c r="E92" s="52">
        <v>0</v>
      </c>
      <c r="F92" s="52">
        <v>0</v>
      </c>
      <c r="G92" s="52">
        <v>0</v>
      </c>
      <c r="H92" s="57" t="s">
        <v>464</v>
      </c>
    </row>
    <row r="93" spans="1:8">
      <c r="A93" s="26">
        <f>'法人一覧(26)'!A93</f>
        <v>90</v>
      </c>
      <c r="B93" s="38" t="str">
        <f>'法人一覧(26)'!B93</f>
        <v>国土交通省</v>
      </c>
      <c r="C93" s="38" t="str">
        <f>'法人一覧(26)'!C93</f>
        <v>自動車事故対策機構</v>
      </c>
      <c r="D93" s="52">
        <f t="shared" si="2"/>
        <v>89291041</v>
      </c>
      <c r="E93" s="52">
        <v>0</v>
      </c>
      <c r="F93" s="52">
        <v>2360800</v>
      </c>
      <c r="G93" s="52">
        <v>86930241</v>
      </c>
      <c r="H93" s="57" t="s">
        <v>463</v>
      </c>
    </row>
    <row r="94" spans="1:8">
      <c r="A94" s="26">
        <f>'法人一覧(26)'!A94</f>
        <v>91</v>
      </c>
      <c r="B94" s="38" t="str">
        <f>'法人一覧(26)'!B94</f>
        <v>国土交通省</v>
      </c>
      <c r="C94" s="38" t="str">
        <f>'法人一覧(26)'!C94</f>
        <v>空港周辺整備機構</v>
      </c>
      <c r="D94" s="29">
        <f t="shared" si="2"/>
        <v>0</v>
      </c>
      <c r="E94" s="65">
        <v>0</v>
      </c>
      <c r="F94" s="65">
        <v>0</v>
      </c>
      <c r="G94" s="65">
        <v>0</v>
      </c>
      <c r="H94" s="4" t="s">
        <v>237</v>
      </c>
    </row>
    <row r="95" spans="1:8">
      <c r="A95" s="26">
        <f>'法人一覧(26)'!A95</f>
        <v>92</v>
      </c>
      <c r="B95" s="38" t="str">
        <f>'法人一覧(26)'!B95</f>
        <v>国土交通省</v>
      </c>
      <c r="C95" s="38" t="str">
        <f>'法人一覧(26)'!C95</f>
        <v>都市再生機構</v>
      </c>
      <c r="D95" s="29">
        <f t="shared" si="2"/>
        <v>0</v>
      </c>
      <c r="E95" s="65">
        <v>0</v>
      </c>
      <c r="F95" s="65">
        <v>0</v>
      </c>
      <c r="G95" s="65">
        <v>0</v>
      </c>
      <c r="H95" s="4" t="s">
        <v>237</v>
      </c>
    </row>
    <row r="96" spans="1:8">
      <c r="A96" s="26">
        <f>'法人一覧(26)'!A96</f>
        <v>93</v>
      </c>
      <c r="B96" s="38" t="str">
        <f>'法人一覧(26)'!B96</f>
        <v>国土交通省</v>
      </c>
      <c r="C96" s="38" t="str">
        <f>'法人一覧(26)'!C96</f>
        <v>奄美群島振興開発基金</v>
      </c>
      <c r="D96" s="29">
        <f t="shared" si="2"/>
        <v>0</v>
      </c>
      <c r="E96" s="29">
        <v>0</v>
      </c>
      <c r="F96" s="29">
        <v>0</v>
      </c>
      <c r="G96" s="29">
        <v>0</v>
      </c>
      <c r="H96" s="4" t="s">
        <v>237</v>
      </c>
    </row>
    <row r="97" spans="1:8">
      <c r="A97" s="26">
        <f>'法人一覧(26)'!A97</f>
        <v>94</v>
      </c>
      <c r="B97" s="38" t="str">
        <f>'法人一覧(26)'!B97</f>
        <v>国土交通省</v>
      </c>
      <c r="C97" s="38" t="str">
        <f>'法人一覧(26)'!C97</f>
        <v>日本高速道路保有・債務返済機構</v>
      </c>
      <c r="D97" s="29">
        <f t="shared" si="2"/>
        <v>0</v>
      </c>
      <c r="E97" s="29">
        <v>0</v>
      </c>
      <c r="F97" s="65">
        <v>0</v>
      </c>
      <c r="G97" s="65">
        <v>0</v>
      </c>
      <c r="H97" s="4" t="s">
        <v>237</v>
      </c>
    </row>
    <row r="98" spans="1:8">
      <c r="A98" s="26">
        <f>'法人一覧(26)'!A98</f>
        <v>95</v>
      </c>
      <c r="B98" s="38" t="str">
        <f>'法人一覧(26)'!B98</f>
        <v>国土交通省</v>
      </c>
      <c r="C98" s="38" t="str">
        <f>'法人一覧(26)'!C98</f>
        <v>住宅金融支援機構</v>
      </c>
      <c r="D98" s="29">
        <f t="shared" si="2"/>
        <v>83639158</v>
      </c>
      <c r="E98" s="29">
        <v>0</v>
      </c>
      <c r="F98" s="29">
        <v>0</v>
      </c>
      <c r="G98" s="29">
        <v>83639158</v>
      </c>
      <c r="H98" s="4" t="s">
        <v>237</v>
      </c>
    </row>
    <row r="99" spans="1:8">
      <c r="A99" s="26">
        <f>'法人一覧(26)'!A99</f>
        <v>96</v>
      </c>
      <c r="B99" s="38" t="str">
        <f>'法人一覧(26)'!B99</f>
        <v>環境省</v>
      </c>
      <c r="C99" s="38" t="str">
        <f>'法人一覧(26)'!C99</f>
        <v>国立環境研究所</v>
      </c>
      <c r="D99" s="29">
        <f t="shared" si="2"/>
        <v>0</v>
      </c>
      <c r="E99" s="29">
        <v>0</v>
      </c>
      <c r="F99" s="29">
        <v>0</v>
      </c>
      <c r="G99" s="29">
        <v>0</v>
      </c>
      <c r="H99" s="4" t="s">
        <v>237</v>
      </c>
    </row>
    <row r="100" spans="1:8">
      <c r="A100" s="26">
        <f>'法人一覧(26)'!A100</f>
        <v>97</v>
      </c>
      <c r="B100" s="38" t="str">
        <f>'法人一覧(26)'!B100</f>
        <v>環境省</v>
      </c>
      <c r="C100" s="38" t="str">
        <f>'法人一覧(26)'!C100</f>
        <v>環境再生保全機構</v>
      </c>
      <c r="D100" s="29">
        <f t="shared" si="2"/>
        <v>0</v>
      </c>
      <c r="E100" s="29">
        <v>0</v>
      </c>
      <c r="F100" s="29">
        <v>0</v>
      </c>
      <c r="G100" s="29">
        <v>0</v>
      </c>
      <c r="H100" s="4" t="s">
        <v>237</v>
      </c>
    </row>
    <row r="101" spans="1:8" ht="13.8" thickBot="1">
      <c r="A101" s="116">
        <f>'法人一覧(26)'!A101</f>
        <v>98</v>
      </c>
      <c r="B101" s="117" t="str">
        <f>'法人一覧(26)'!B101</f>
        <v>防衛省</v>
      </c>
      <c r="C101" s="117" t="str">
        <f>'法人一覧(26)'!C101</f>
        <v>駐留軍等労働者労務管理機構</v>
      </c>
      <c r="D101" s="118">
        <f t="shared" si="2"/>
        <v>0</v>
      </c>
      <c r="E101" s="118">
        <v>0</v>
      </c>
      <c r="F101" s="118">
        <v>0</v>
      </c>
      <c r="G101" s="118">
        <v>0</v>
      </c>
      <c r="H101" s="121" t="s">
        <v>237</v>
      </c>
    </row>
    <row r="102" spans="1:8" s="37" customFormat="1" ht="20.399999999999999" customHeight="1" thickTop="1">
      <c r="A102" s="167" t="s">
        <v>584</v>
      </c>
      <c r="B102" s="168"/>
      <c r="C102" s="170"/>
      <c r="D102" s="115">
        <f t="shared" ref="D102:F102" si="3">SUM(D91:D101)</f>
        <v>172930199</v>
      </c>
      <c r="E102" s="115">
        <f t="shared" si="3"/>
        <v>0</v>
      </c>
      <c r="F102" s="115">
        <f t="shared" si="3"/>
        <v>2360800</v>
      </c>
      <c r="G102" s="115">
        <f>SUM(G91:G101)</f>
        <v>170569399</v>
      </c>
      <c r="H102" s="119"/>
    </row>
    <row r="104" spans="1:8">
      <c r="B104" s="195" t="s">
        <v>593</v>
      </c>
      <c r="C104" s="195"/>
      <c r="D104" s="195"/>
      <c r="E104" s="195"/>
      <c r="F104" s="195"/>
      <c r="G104" s="195"/>
      <c r="H104" s="195"/>
    </row>
    <row r="105" spans="1:8">
      <c r="B105" s="195"/>
      <c r="C105" s="195"/>
      <c r="D105" s="195"/>
      <c r="E105" s="195"/>
      <c r="F105" s="195"/>
      <c r="G105" s="195"/>
      <c r="H105" s="195"/>
    </row>
    <row r="106" spans="1:8">
      <c r="B106" s="195"/>
      <c r="C106" s="195"/>
      <c r="D106" s="195"/>
      <c r="E106" s="195"/>
      <c r="F106" s="195"/>
      <c r="G106" s="195"/>
      <c r="H106" s="195"/>
    </row>
    <row r="107" spans="1:8">
      <c r="B107" s="195"/>
      <c r="C107" s="195"/>
      <c r="D107" s="195"/>
      <c r="E107" s="195"/>
      <c r="F107" s="195"/>
      <c r="G107" s="195"/>
      <c r="H107" s="195"/>
    </row>
  </sheetData>
  <mergeCells count="8">
    <mergeCell ref="A2:A3"/>
    <mergeCell ref="B104:H107"/>
    <mergeCell ref="B2:B3"/>
    <mergeCell ref="C2:C3"/>
    <mergeCell ref="D2:D3"/>
    <mergeCell ref="E2:G2"/>
    <mergeCell ref="H2:H3"/>
    <mergeCell ref="A102:C102"/>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zoomScale="80" zoomScaleNormal="80" workbookViewId="0">
      <pane xSplit="3" ySplit="3" topLeftCell="D100" activePane="bottomRight" state="frozen"/>
      <selection activeCell="B2" sqref="B2:B3"/>
      <selection pane="topRight" activeCell="B2" sqref="B2:B3"/>
      <selection pane="bottomLeft" activeCell="B2" sqref="B2:B3"/>
      <selection pane="bottomRight"/>
    </sheetView>
  </sheetViews>
  <sheetFormatPr defaultColWidth="8.88671875" defaultRowHeight="13.2"/>
  <cols>
    <col min="1" max="1" width="4.21875" style="37" customWidth="1"/>
    <col min="2" max="2" width="19.21875" style="1" customWidth="1"/>
    <col min="3" max="3" width="40.21875" style="1" bestFit="1" customWidth="1"/>
    <col min="4" max="4" width="8.44140625" style="1" customWidth="1"/>
    <col min="5" max="5" width="50.6640625" style="1" customWidth="1"/>
    <col min="6" max="6" width="7.77734375" style="1" customWidth="1"/>
    <col min="7" max="7" width="50.88671875" style="1" customWidth="1"/>
    <col min="8" max="16384" width="8.88671875" style="1"/>
  </cols>
  <sheetData>
    <row r="1" spans="1:7" ht="19.95" customHeight="1">
      <c r="B1" s="144" t="s">
        <v>232</v>
      </c>
    </row>
    <row r="2" spans="1:7" ht="18.600000000000001" customHeight="1">
      <c r="A2" s="161" t="s">
        <v>195</v>
      </c>
      <c r="B2" s="161" t="s">
        <v>0</v>
      </c>
      <c r="C2" s="161" t="s">
        <v>1</v>
      </c>
      <c r="D2" s="164" t="s">
        <v>15</v>
      </c>
      <c r="E2" s="166"/>
      <c r="F2" s="164" t="s">
        <v>18</v>
      </c>
      <c r="G2" s="166"/>
    </row>
    <row r="3" spans="1:7" ht="18.600000000000001" customHeight="1">
      <c r="A3" s="162"/>
      <c r="B3" s="162"/>
      <c r="C3" s="162"/>
      <c r="D3" s="10" t="s">
        <v>16</v>
      </c>
      <c r="E3" s="10" t="s">
        <v>17</v>
      </c>
      <c r="F3" s="10" t="s">
        <v>16</v>
      </c>
      <c r="G3" s="10" t="s">
        <v>17</v>
      </c>
    </row>
    <row r="4" spans="1:7" ht="21" customHeight="1">
      <c r="A4" s="26">
        <f>'法人一覧(25)'!A4</f>
        <v>1</v>
      </c>
      <c r="B4" s="38" t="str">
        <f>'法人一覧(25)'!B4</f>
        <v>内閣府</v>
      </c>
      <c r="C4" s="38" t="str">
        <f>'法人一覧(25)'!C4</f>
        <v>国立公文書館</v>
      </c>
      <c r="D4" s="66" t="s">
        <v>313</v>
      </c>
      <c r="E4" s="67" t="s">
        <v>313</v>
      </c>
      <c r="F4" s="66">
        <v>2</v>
      </c>
      <c r="G4" s="4" t="s">
        <v>314</v>
      </c>
    </row>
    <row r="5" spans="1:7" ht="19.8" customHeight="1">
      <c r="A5" s="26">
        <f>'法人一覧(25)'!A5</f>
        <v>2</v>
      </c>
      <c r="B5" s="38" t="str">
        <f>'法人一覧(25)'!B5</f>
        <v>内閣府</v>
      </c>
      <c r="C5" s="38" t="str">
        <f>'法人一覧(25)'!C5</f>
        <v>北方領土問題対策協会</v>
      </c>
      <c r="D5" s="66">
        <v>2</v>
      </c>
      <c r="E5" s="4" t="s">
        <v>315</v>
      </c>
      <c r="F5" s="66" t="s">
        <v>313</v>
      </c>
      <c r="G5" s="67" t="s">
        <v>313</v>
      </c>
    </row>
    <row r="6" spans="1:7" ht="55.2" customHeight="1">
      <c r="A6" s="26">
        <f>'法人一覧(25)'!A6</f>
        <v>3</v>
      </c>
      <c r="B6" s="38" t="str">
        <f>'法人一覧(25)'!B6</f>
        <v>消費者庁</v>
      </c>
      <c r="C6" s="38" t="str">
        <f>'法人一覧(25)'!C6</f>
        <v>国民生活センター</v>
      </c>
      <c r="D6" s="50" t="s">
        <v>233</v>
      </c>
      <c r="E6" s="50" t="s">
        <v>233</v>
      </c>
      <c r="F6" s="113">
        <v>7</v>
      </c>
      <c r="G6" s="4" t="s">
        <v>270</v>
      </c>
    </row>
    <row r="7" spans="1:7" ht="117.6" customHeight="1">
      <c r="A7" s="26">
        <f>'法人一覧(25)'!A7</f>
        <v>4</v>
      </c>
      <c r="B7" s="38" t="str">
        <f>'法人一覧(25)'!B7</f>
        <v>総務省</v>
      </c>
      <c r="C7" s="38" t="str">
        <f>'法人一覧(25)'!C7</f>
        <v>情報通信研究機構</v>
      </c>
      <c r="D7" s="80">
        <v>4</v>
      </c>
      <c r="E7" s="79" t="s">
        <v>316</v>
      </c>
      <c r="F7" s="113">
        <v>9</v>
      </c>
      <c r="G7" s="79" t="s">
        <v>318</v>
      </c>
    </row>
    <row r="8" spans="1:7">
      <c r="A8" s="26">
        <f>'法人一覧(25)'!A8</f>
        <v>5</v>
      </c>
      <c r="B8" s="38" t="str">
        <f>'法人一覧(25)'!B8</f>
        <v>総務省</v>
      </c>
      <c r="C8" s="38" t="str">
        <f>'法人一覧(25)'!C8</f>
        <v>統計センター</v>
      </c>
      <c r="D8" s="66" t="s">
        <v>313</v>
      </c>
      <c r="E8" s="67" t="s">
        <v>313</v>
      </c>
      <c r="F8" s="113" t="s">
        <v>575</v>
      </c>
      <c r="G8" s="67" t="s">
        <v>313</v>
      </c>
    </row>
    <row r="9" spans="1:7" ht="18" customHeight="1">
      <c r="A9" s="26">
        <f>'法人一覧(25)'!A9</f>
        <v>6</v>
      </c>
      <c r="B9" s="38" t="str">
        <f>'法人一覧(25)'!B9</f>
        <v>総務省</v>
      </c>
      <c r="C9" s="38" t="str">
        <f>'法人一覧(25)'!C9</f>
        <v>郵便貯金・簡易生命保険管理機構</v>
      </c>
      <c r="D9" s="80">
        <v>2</v>
      </c>
      <c r="E9" s="79" t="s">
        <v>317</v>
      </c>
      <c r="F9" s="113" t="s">
        <v>575</v>
      </c>
      <c r="G9" s="67" t="s">
        <v>313</v>
      </c>
    </row>
    <row r="10" spans="1:7" ht="55.8" customHeight="1">
      <c r="A10" s="26">
        <f>'法人一覧(25)'!A10</f>
        <v>7</v>
      </c>
      <c r="B10" s="38" t="str">
        <f>'法人一覧(25)'!B10</f>
        <v>外務省</v>
      </c>
      <c r="C10" s="38" t="str">
        <f>'法人一覧(25)'!C10</f>
        <v>国際協力機構</v>
      </c>
      <c r="D10" s="61">
        <v>2</v>
      </c>
      <c r="E10" s="4" t="s">
        <v>290</v>
      </c>
      <c r="F10" s="113">
        <v>9</v>
      </c>
      <c r="G10" s="4" t="s">
        <v>291</v>
      </c>
    </row>
    <row r="11" spans="1:7" ht="85.95" customHeight="1">
      <c r="A11" s="26">
        <f>'法人一覧(25)'!A11</f>
        <v>8</v>
      </c>
      <c r="B11" s="38" t="str">
        <f>'法人一覧(25)'!B11</f>
        <v>外務省</v>
      </c>
      <c r="C11" s="38" t="str">
        <f>'法人一覧(25)'!C11</f>
        <v>国際交流基金</v>
      </c>
      <c r="D11" s="62" t="s">
        <v>298</v>
      </c>
      <c r="E11" s="62" t="s">
        <v>298</v>
      </c>
      <c r="F11" s="113">
        <v>7</v>
      </c>
      <c r="G11" s="4" t="s">
        <v>299</v>
      </c>
    </row>
    <row r="12" spans="1:7">
      <c r="A12" s="26">
        <f>'法人一覧(25)'!A12</f>
        <v>9</v>
      </c>
      <c r="B12" s="38" t="str">
        <f>'法人一覧(25)'!B12</f>
        <v>財務省</v>
      </c>
      <c r="C12" s="38" t="str">
        <f>'法人一覧(25)'!C12</f>
        <v>酒類総合研究所</v>
      </c>
      <c r="D12" s="66" t="s">
        <v>313</v>
      </c>
      <c r="E12" s="67" t="s">
        <v>313</v>
      </c>
      <c r="F12" s="113" t="s">
        <v>575</v>
      </c>
      <c r="G12" s="67" t="s">
        <v>313</v>
      </c>
    </row>
    <row r="13" spans="1:7" ht="18.600000000000001" customHeight="1">
      <c r="A13" s="26">
        <f>'法人一覧(25)'!A13</f>
        <v>10</v>
      </c>
      <c r="B13" s="38" t="str">
        <f>'法人一覧(25)'!B13</f>
        <v>財務省</v>
      </c>
      <c r="C13" s="38" t="str">
        <f>'法人一覧(25)'!C13</f>
        <v>造幣局</v>
      </c>
      <c r="D13" s="66" t="s">
        <v>313</v>
      </c>
      <c r="E13" s="67" t="s">
        <v>313</v>
      </c>
      <c r="F13" s="113">
        <v>2</v>
      </c>
      <c r="G13" s="4" t="s">
        <v>319</v>
      </c>
    </row>
    <row r="14" spans="1:7" ht="19.8" customHeight="1">
      <c r="A14" s="26">
        <f>'法人一覧(25)'!A14</f>
        <v>11</v>
      </c>
      <c r="B14" s="38" t="str">
        <f>'法人一覧(25)'!B14</f>
        <v>財務省</v>
      </c>
      <c r="C14" s="38" t="str">
        <f>'法人一覧(25)'!C14</f>
        <v>国立印刷局</v>
      </c>
      <c r="D14" s="66" t="s">
        <v>313</v>
      </c>
      <c r="E14" s="67" t="s">
        <v>313</v>
      </c>
      <c r="F14" s="113">
        <v>2</v>
      </c>
      <c r="G14" s="57" t="s">
        <v>449</v>
      </c>
    </row>
    <row r="15" spans="1:7" ht="31.8" customHeight="1">
      <c r="A15" s="26">
        <f>'法人一覧(25)'!A15</f>
        <v>12</v>
      </c>
      <c r="B15" s="38" t="str">
        <f>'法人一覧(25)'!B15</f>
        <v>財務省</v>
      </c>
      <c r="C15" s="38" t="str">
        <f>'法人一覧(25)'!C15</f>
        <v>日本万国博覧会記念機構</v>
      </c>
      <c r="D15" s="80">
        <v>2</v>
      </c>
      <c r="E15" s="79" t="s">
        <v>320</v>
      </c>
      <c r="F15" s="113" t="s">
        <v>575</v>
      </c>
      <c r="G15" s="67" t="s">
        <v>313</v>
      </c>
    </row>
    <row r="16" spans="1:7" ht="34.200000000000003" customHeight="1">
      <c r="A16" s="26">
        <f>'法人一覧(25)'!A16</f>
        <v>13</v>
      </c>
      <c r="B16" s="38" t="str">
        <f>'法人一覧(25)'!B16</f>
        <v>文部科学省</v>
      </c>
      <c r="C16" s="38" t="str">
        <f>'法人一覧(25)'!C16</f>
        <v>国立特別支援教育総合研究所</v>
      </c>
      <c r="D16" s="60" t="s">
        <v>353</v>
      </c>
      <c r="E16" s="88" t="s">
        <v>353</v>
      </c>
      <c r="F16" s="113">
        <v>4</v>
      </c>
      <c r="G16" s="57" t="s">
        <v>570</v>
      </c>
    </row>
    <row r="17" spans="1:7">
      <c r="A17" s="26">
        <f>'法人一覧(25)'!A17</f>
        <v>14</v>
      </c>
      <c r="B17" s="38" t="str">
        <f>'法人一覧(25)'!B17</f>
        <v>文部科学省</v>
      </c>
      <c r="C17" s="38" t="str">
        <f>'法人一覧(25)'!C17</f>
        <v>大学入試センター</v>
      </c>
      <c r="D17" s="60" t="s">
        <v>353</v>
      </c>
      <c r="E17" s="88" t="s">
        <v>353</v>
      </c>
      <c r="F17" s="113" t="s">
        <v>575</v>
      </c>
      <c r="G17" s="88" t="s">
        <v>353</v>
      </c>
    </row>
    <row r="18" spans="1:7">
      <c r="A18" s="26">
        <f>'法人一覧(25)'!A18</f>
        <v>15</v>
      </c>
      <c r="B18" s="38" t="str">
        <f>'法人一覧(25)'!B18</f>
        <v>文部科学省</v>
      </c>
      <c r="C18" s="38" t="str">
        <f>'法人一覧(25)'!C18</f>
        <v>国立青少年教育振興機構</v>
      </c>
      <c r="D18" s="60" t="s">
        <v>353</v>
      </c>
      <c r="E18" s="88" t="s">
        <v>353</v>
      </c>
      <c r="F18" s="113">
        <v>2</v>
      </c>
      <c r="G18" s="57" t="s">
        <v>354</v>
      </c>
    </row>
    <row r="19" spans="1:7" ht="27.6" customHeight="1">
      <c r="A19" s="26">
        <f>'法人一覧(25)'!A19</f>
        <v>16</v>
      </c>
      <c r="B19" s="38" t="str">
        <f>'法人一覧(25)'!B19</f>
        <v>文部科学省</v>
      </c>
      <c r="C19" s="38" t="str">
        <f>'法人一覧(25)'!C19</f>
        <v>国立女性教育会館</v>
      </c>
      <c r="D19" s="60" t="s">
        <v>353</v>
      </c>
      <c r="E19" s="88" t="s">
        <v>353</v>
      </c>
      <c r="F19" s="113">
        <v>4</v>
      </c>
      <c r="G19" s="57" t="s">
        <v>418</v>
      </c>
    </row>
    <row r="20" spans="1:7" ht="21.6" customHeight="1">
      <c r="A20" s="26">
        <f>'法人一覧(25)'!A20</f>
        <v>17</v>
      </c>
      <c r="B20" s="38" t="str">
        <f>'法人一覧(25)'!B20</f>
        <v>文部科学省</v>
      </c>
      <c r="C20" s="38" t="str">
        <f>'法人一覧(25)'!C20</f>
        <v>国立科学博物館</v>
      </c>
      <c r="D20" s="60" t="s">
        <v>353</v>
      </c>
      <c r="E20" s="88" t="s">
        <v>353</v>
      </c>
      <c r="F20" s="113">
        <v>3</v>
      </c>
      <c r="G20" s="89" t="s">
        <v>355</v>
      </c>
    </row>
    <row r="21" spans="1:7" ht="34.799999999999997" customHeight="1">
      <c r="A21" s="26">
        <f>'法人一覧(25)'!A21</f>
        <v>18</v>
      </c>
      <c r="B21" s="38" t="str">
        <f>'法人一覧(25)'!B21</f>
        <v>文部科学省</v>
      </c>
      <c r="C21" s="38" t="str">
        <f>'法人一覧(25)'!C21</f>
        <v>物質・材料研究機構</v>
      </c>
      <c r="D21" s="60" t="s">
        <v>353</v>
      </c>
      <c r="E21" s="88" t="s">
        <v>353</v>
      </c>
      <c r="F21" s="113">
        <v>4</v>
      </c>
      <c r="G21" s="57" t="s">
        <v>356</v>
      </c>
    </row>
    <row r="22" spans="1:7" ht="34.799999999999997" customHeight="1">
      <c r="A22" s="26">
        <f>'法人一覧(25)'!A22</f>
        <v>19</v>
      </c>
      <c r="B22" s="38" t="str">
        <f>'法人一覧(25)'!B22</f>
        <v>文部科学省</v>
      </c>
      <c r="C22" s="38" t="str">
        <f>'法人一覧(25)'!C22</f>
        <v>防災科学技術研究所</v>
      </c>
      <c r="D22" s="60" t="s">
        <v>353</v>
      </c>
      <c r="E22" s="88" t="s">
        <v>353</v>
      </c>
      <c r="F22" s="113">
        <v>3</v>
      </c>
      <c r="G22" s="57" t="s">
        <v>560</v>
      </c>
    </row>
    <row r="23" spans="1:7" ht="48.6" customHeight="1">
      <c r="A23" s="26">
        <f>'法人一覧(25)'!A23</f>
        <v>20</v>
      </c>
      <c r="B23" s="38" t="str">
        <f>'法人一覧(25)'!B23</f>
        <v>文部科学省</v>
      </c>
      <c r="C23" s="38" t="str">
        <f>'法人一覧(25)'!C23</f>
        <v>放射線医学総合研究所</v>
      </c>
      <c r="D23" s="60" t="s">
        <v>353</v>
      </c>
      <c r="E23" s="88" t="s">
        <v>353</v>
      </c>
      <c r="F23" s="113">
        <v>5</v>
      </c>
      <c r="G23" s="57" t="s">
        <v>357</v>
      </c>
    </row>
    <row r="24" spans="1:7" ht="37.200000000000003" customHeight="1">
      <c r="A24" s="26">
        <f>'法人一覧(25)'!A24</f>
        <v>21</v>
      </c>
      <c r="B24" s="38" t="str">
        <f>'法人一覧(25)'!B24</f>
        <v>文部科学省</v>
      </c>
      <c r="C24" s="38" t="str">
        <f>'法人一覧(25)'!C24</f>
        <v>国立美術館</v>
      </c>
      <c r="D24" s="60" t="s">
        <v>353</v>
      </c>
      <c r="E24" s="88" t="s">
        <v>353</v>
      </c>
      <c r="F24" s="113">
        <v>5</v>
      </c>
      <c r="G24" s="89" t="s">
        <v>552</v>
      </c>
    </row>
    <row r="25" spans="1:7" ht="48" customHeight="1">
      <c r="A25" s="26">
        <f>'法人一覧(25)'!A25</f>
        <v>22</v>
      </c>
      <c r="B25" s="38" t="str">
        <f>'法人一覧(25)'!B25</f>
        <v>文部科学省</v>
      </c>
      <c r="C25" s="38" t="str">
        <f>'法人一覧(25)'!C25</f>
        <v>国立文化財機構</v>
      </c>
      <c r="D25" s="60" t="s">
        <v>353</v>
      </c>
      <c r="E25" s="88" t="s">
        <v>353</v>
      </c>
      <c r="F25" s="113">
        <v>7</v>
      </c>
      <c r="G25" s="91" t="s">
        <v>555</v>
      </c>
    </row>
    <row r="26" spans="1:7">
      <c r="A26" s="26">
        <f>'法人一覧(25)'!A26</f>
        <v>23</v>
      </c>
      <c r="B26" s="38" t="str">
        <f>'法人一覧(25)'!B26</f>
        <v>文部科学省</v>
      </c>
      <c r="C26" s="38" t="str">
        <f>'法人一覧(25)'!C26</f>
        <v>教員研修センター</v>
      </c>
      <c r="D26" s="60" t="s">
        <v>353</v>
      </c>
      <c r="E26" s="88" t="s">
        <v>353</v>
      </c>
      <c r="F26" s="113" t="s">
        <v>575</v>
      </c>
      <c r="G26" s="88" t="s">
        <v>353</v>
      </c>
    </row>
    <row r="27" spans="1:7" ht="45" customHeight="1">
      <c r="A27" s="26">
        <f>'法人一覧(25)'!A27</f>
        <v>24</v>
      </c>
      <c r="B27" s="38" t="str">
        <f>'法人一覧(25)'!B27</f>
        <v>文部科学省</v>
      </c>
      <c r="C27" s="38" t="str">
        <f>'法人一覧(25)'!C27</f>
        <v>科学技術振興機構</v>
      </c>
      <c r="D27" s="60">
        <v>3</v>
      </c>
      <c r="E27" s="57" t="s">
        <v>358</v>
      </c>
      <c r="F27" s="113">
        <v>5</v>
      </c>
      <c r="G27" s="57" t="s">
        <v>469</v>
      </c>
    </row>
    <row r="28" spans="1:7" ht="61.2" customHeight="1">
      <c r="A28" s="26">
        <f>'法人一覧(25)'!A28</f>
        <v>25</v>
      </c>
      <c r="B28" s="38" t="str">
        <f>'法人一覧(25)'!B28</f>
        <v>文部科学省</v>
      </c>
      <c r="C28" s="38" t="str">
        <f>'法人一覧(25)'!C28</f>
        <v>日本学術振興会</v>
      </c>
      <c r="D28" s="60">
        <v>4</v>
      </c>
      <c r="E28" s="57" t="s">
        <v>359</v>
      </c>
      <c r="F28" s="113">
        <v>4</v>
      </c>
      <c r="G28" s="57" t="s">
        <v>360</v>
      </c>
    </row>
    <row r="29" spans="1:7" ht="34.200000000000003" customHeight="1">
      <c r="A29" s="26">
        <f>'法人一覧(25)'!A29</f>
        <v>26</v>
      </c>
      <c r="B29" s="38" t="str">
        <f>'法人一覧(25)'!B29</f>
        <v>文部科学省</v>
      </c>
      <c r="C29" s="38" t="str">
        <f>'法人一覧(25)'!C29</f>
        <v>理化学研究所</v>
      </c>
      <c r="D29" s="60" t="s">
        <v>353</v>
      </c>
      <c r="E29" s="88" t="s">
        <v>353</v>
      </c>
      <c r="F29" s="113">
        <v>4</v>
      </c>
      <c r="G29" s="89" t="s">
        <v>361</v>
      </c>
    </row>
    <row r="30" spans="1:7" ht="58.2" customHeight="1">
      <c r="A30" s="26">
        <f>'法人一覧(25)'!A30</f>
        <v>27</v>
      </c>
      <c r="B30" s="38" t="str">
        <f>'法人一覧(25)'!B30</f>
        <v>文部科学省</v>
      </c>
      <c r="C30" s="38" t="str">
        <f>'法人一覧(25)'!C30</f>
        <v>宇宙航空研究開発機構</v>
      </c>
      <c r="D30" s="60" t="s">
        <v>353</v>
      </c>
      <c r="E30" s="88" t="s">
        <v>353</v>
      </c>
      <c r="F30" s="113">
        <v>8</v>
      </c>
      <c r="G30" s="57" t="s">
        <v>579</v>
      </c>
    </row>
    <row r="31" spans="1:7" ht="63.6" customHeight="1">
      <c r="A31" s="26">
        <f>'法人一覧(25)'!A31</f>
        <v>28</v>
      </c>
      <c r="B31" s="38" t="str">
        <f>'法人一覧(25)'!B31</f>
        <v>文部科学省</v>
      </c>
      <c r="C31" s="38" t="str">
        <f>'法人一覧(25)'!C31</f>
        <v>日本スポーツ振興センター</v>
      </c>
      <c r="D31" s="60">
        <v>5</v>
      </c>
      <c r="E31" s="57" t="s">
        <v>362</v>
      </c>
      <c r="F31" s="113">
        <v>6</v>
      </c>
      <c r="G31" s="57" t="s">
        <v>572</v>
      </c>
    </row>
    <row r="32" spans="1:7" ht="61.2" customHeight="1">
      <c r="A32" s="26">
        <f>'法人一覧(25)'!A32</f>
        <v>29</v>
      </c>
      <c r="B32" s="38" t="str">
        <f>'法人一覧(25)'!B32</f>
        <v>文部科学省</v>
      </c>
      <c r="C32" s="38" t="str">
        <f>'法人一覧(25)'!C32</f>
        <v>日本芸術文化振興会</v>
      </c>
      <c r="D32" s="60" t="s">
        <v>353</v>
      </c>
      <c r="E32" s="88" t="s">
        <v>353</v>
      </c>
      <c r="F32" s="113" t="s">
        <v>576</v>
      </c>
      <c r="G32" s="92" t="s">
        <v>558</v>
      </c>
    </row>
    <row r="33" spans="1:7">
      <c r="A33" s="26">
        <f>'法人一覧(25)'!A33</f>
        <v>30</v>
      </c>
      <c r="B33" s="38" t="str">
        <f>'法人一覧(25)'!B33</f>
        <v>文部科学省</v>
      </c>
      <c r="C33" s="38" t="str">
        <f>'法人一覧(25)'!C33</f>
        <v>日本学生支援機構</v>
      </c>
      <c r="D33" s="60" t="s">
        <v>353</v>
      </c>
      <c r="E33" s="88" t="s">
        <v>353</v>
      </c>
      <c r="F33" s="113" t="s">
        <v>575</v>
      </c>
      <c r="G33" s="88" t="s">
        <v>353</v>
      </c>
    </row>
    <row r="34" spans="1:7" ht="19.8" customHeight="1">
      <c r="A34" s="26">
        <f>'法人一覧(25)'!A34</f>
        <v>31</v>
      </c>
      <c r="B34" s="38" t="str">
        <f>'法人一覧(25)'!B34</f>
        <v>文部科学省</v>
      </c>
      <c r="C34" s="38" t="str">
        <f>'法人一覧(25)'!C34</f>
        <v>海洋研究開発機構</v>
      </c>
      <c r="D34" s="60" t="s">
        <v>353</v>
      </c>
      <c r="E34" s="88" t="s">
        <v>353</v>
      </c>
      <c r="F34" s="113">
        <v>2</v>
      </c>
      <c r="G34" s="57" t="s">
        <v>419</v>
      </c>
    </row>
    <row r="35" spans="1:7">
      <c r="A35" s="26">
        <f>'法人一覧(25)'!A35</f>
        <v>32</v>
      </c>
      <c r="B35" s="38" t="str">
        <f>'法人一覧(25)'!B35</f>
        <v>文部科学省</v>
      </c>
      <c r="C35" s="38" t="str">
        <f>'法人一覧(25)'!C35</f>
        <v>国立高等専門学校機構</v>
      </c>
      <c r="D35" s="60" t="s">
        <v>353</v>
      </c>
      <c r="E35" s="88" t="s">
        <v>353</v>
      </c>
      <c r="F35" s="113" t="s">
        <v>575</v>
      </c>
      <c r="G35" s="88" t="s">
        <v>353</v>
      </c>
    </row>
    <row r="36" spans="1:7" ht="47.4" customHeight="1">
      <c r="A36" s="26">
        <f>'法人一覧(25)'!A36</f>
        <v>33</v>
      </c>
      <c r="B36" s="38" t="str">
        <f>'法人一覧(25)'!B36</f>
        <v>文部科学省</v>
      </c>
      <c r="C36" s="38" t="str">
        <f>'法人一覧(25)'!C36</f>
        <v>大学評価・学位授与機構</v>
      </c>
      <c r="D36" s="60" t="s">
        <v>353</v>
      </c>
      <c r="E36" s="88" t="s">
        <v>353</v>
      </c>
      <c r="F36" s="113">
        <v>5</v>
      </c>
      <c r="G36" s="57" t="s">
        <v>562</v>
      </c>
    </row>
    <row r="37" spans="1:7" ht="50.4" customHeight="1">
      <c r="A37" s="26">
        <f>'法人一覧(25)'!A37</f>
        <v>34</v>
      </c>
      <c r="B37" s="38" t="str">
        <f>'法人一覧(25)'!B37</f>
        <v>文部科学省</v>
      </c>
      <c r="C37" s="38" t="str">
        <f>'法人一覧(25)'!C37</f>
        <v>国立大学財務・経営センター</v>
      </c>
      <c r="D37" s="60">
        <v>2</v>
      </c>
      <c r="E37" s="57" t="s">
        <v>363</v>
      </c>
      <c r="F37" s="113">
        <v>1</v>
      </c>
      <c r="G37" s="57" t="s">
        <v>569</v>
      </c>
    </row>
    <row r="38" spans="1:7" ht="164.4" customHeight="1">
      <c r="A38" s="26">
        <f>'法人一覧(25)'!A38</f>
        <v>35</v>
      </c>
      <c r="B38" s="38" t="str">
        <f>'法人一覧(25)'!B38</f>
        <v>文部科学省</v>
      </c>
      <c r="C38" s="38" t="str">
        <f>'法人一覧(25)'!C38</f>
        <v>日本原子力研究開発機構</v>
      </c>
      <c r="D38" s="60">
        <v>3</v>
      </c>
      <c r="E38" s="57" t="s">
        <v>364</v>
      </c>
      <c r="F38" s="113">
        <v>9</v>
      </c>
      <c r="G38" s="57" t="s">
        <v>571</v>
      </c>
    </row>
    <row r="39" spans="1:7">
      <c r="A39" s="26">
        <f>'法人一覧(25)'!A39</f>
        <v>36</v>
      </c>
      <c r="B39" s="38" t="str">
        <f>'法人一覧(25)'!B39</f>
        <v>厚生労働省</v>
      </c>
      <c r="C39" s="38" t="str">
        <f>'法人一覧(25)'!C39</f>
        <v>国立健康・栄養研究所</v>
      </c>
      <c r="D39" s="60" t="s">
        <v>353</v>
      </c>
      <c r="E39" s="88" t="s">
        <v>353</v>
      </c>
      <c r="F39" s="113" t="s">
        <v>575</v>
      </c>
      <c r="G39" s="88" t="s">
        <v>353</v>
      </c>
    </row>
    <row r="40" spans="1:7" ht="18.600000000000001" customHeight="1">
      <c r="A40" s="26">
        <f>'法人一覧(25)'!A40</f>
        <v>37</v>
      </c>
      <c r="B40" s="38" t="str">
        <f>'法人一覧(25)'!B40</f>
        <v>厚生労働省</v>
      </c>
      <c r="C40" s="38" t="str">
        <f>'法人一覧(25)'!C40</f>
        <v>労働安全衛生総合研究所</v>
      </c>
      <c r="D40" s="60">
        <v>2</v>
      </c>
      <c r="E40" s="57" t="s">
        <v>365</v>
      </c>
      <c r="F40" s="113" t="s">
        <v>575</v>
      </c>
      <c r="G40" s="88" t="s">
        <v>353</v>
      </c>
    </row>
    <row r="41" spans="1:7" ht="52.8">
      <c r="A41" s="26">
        <f>'法人一覧(25)'!A41</f>
        <v>38</v>
      </c>
      <c r="B41" s="38" t="str">
        <f>'法人一覧(25)'!B41</f>
        <v>厚生労働省</v>
      </c>
      <c r="C41" s="38" t="str">
        <f>'法人一覧(25)'!C41</f>
        <v>勤労者退職金共済機構</v>
      </c>
      <c r="D41" s="60">
        <v>6</v>
      </c>
      <c r="E41" s="57" t="s">
        <v>366</v>
      </c>
      <c r="F41" s="113">
        <v>5</v>
      </c>
      <c r="G41" s="57" t="s">
        <v>563</v>
      </c>
    </row>
    <row r="42" spans="1:7" ht="70.2" customHeight="1">
      <c r="A42" s="26">
        <f>'法人一覧(25)'!A42</f>
        <v>39</v>
      </c>
      <c r="B42" s="38" t="str">
        <f>'法人一覧(25)'!B42</f>
        <v>厚生労働省</v>
      </c>
      <c r="C42" s="38" t="str">
        <f>'法人一覧(25)'!C42</f>
        <v>高齢・障害・求職者雇用支援機構</v>
      </c>
      <c r="D42" s="60">
        <v>6</v>
      </c>
      <c r="E42" s="57" t="s">
        <v>367</v>
      </c>
      <c r="F42" s="113">
        <v>7</v>
      </c>
      <c r="G42" s="57" t="s">
        <v>564</v>
      </c>
    </row>
    <row r="43" spans="1:7" ht="105.6" customHeight="1">
      <c r="A43" s="26">
        <f>'法人一覧(25)'!A43</f>
        <v>40</v>
      </c>
      <c r="B43" s="38" t="str">
        <f>'法人一覧(25)'!B43</f>
        <v>厚生労働省</v>
      </c>
      <c r="C43" s="38" t="str">
        <f>'法人一覧(25)'!C43</f>
        <v>福祉医療機構</v>
      </c>
      <c r="D43" s="60">
        <v>7</v>
      </c>
      <c r="E43" s="57" t="s">
        <v>368</v>
      </c>
      <c r="F43" s="113">
        <v>13</v>
      </c>
      <c r="G43" s="57" t="s">
        <v>566</v>
      </c>
    </row>
    <row r="44" spans="1:7" ht="58.8" customHeight="1">
      <c r="A44" s="26">
        <f>'法人一覧(25)'!A44</f>
        <v>41</v>
      </c>
      <c r="B44" s="38" t="str">
        <f>'法人一覧(25)'!B44</f>
        <v>厚生労働省</v>
      </c>
      <c r="C44" s="38" t="str">
        <f>'法人一覧(25)'!C44</f>
        <v>国立重度知的障害者総合施設のぞみの園</v>
      </c>
      <c r="D44" s="60" t="s">
        <v>353</v>
      </c>
      <c r="E44" s="88" t="s">
        <v>353</v>
      </c>
      <c r="F44" s="113">
        <v>7</v>
      </c>
      <c r="G44" s="57" t="s">
        <v>568</v>
      </c>
    </row>
    <row r="45" spans="1:7" ht="20.399999999999999" customHeight="1">
      <c r="A45" s="26">
        <f>'法人一覧(25)'!A45</f>
        <v>42</v>
      </c>
      <c r="B45" s="38" t="str">
        <f>'法人一覧(25)'!B45</f>
        <v>厚生労働省</v>
      </c>
      <c r="C45" s="38" t="str">
        <f>'法人一覧(25)'!C45</f>
        <v>労働政策研究・研修機構</v>
      </c>
      <c r="D45" s="60">
        <v>3</v>
      </c>
      <c r="E45" s="57" t="s">
        <v>369</v>
      </c>
      <c r="F45" s="113">
        <v>3</v>
      </c>
      <c r="G45" s="57" t="s">
        <v>369</v>
      </c>
    </row>
    <row r="46" spans="1:7" ht="56.4" customHeight="1">
      <c r="A46" s="26">
        <f>'法人一覧(25)'!A46</f>
        <v>43</v>
      </c>
      <c r="B46" s="38" t="str">
        <f>'法人一覧(25)'!B46</f>
        <v>厚生労働省</v>
      </c>
      <c r="C46" s="38" t="str">
        <f>'法人一覧(25)'!C46</f>
        <v>労働者健康福祉機構</v>
      </c>
      <c r="D46" s="60" t="s">
        <v>353</v>
      </c>
      <c r="E46" s="88" t="s">
        <v>353</v>
      </c>
      <c r="F46" s="113">
        <v>8</v>
      </c>
      <c r="G46" s="57" t="s">
        <v>370</v>
      </c>
    </row>
    <row r="47" spans="1:7" ht="21" customHeight="1">
      <c r="A47" s="26">
        <f>'法人一覧(25)'!A47</f>
        <v>44</v>
      </c>
      <c r="B47" s="38" t="str">
        <f>'法人一覧(25)'!B47</f>
        <v>厚生労働省</v>
      </c>
      <c r="C47" s="38" t="str">
        <f>'法人一覧(25)'!C47</f>
        <v>国立病院機構</v>
      </c>
      <c r="D47" s="60" t="s">
        <v>353</v>
      </c>
      <c r="E47" s="88" t="s">
        <v>353</v>
      </c>
      <c r="F47" s="113">
        <v>3</v>
      </c>
      <c r="G47" s="93" t="s">
        <v>371</v>
      </c>
    </row>
    <row r="48" spans="1:7" ht="46.2" customHeight="1">
      <c r="A48" s="26">
        <f>'法人一覧(25)'!A48</f>
        <v>45</v>
      </c>
      <c r="B48" s="38" t="str">
        <f>'法人一覧(25)'!B48</f>
        <v>厚生労働省</v>
      </c>
      <c r="C48" s="38" t="str">
        <f>'法人一覧(25)'!C48</f>
        <v>医薬品医療機器総合機構</v>
      </c>
      <c r="D48" s="60">
        <v>6</v>
      </c>
      <c r="E48" s="57" t="s">
        <v>372</v>
      </c>
      <c r="F48" s="113">
        <v>7</v>
      </c>
      <c r="G48" s="57" t="s">
        <v>567</v>
      </c>
    </row>
    <row r="49" spans="1:7" ht="47.4" customHeight="1">
      <c r="A49" s="26">
        <f>'法人一覧(25)'!A49</f>
        <v>46</v>
      </c>
      <c r="B49" s="38" t="str">
        <f>'法人一覧(25)'!B49</f>
        <v>厚生労働省</v>
      </c>
      <c r="C49" s="38" t="str">
        <f>'法人一覧(25)'!C49</f>
        <v>医薬基盤研究所</v>
      </c>
      <c r="D49" s="60">
        <v>3</v>
      </c>
      <c r="E49" s="57" t="s">
        <v>373</v>
      </c>
      <c r="F49" s="113">
        <v>6</v>
      </c>
      <c r="G49" s="57" t="s">
        <v>550</v>
      </c>
    </row>
    <row r="50" spans="1:7" ht="20.399999999999999" customHeight="1">
      <c r="A50" s="26">
        <f>'法人一覧(25)'!A50</f>
        <v>47</v>
      </c>
      <c r="B50" s="38" t="str">
        <f>'法人一覧(25)'!B50</f>
        <v>厚生労働省</v>
      </c>
      <c r="C50" s="38" t="str">
        <f>'法人一覧(25)'!C50</f>
        <v>年金・健康保険福祉施設整理機構</v>
      </c>
      <c r="D50" s="60">
        <v>3</v>
      </c>
      <c r="E50" s="57" t="s">
        <v>374</v>
      </c>
      <c r="F50" s="113" t="s">
        <v>575</v>
      </c>
      <c r="G50" s="88" t="s">
        <v>353</v>
      </c>
    </row>
    <row r="51" spans="1:7" ht="21" customHeight="1">
      <c r="A51" s="26">
        <f>'法人一覧(25)'!A51</f>
        <v>48</v>
      </c>
      <c r="B51" s="38" t="str">
        <f>'法人一覧(25)'!B51</f>
        <v>厚生労働省</v>
      </c>
      <c r="C51" s="38" t="str">
        <f>'法人一覧(25)'!C51</f>
        <v>年金積立金管理運用</v>
      </c>
      <c r="D51" s="60">
        <v>3</v>
      </c>
      <c r="E51" s="57" t="s">
        <v>375</v>
      </c>
      <c r="F51" s="113" t="s">
        <v>575</v>
      </c>
      <c r="G51" s="88" t="s">
        <v>353</v>
      </c>
    </row>
    <row r="52" spans="1:7" ht="33" customHeight="1">
      <c r="A52" s="26">
        <f>'法人一覧(25)'!A52</f>
        <v>49</v>
      </c>
      <c r="B52" s="38" t="str">
        <f>'法人一覧(25)'!B52</f>
        <v>厚生労働省</v>
      </c>
      <c r="C52" s="38" t="str">
        <f>'法人一覧(25)'!C52</f>
        <v>国立がん研究センター</v>
      </c>
      <c r="D52" s="60" t="s">
        <v>353</v>
      </c>
      <c r="E52" s="88" t="s">
        <v>353</v>
      </c>
      <c r="F52" s="113">
        <v>5</v>
      </c>
      <c r="G52" s="94" t="s">
        <v>376</v>
      </c>
    </row>
    <row r="53" spans="1:7" ht="33" customHeight="1">
      <c r="A53" s="26">
        <f>'法人一覧(25)'!A53</f>
        <v>50</v>
      </c>
      <c r="B53" s="38" t="str">
        <f>'法人一覧(25)'!B53</f>
        <v>厚生労働省</v>
      </c>
      <c r="C53" s="38" t="str">
        <f>'法人一覧(25)'!C53</f>
        <v>国立循環器病研究センター</v>
      </c>
      <c r="D53" s="60" t="s">
        <v>353</v>
      </c>
      <c r="E53" s="88" t="s">
        <v>353</v>
      </c>
      <c r="F53" s="113">
        <v>5</v>
      </c>
      <c r="G53" s="94" t="s">
        <v>376</v>
      </c>
    </row>
    <row r="54" spans="1:7" ht="31.2" customHeight="1">
      <c r="A54" s="26">
        <f>'法人一覧(25)'!A54</f>
        <v>51</v>
      </c>
      <c r="B54" s="38" t="str">
        <f>'法人一覧(25)'!B54</f>
        <v>厚生労働省</v>
      </c>
      <c r="C54" s="38" t="str">
        <f>'法人一覧(25)'!C54</f>
        <v>国立精神・神経医療研究センター</v>
      </c>
      <c r="D54" s="60" t="s">
        <v>353</v>
      </c>
      <c r="E54" s="88" t="s">
        <v>353</v>
      </c>
      <c r="F54" s="113">
        <v>5</v>
      </c>
      <c r="G54" s="94" t="s">
        <v>376</v>
      </c>
    </row>
    <row r="55" spans="1:7" ht="47.4" customHeight="1">
      <c r="A55" s="26">
        <f>'法人一覧(25)'!A55</f>
        <v>52</v>
      </c>
      <c r="B55" s="38" t="str">
        <f>'法人一覧(25)'!B55</f>
        <v>厚生労働省</v>
      </c>
      <c r="C55" s="38" t="str">
        <f>'法人一覧(25)'!C55</f>
        <v>国立国際医療研究センター</v>
      </c>
      <c r="D55" s="60" t="s">
        <v>353</v>
      </c>
      <c r="E55" s="88" t="s">
        <v>353</v>
      </c>
      <c r="F55" s="113">
        <v>7</v>
      </c>
      <c r="G55" s="94" t="s">
        <v>377</v>
      </c>
    </row>
    <row r="56" spans="1:7" ht="33" customHeight="1">
      <c r="A56" s="26">
        <f>'法人一覧(25)'!A56</f>
        <v>53</v>
      </c>
      <c r="B56" s="38" t="str">
        <f>'法人一覧(25)'!B56</f>
        <v>厚生労働省</v>
      </c>
      <c r="C56" s="38" t="str">
        <f>'法人一覧(25)'!C56</f>
        <v>国立成育医療研究センター</v>
      </c>
      <c r="D56" s="60" t="s">
        <v>353</v>
      </c>
      <c r="E56" s="88" t="s">
        <v>353</v>
      </c>
      <c r="F56" s="113">
        <v>5</v>
      </c>
      <c r="G56" s="95" t="s">
        <v>378</v>
      </c>
    </row>
    <row r="57" spans="1:7" ht="34.200000000000003" customHeight="1">
      <c r="A57" s="26">
        <f>'法人一覧(25)'!A57</f>
        <v>54</v>
      </c>
      <c r="B57" s="38" t="str">
        <f>'法人一覧(25)'!B57</f>
        <v>厚生労働省</v>
      </c>
      <c r="C57" s="38" t="str">
        <f>'法人一覧(25)'!C57</f>
        <v>国立長寿医療研究センター</v>
      </c>
      <c r="D57" s="60" t="s">
        <v>353</v>
      </c>
      <c r="E57" s="88" t="s">
        <v>353</v>
      </c>
      <c r="F57" s="113">
        <v>5</v>
      </c>
      <c r="G57" s="95" t="s">
        <v>378</v>
      </c>
    </row>
    <row r="58" spans="1:7" ht="124.95" customHeight="1">
      <c r="A58" s="26">
        <f>'法人一覧(25)'!A58</f>
        <v>55</v>
      </c>
      <c r="B58" s="38" t="str">
        <f>'法人一覧(25)'!B58</f>
        <v>農林水産省</v>
      </c>
      <c r="C58" s="38" t="str">
        <f>'法人一覧(25)'!C58</f>
        <v>農林水産消費安全技術センター</v>
      </c>
      <c r="D58" s="55" t="s">
        <v>233</v>
      </c>
      <c r="E58" s="55" t="s">
        <v>233</v>
      </c>
      <c r="F58" s="113">
        <v>6</v>
      </c>
      <c r="G58" s="57" t="s">
        <v>275</v>
      </c>
    </row>
    <row r="59" spans="1:7" ht="34.799999999999997" customHeight="1">
      <c r="A59" s="26">
        <f>'法人一覧(25)'!A59</f>
        <v>56</v>
      </c>
      <c r="B59" s="38" t="str">
        <f>'法人一覧(25)'!B59</f>
        <v>農林水産省</v>
      </c>
      <c r="C59" s="38" t="str">
        <f>'法人一覧(25)'!C59</f>
        <v>種苗管理センター</v>
      </c>
      <c r="D59" s="64" t="s">
        <v>233</v>
      </c>
      <c r="E59" s="64" t="s">
        <v>233</v>
      </c>
      <c r="F59" s="113">
        <v>5</v>
      </c>
      <c r="G59" s="4" t="s">
        <v>436</v>
      </c>
    </row>
    <row r="60" spans="1:7" ht="39" customHeight="1">
      <c r="A60" s="26">
        <f>'法人一覧(25)'!A60</f>
        <v>57</v>
      </c>
      <c r="B60" s="38" t="str">
        <f>'法人一覧(25)'!B60</f>
        <v>農林水産省</v>
      </c>
      <c r="C60" s="38" t="str">
        <f>'法人一覧(25)'!C60</f>
        <v>家畜改良センター</v>
      </c>
      <c r="D60" s="48" t="s">
        <v>233</v>
      </c>
      <c r="E60" s="48" t="s">
        <v>233</v>
      </c>
      <c r="F60" s="113">
        <v>4</v>
      </c>
      <c r="G60" s="4" t="s">
        <v>259</v>
      </c>
    </row>
    <row r="61" spans="1:7">
      <c r="A61" s="26">
        <f>'法人一覧(25)'!A61</f>
        <v>58</v>
      </c>
      <c r="B61" s="38" t="str">
        <f>'法人一覧(25)'!B61</f>
        <v>農林水産省</v>
      </c>
      <c r="C61" s="38" t="str">
        <f>'法人一覧(25)'!C61</f>
        <v>水産大学校</v>
      </c>
      <c r="D61" s="64" t="s">
        <v>233</v>
      </c>
      <c r="E61" s="64" t="s">
        <v>233</v>
      </c>
      <c r="F61" s="113" t="s">
        <v>575</v>
      </c>
      <c r="G61" s="64" t="s">
        <v>233</v>
      </c>
    </row>
    <row r="62" spans="1:7" ht="183.6" customHeight="1">
      <c r="A62" s="26">
        <f>'法人一覧(25)'!A62</f>
        <v>59</v>
      </c>
      <c r="B62" s="38" t="str">
        <f>'法人一覧(25)'!B62</f>
        <v>農林水産省</v>
      </c>
      <c r="C62" s="38" t="str">
        <f>'法人一覧(25)'!C62</f>
        <v>農業・食品産業技術総合研究機構</v>
      </c>
      <c r="D62" s="64">
        <v>5</v>
      </c>
      <c r="E62" s="4" t="s">
        <v>304</v>
      </c>
      <c r="F62" s="113">
        <v>19</v>
      </c>
      <c r="G62" s="4" t="s">
        <v>439</v>
      </c>
    </row>
    <row r="63" spans="1:7">
      <c r="A63" s="26">
        <f>'法人一覧(25)'!A63</f>
        <v>60</v>
      </c>
      <c r="B63" s="38" t="str">
        <f>'法人一覧(25)'!B63</f>
        <v>農林水産省</v>
      </c>
      <c r="C63" s="38" t="str">
        <f>'法人一覧(25)'!C63</f>
        <v>農業生物資源研究所</v>
      </c>
      <c r="D63" s="64" t="s">
        <v>233</v>
      </c>
      <c r="E63" s="64" t="s">
        <v>233</v>
      </c>
      <c r="F63" s="113">
        <v>3</v>
      </c>
      <c r="G63" s="4" t="s">
        <v>305</v>
      </c>
    </row>
    <row r="64" spans="1:7">
      <c r="A64" s="26">
        <f>'法人一覧(25)'!A64</f>
        <v>61</v>
      </c>
      <c r="B64" s="38" t="str">
        <f>'法人一覧(25)'!B64</f>
        <v>農林水産省</v>
      </c>
      <c r="C64" s="38" t="str">
        <f>'法人一覧(25)'!C64</f>
        <v>農業環境技術研究所</v>
      </c>
      <c r="D64" s="64" t="s">
        <v>233</v>
      </c>
      <c r="E64" s="64" t="s">
        <v>233</v>
      </c>
      <c r="F64" s="113" t="s">
        <v>575</v>
      </c>
      <c r="G64" s="64" t="s">
        <v>233</v>
      </c>
    </row>
    <row r="65" spans="1:7" ht="62.4" customHeight="1">
      <c r="A65" s="26">
        <f>'法人一覧(25)'!A65</f>
        <v>62</v>
      </c>
      <c r="B65" s="38" t="str">
        <f>'法人一覧(25)'!B65</f>
        <v>農林水産省</v>
      </c>
      <c r="C65" s="38" t="str">
        <f>'法人一覧(25)'!C65</f>
        <v>国際農林水産業研究センター</v>
      </c>
      <c r="D65" s="49" t="s">
        <v>233</v>
      </c>
      <c r="E65" s="49" t="s">
        <v>233</v>
      </c>
      <c r="F65" s="113">
        <v>4</v>
      </c>
      <c r="G65" s="4" t="s">
        <v>261</v>
      </c>
    </row>
    <row r="66" spans="1:7" ht="95.4" customHeight="1">
      <c r="A66" s="26">
        <f>'法人一覧(25)'!A66</f>
        <v>63</v>
      </c>
      <c r="B66" s="38" t="str">
        <f>'法人一覧(25)'!B66</f>
        <v>農林水産省</v>
      </c>
      <c r="C66" s="38" t="str">
        <f>'法人一覧(25)'!C66</f>
        <v>森林総合研究所</v>
      </c>
      <c r="D66" s="60">
        <v>3</v>
      </c>
      <c r="E66" s="57" t="s">
        <v>276</v>
      </c>
      <c r="F66" s="113">
        <v>7</v>
      </c>
      <c r="G66" s="57" t="s">
        <v>277</v>
      </c>
    </row>
    <row r="67" spans="1:7" ht="21.6" customHeight="1">
      <c r="A67" s="26">
        <f>'法人一覧(25)'!A67</f>
        <v>64</v>
      </c>
      <c r="B67" s="38" t="str">
        <f>'法人一覧(25)'!B67</f>
        <v>農林水産省</v>
      </c>
      <c r="C67" s="38" t="str">
        <f>'法人一覧(25)'!C67</f>
        <v>水産総合研究センター</v>
      </c>
      <c r="D67" s="64">
        <v>2</v>
      </c>
      <c r="E67" s="4" t="s">
        <v>306</v>
      </c>
      <c r="F67" s="113" t="s">
        <v>575</v>
      </c>
      <c r="G67" s="64" t="s">
        <v>233</v>
      </c>
    </row>
    <row r="68" spans="1:7" ht="35.4" customHeight="1">
      <c r="A68" s="26">
        <f>'法人一覧(25)'!A68</f>
        <v>65</v>
      </c>
      <c r="B68" s="38" t="str">
        <f>'法人一覧(25)'!B68</f>
        <v>農林水産省</v>
      </c>
      <c r="C68" s="38" t="str">
        <f>'法人一覧(25)'!C68</f>
        <v>農畜産業振興機構</v>
      </c>
      <c r="D68" s="26">
        <v>7</v>
      </c>
      <c r="E68" s="4" t="s">
        <v>262</v>
      </c>
      <c r="F68" s="113" t="s">
        <v>575</v>
      </c>
      <c r="G68" s="49" t="s">
        <v>233</v>
      </c>
    </row>
    <row r="69" spans="1:7" ht="38.4" customHeight="1">
      <c r="A69" s="26">
        <f>'法人一覧(25)'!A69</f>
        <v>66</v>
      </c>
      <c r="B69" s="38" t="str">
        <f>'法人一覧(25)'!B69</f>
        <v>農林水産省</v>
      </c>
      <c r="C69" s="38" t="str">
        <f>'法人一覧(25)'!C69</f>
        <v>農業者年金基金</v>
      </c>
      <c r="D69" s="26">
        <v>4</v>
      </c>
      <c r="E69" s="4" t="s">
        <v>264</v>
      </c>
      <c r="F69" s="113">
        <v>3</v>
      </c>
      <c r="G69" s="4" t="s">
        <v>263</v>
      </c>
    </row>
    <row r="70" spans="1:7" ht="97.95" customHeight="1">
      <c r="A70" s="26">
        <f>'法人一覧(25)'!A70</f>
        <v>67</v>
      </c>
      <c r="B70" s="38" t="str">
        <f>'法人一覧(25)'!B70</f>
        <v>農林水産省</v>
      </c>
      <c r="C70" s="38" t="str">
        <f>'法人一覧(25)'!C70</f>
        <v>農林漁業信用基金</v>
      </c>
      <c r="D70" s="26">
        <v>5</v>
      </c>
      <c r="E70" s="4" t="s">
        <v>265</v>
      </c>
      <c r="F70" s="113">
        <v>10</v>
      </c>
      <c r="G70" s="4" t="s">
        <v>266</v>
      </c>
    </row>
    <row r="71" spans="1:7">
      <c r="A71" s="26">
        <f>'法人一覧(25)'!A71</f>
        <v>68</v>
      </c>
      <c r="B71" s="38" t="str">
        <f>'法人一覧(25)'!B71</f>
        <v>経済産業省</v>
      </c>
      <c r="C71" s="38" t="str">
        <f>'法人一覧(25)'!C71</f>
        <v>経済産業研究所</v>
      </c>
      <c r="D71" s="50" t="s">
        <v>233</v>
      </c>
      <c r="E71" s="50" t="s">
        <v>233</v>
      </c>
      <c r="F71" s="113" t="s">
        <v>575</v>
      </c>
      <c r="G71" s="50" t="s">
        <v>233</v>
      </c>
    </row>
    <row r="72" spans="1:7">
      <c r="A72" s="26">
        <f>'法人一覧(25)'!A72</f>
        <v>69</v>
      </c>
      <c r="B72" s="38" t="str">
        <f>'法人一覧(25)'!B72</f>
        <v>経済産業省</v>
      </c>
      <c r="C72" s="38" t="str">
        <f>'法人一覧(25)'!C72</f>
        <v>工業所有権情報・研修館</v>
      </c>
      <c r="D72" s="56" t="s">
        <v>233</v>
      </c>
      <c r="E72" s="56" t="s">
        <v>233</v>
      </c>
      <c r="F72" s="113" t="s">
        <v>575</v>
      </c>
      <c r="G72" s="56" t="s">
        <v>233</v>
      </c>
    </row>
    <row r="73" spans="1:7">
      <c r="A73" s="26">
        <f>'法人一覧(25)'!A73</f>
        <v>70</v>
      </c>
      <c r="B73" s="38" t="str">
        <f>'法人一覧(25)'!B73</f>
        <v>経済産業省</v>
      </c>
      <c r="C73" s="38" t="str">
        <f>'法人一覧(25)'!C73</f>
        <v>日本貿易保険</v>
      </c>
      <c r="D73" s="53" t="s">
        <v>233</v>
      </c>
      <c r="E73" s="53" t="s">
        <v>233</v>
      </c>
      <c r="F73" s="113" t="s">
        <v>575</v>
      </c>
      <c r="G73" s="53" t="s">
        <v>233</v>
      </c>
    </row>
    <row r="74" spans="1:7" ht="30.6" customHeight="1">
      <c r="A74" s="26">
        <f>'法人一覧(25)'!A74</f>
        <v>71</v>
      </c>
      <c r="B74" s="38" t="str">
        <f>'法人一覧(25)'!B74</f>
        <v>経済産業省</v>
      </c>
      <c r="C74" s="38" t="str">
        <f>'法人一覧(25)'!C74</f>
        <v>産業技術総合研究所</v>
      </c>
      <c r="D74" s="53" t="s">
        <v>233</v>
      </c>
      <c r="E74" s="53" t="s">
        <v>233</v>
      </c>
      <c r="F74" s="113">
        <v>4</v>
      </c>
      <c r="G74" s="4" t="s">
        <v>273</v>
      </c>
    </row>
    <row r="75" spans="1:7" ht="35.4" customHeight="1">
      <c r="A75" s="26">
        <f>'法人一覧(25)'!A75</f>
        <v>72</v>
      </c>
      <c r="B75" s="38" t="str">
        <f>'法人一覧(25)'!B75</f>
        <v>経済産業省</v>
      </c>
      <c r="C75" s="38" t="str">
        <f>'法人一覧(25)'!C75</f>
        <v>製品評価技術基盤機構</v>
      </c>
      <c r="D75" s="53" t="s">
        <v>233</v>
      </c>
      <c r="E75" s="53" t="s">
        <v>233</v>
      </c>
      <c r="F75" s="113">
        <v>4</v>
      </c>
      <c r="G75" s="4" t="s">
        <v>274</v>
      </c>
    </row>
    <row r="76" spans="1:7" ht="76.8" customHeight="1">
      <c r="A76" s="26">
        <f>'法人一覧(25)'!A76</f>
        <v>73</v>
      </c>
      <c r="B76" s="38" t="str">
        <f>'法人一覧(25)'!B76</f>
        <v>経済産業省</v>
      </c>
      <c r="C76" s="38" t="str">
        <f>'法人一覧(25)'!C76</f>
        <v>新エネルギー・産業技術総合開発機構</v>
      </c>
      <c r="D76" s="60">
        <v>5</v>
      </c>
      <c r="E76" s="57" t="s">
        <v>278</v>
      </c>
      <c r="F76" s="113">
        <v>3</v>
      </c>
      <c r="G76" s="57" t="s">
        <v>279</v>
      </c>
    </row>
    <row r="77" spans="1:7" ht="39" customHeight="1">
      <c r="A77" s="26">
        <f>'法人一覧(25)'!A77</f>
        <v>74</v>
      </c>
      <c r="B77" s="38" t="str">
        <f>'法人一覧(25)'!B77</f>
        <v>経済産業省</v>
      </c>
      <c r="C77" s="38" t="str">
        <f>'法人一覧(25)'!C77</f>
        <v>日本貿易振興機構</v>
      </c>
      <c r="D77" s="55" t="s">
        <v>233</v>
      </c>
      <c r="E77" s="55" t="s">
        <v>233</v>
      </c>
      <c r="F77" s="113">
        <v>2</v>
      </c>
      <c r="G77" s="57" t="s">
        <v>280</v>
      </c>
    </row>
    <row r="78" spans="1:7" ht="120.6" customHeight="1">
      <c r="A78" s="26">
        <f>'法人一覧(25)'!A78</f>
        <v>75</v>
      </c>
      <c r="B78" s="38" t="str">
        <f>'法人一覧(25)'!B78</f>
        <v>経済産業省</v>
      </c>
      <c r="C78" s="38" t="str">
        <f>'法人一覧(25)'!C78</f>
        <v>情報処理推進機構</v>
      </c>
      <c r="D78" s="60">
        <v>4</v>
      </c>
      <c r="E78" s="57" t="s">
        <v>281</v>
      </c>
      <c r="F78" s="113">
        <v>7</v>
      </c>
      <c r="G78" s="57" t="s">
        <v>282</v>
      </c>
    </row>
    <row r="79" spans="1:7" ht="58.95" customHeight="1">
      <c r="A79" s="26">
        <f>'法人一覧(25)'!A79</f>
        <v>76</v>
      </c>
      <c r="B79" s="38" t="str">
        <f>'法人一覧(25)'!B79</f>
        <v>経済産業省</v>
      </c>
      <c r="C79" s="38" t="str">
        <f>'法人一覧(25)'!C79</f>
        <v>石油天然ガス・金属鉱物資源機構</v>
      </c>
      <c r="D79" s="64">
        <v>6</v>
      </c>
      <c r="E79" s="4" t="s">
        <v>307</v>
      </c>
      <c r="F79" s="113">
        <v>8</v>
      </c>
      <c r="G79" s="4" t="s">
        <v>308</v>
      </c>
    </row>
    <row r="80" spans="1:7" ht="156" customHeight="1">
      <c r="A80" s="26">
        <f>'法人一覧(25)'!A80</f>
        <v>77</v>
      </c>
      <c r="B80" s="38" t="str">
        <f>'法人一覧(25)'!B80</f>
        <v>経済産業省</v>
      </c>
      <c r="C80" s="38" t="str">
        <f>'法人一覧(25)'!C80</f>
        <v>中小企業基盤整備機構</v>
      </c>
      <c r="D80" s="64">
        <v>8</v>
      </c>
      <c r="E80" s="4" t="s">
        <v>309</v>
      </c>
      <c r="F80" s="113">
        <v>13</v>
      </c>
      <c r="G80" s="4" t="s">
        <v>442</v>
      </c>
    </row>
    <row r="81" spans="1:7" ht="48.6" customHeight="1">
      <c r="A81" s="26">
        <f>'法人一覧(25)'!A81</f>
        <v>78</v>
      </c>
      <c r="B81" s="38" t="str">
        <f>'法人一覧(25)'!B81</f>
        <v>国土交通省</v>
      </c>
      <c r="C81" s="38" t="str">
        <f>'法人一覧(25)'!C81</f>
        <v>土木研究所</v>
      </c>
      <c r="D81" s="66" t="s">
        <v>313</v>
      </c>
      <c r="E81" s="67" t="s">
        <v>313</v>
      </c>
      <c r="F81" s="113">
        <v>4</v>
      </c>
      <c r="G81" s="57" t="s">
        <v>453</v>
      </c>
    </row>
    <row r="82" spans="1:7" ht="47.4" customHeight="1">
      <c r="A82" s="26">
        <f>'法人一覧(25)'!A82</f>
        <v>79</v>
      </c>
      <c r="B82" s="38" t="str">
        <f>'法人一覧(25)'!B82</f>
        <v>国土交通省</v>
      </c>
      <c r="C82" s="38" t="str">
        <f>'法人一覧(25)'!C82</f>
        <v>建築研究所</v>
      </c>
      <c r="D82" s="66" t="s">
        <v>313</v>
      </c>
      <c r="E82" s="67" t="s">
        <v>313</v>
      </c>
      <c r="F82" s="113">
        <v>7</v>
      </c>
      <c r="G82" s="57" t="s">
        <v>454</v>
      </c>
    </row>
    <row r="83" spans="1:7" ht="18" customHeight="1">
      <c r="A83" s="26">
        <f>'法人一覧(25)'!A83</f>
        <v>80</v>
      </c>
      <c r="B83" s="38" t="str">
        <f>'法人一覧(25)'!B83</f>
        <v>国土交通省</v>
      </c>
      <c r="C83" s="38" t="str">
        <f>'法人一覧(25)'!C83</f>
        <v>交通安全環境研究所</v>
      </c>
      <c r="D83" s="66">
        <v>2</v>
      </c>
      <c r="E83" s="4" t="s">
        <v>321</v>
      </c>
      <c r="F83" s="113" t="s">
        <v>575</v>
      </c>
      <c r="G83" s="88" t="s">
        <v>455</v>
      </c>
    </row>
    <row r="84" spans="1:7">
      <c r="A84" s="26">
        <f>'法人一覧(25)'!A84</f>
        <v>81</v>
      </c>
      <c r="B84" s="38" t="str">
        <f>'法人一覧(25)'!B84</f>
        <v>国土交通省</v>
      </c>
      <c r="C84" s="38" t="str">
        <f>'法人一覧(25)'!C84</f>
        <v>海上技術安全研究所</v>
      </c>
      <c r="D84" s="66" t="s">
        <v>313</v>
      </c>
      <c r="E84" s="67" t="s">
        <v>313</v>
      </c>
      <c r="F84" s="113" t="s">
        <v>575</v>
      </c>
      <c r="G84" s="88" t="s">
        <v>455</v>
      </c>
    </row>
    <row r="85" spans="1:7" ht="52.8">
      <c r="A85" s="26">
        <f>'法人一覧(25)'!A85</f>
        <v>82</v>
      </c>
      <c r="B85" s="38" t="str">
        <f>'法人一覧(25)'!B85</f>
        <v>国土交通省</v>
      </c>
      <c r="C85" s="38" t="str">
        <f>'法人一覧(25)'!C85</f>
        <v>港湾空港技術研究所</v>
      </c>
      <c r="D85" s="66" t="s">
        <v>313</v>
      </c>
      <c r="E85" s="67" t="s">
        <v>313</v>
      </c>
      <c r="F85" s="113">
        <v>9</v>
      </c>
      <c r="G85" s="57" t="s">
        <v>456</v>
      </c>
    </row>
    <row r="86" spans="1:7">
      <c r="A86" s="26">
        <f>'法人一覧(25)'!A86</f>
        <v>83</v>
      </c>
      <c r="B86" s="38" t="str">
        <f>'法人一覧(25)'!B86</f>
        <v>国土交通省</v>
      </c>
      <c r="C86" s="38" t="str">
        <f>'法人一覧(25)'!C86</f>
        <v>電子航法研究所</v>
      </c>
      <c r="D86" s="66" t="s">
        <v>313</v>
      </c>
      <c r="E86" s="67" t="s">
        <v>313</v>
      </c>
      <c r="F86" s="113" t="s">
        <v>577</v>
      </c>
      <c r="G86" s="67" t="s">
        <v>311</v>
      </c>
    </row>
    <row r="87" spans="1:7">
      <c r="A87" s="26">
        <f>'法人一覧(25)'!A87</f>
        <v>84</v>
      </c>
      <c r="B87" s="38" t="str">
        <f>'法人一覧(25)'!B87</f>
        <v>国土交通省</v>
      </c>
      <c r="C87" s="38" t="str">
        <f>'法人一覧(25)'!C87</f>
        <v>航海訓練所</v>
      </c>
      <c r="D87" s="66" t="s">
        <v>313</v>
      </c>
      <c r="E87" s="67" t="s">
        <v>313</v>
      </c>
      <c r="F87" s="113" t="s">
        <v>575</v>
      </c>
      <c r="G87" s="67" t="s">
        <v>313</v>
      </c>
    </row>
    <row r="88" spans="1:7" ht="26.4">
      <c r="A88" s="26">
        <f>'法人一覧(25)'!A88</f>
        <v>85</v>
      </c>
      <c r="B88" s="38" t="str">
        <f>'法人一覧(25)'!B88</f>
        <v>国土交通省</v>
      </c>
      <c r="C88" s="38" t="str">
        <f>'法人一覧(25)'!C88</f>
        <v>海技教育機構</v>
      </c>
      <c r="D88" s="66" t="s">
        <v>313</v>
      </c>
      <c r="E88" s="67" t="s">
        <v>313</v>
      </c>
      <c r="F88" s="113">
        <v>5</v>
      </c>
      <c r="G88" s="79" t="s">
        <v>322</v>
      </c>
    </row>
    <row r="89" spans="1:7">
      <c r="A89" s="26">
        <f>'法人一覧(25)'!A89</f>
        <v>86</v>
      </c>
      <c r="B89" s="38" t="str">
        <f>'法人一覧(25)'!B89</f>
        <v>国土交通省</v>
      </c>
      <c r="C89" s="38" t="str">
        <f>'法人一覧(25)'!C89</f>
        <v>航空大学校</v>
      </c>
      <c r="D89" s="66" t="s">
        <v>313</v>
      </c>
      <c r="E89" s="67" t="s">
        <v>313</v>
      </c>
      <c r="F89" s="113" t="s">
        <v>575</v>
      </c>
      <c r="G89" s="67" t="s">
        <v>313</v>
      </c>
    </row>
    <row r="90" spans="1:7">
      <c r="A90" s="26">
        <f>'法人一覧(25)'!A90</f>
        <v>87</v>
      </c>
      <c r="B90" s="38" t="str">
        <f>'法人一覧(25)'!B90</f>
        <v>国土交通省</v>
      </c>
      <c r="C90" s="38" t="str">
        <f>'法人一覧(25)'!C90</f>
        <v>自動車検査</v>
      </c>
      <c r="D90" s="66" t="s">
        <v>313</v>
      </c>
      <c r="E90" s="67" t="s">
        <v>313</v>
      </c>
      <c r="F90" s="113" t="s">
        <v>575</v>
      </c>
      <c r="G90" s="67" t="s">
        <v>313</v>
      </c>
    </row>
    <row r="91" spans="1:7" ht="26.4">
      <c r="A91" s="26">
        <f>'法人一覧(25)'!A91</f>
        <v>88</v>
      </c>
      <c r="B91" s="38" t="str">
        <f>'法人一覧(25)'!B91</f>
        <v>国土交通省</v>
      </c>
      <c r="C91" s="38" t="str">
        <f>'法人一覧(25)'!C91</f>
        <v>鉄道建設・運輸施設整備支援機構</v>
      </c>
      <c r="D91" s="80">
        <v>5</v>
      </c>
      <c r="E91" s="79" t="s">
        <v>323</v>
      </c>
      <c r="F91" s="113" t="s">
        <v>575</v>
      </c>
      <c r="G91" s="67" t="s">
        <v>313</v>
      </c>
    </row>
    <row r="92" spans="1:7">
      <c r="A92" s="26">
        <f>'法人一覧(25)'!A92</f>
        <v>89</v>
      </c>
      <c r="B92" s="38" t="str">
        <f>'法人一覧(25)'!B92</f>
        <v>国土交通省</v>
      </c>
      <c r="C92" s="38" t="str">
        <f>'法人一覧(25)'!C92</f>
        <v>国際観光振興機構</v>
      </c>
      <c r="D92" s="80">
        <v>2</v>
      </c>
      <c r="E92" s="79" t="s">
        <v>324</v>
      </c>
      <c r="F92" s="113" t="s">
        <v>575</v>
      </c>
      <c r="G92" s="67" t="s">
        <v>313</v>
      </c>
    </row>
    <row r="93" spans="1:7" ht="114" customHeight="1">
      <c r="A93" s="26">
        <f>'法人一覧(25)'!A93</f>
        <v>90</v>
      </c>
      <c r="B93" s="38" t="str">
        <f>'法人一覧(25)'!B93</f>
        <v>国土交通省</v>
      </c>
      <c r="C93" s="38" t="str">
        <f>'法人一覧(25)'!C93</f>
        <v>水資源機構</v>
      </c>
      <c r="D93" s="66" t="s">
        <v>313</v>
      </c>
      <c r="E93" s="67" t="s">
        <v>313</v>
      </c>
      <c r="F93" s="113">
        <v>11</v>
      </c>
      <c r="G93" s="57" t="s">
        <v>450</v>
      </c>
    </row>
    <row r="94" spans="1:7" ht="24" customHeight="1">
      <c r="A94" s="26">
        <f>'法人一覧(25)'!A94</f>
        <v>91</v>
      </c>
      <c r="B94" s="38" t="str">
        <f>'法人一覧(25)'!B94</f>
        <v>国土交通省</v>
      </c>
      <c r="C94" s="38" t="str">
        <f>'法人一覧(25)'!C94</f>
        <v>自動車事故対策機構</v>
      </c>
      <c r="D94" s="66" t="s">
        <v>313</v>
      </c>
      <c r="E94" s="67" t="s">
        <v>313</v>
      </c>
      <c r="F94" s="113">
        <v>3</v>
      </c>
      <c r="G94" s="79" t="s">
        <v>325</v>
      </c>
    </row>
    <row r="95" spans="1:7" ht="19.2" customHeight="1">
      <c r="A95" s="26">
        <f>'法人一覧(25)'!A95</f>
        <v>92</v>
      </c>
      <c r="B95" s="38" t="str">
        <f>'法人一覧(25)'!B95</f>
        <v>国土交通省</v>
      </c>
      <c r="C95" s="38" t="str">
        <f>'法人一覧(25)'!C95</f>
        <v>空港周辺整備機構</v>
      </c>
      <c r="D95" s="66" t="s">
        <v>313</v>
      </c>
      <c r="E95" s="67" t="s">
        <v>313</v>
      </c>
      <c r="F95" s="113">
        <v>3</v>
      </c>
      <c r="G95" s="79" t="s">
        <v>326</v>
      </c>
    </row>
    <row r="96" spans="1:7" ht="21" customHeight="1">
      <c r="A96" s="26">
        <f>'法人一覧(25)'!A96</f>
        <v>93</v>
      </c>
      <c r="B96" s="38" t="str">
        <f>'法人一覧(25)'!B96</f>
        <v>国土交通省</v>
      </c>
      <c r="C96" s="38" t="str">
        <f>'法人一覧(25)'!C96</f>
        <v>海上災害防止センター</v>
      </c>
      <c r="D96" s="80">
        <v>2</v>
      </c>
      <c r="E96" s="79" t="s">
        <v>327</v>
      </c>
      <c r="F96" s="113">
        <v>5</v>
      </c>
      <c r="G96" s="79" t="s">
        <v>328</v>
      </c>
    </row>
    <row r="97" spans="1:7" ht="43.2" customHeight="1">
      <c r="A97" s="26">
        <f>'法人一覧(25)'!A97</f>
        <v>94</v>
      </c>
      <c r="B97" s="38" t="str">
        <f>'法人一覧(25)'!B97</f>
        <v>国土交通省</v>
      </c>
      <c r="C97" s="38" t="str">
        <f>'法人一覧(25)'!C97</f>
        <v>都市再生機構</v>
      </c>
      <c r="D97" s="80">
        <v>2</v>
      </c>
      <c r="E97" s="79" t="s">
        <v>329</v>
      </c>
      <c r="F97" s="113">
        <v>6</v>
      </c>
      <c r="G97" s="57" t="s">
        <v>451</v>
      </c>
    </row>
    <row r="98" spans="1:7" ht="19.2" customHeight="1">
      <c r="A98" s="26">
        <f>'法人一覧(25)'!A98</f>
        <v>95</v>
      </c>
      <c r="B98" s="38" t="str">
        <f>'法人一覧(25)'!B98</f>
        <v>国土交通省</v>
      </c>
      <c r="C98" s="38" t="str">
        <f>'法人一覧(25)'!C98</f>
        <v>奄美群島振興開発基金</v>
      </c>
      <c r="D98" s="66" t="s">
        <v>313</v>
      </c>
      <c r="E98" s="67" t="s">
        <v>313</v>
      </c>
      <c r="F98" s="113">
        <v>2</v>
      </c>
      <c r="G98" s="4" t="s">
        <v>330</v>
      </c>
    </row>
    <row r="99" spans="1:7" ht="22.8" customHeight="1">
      <c r="A99" s="26">
        <f>'法人一覧(25)'!A99</f>
        <v>96</v>
      </c>
      <c r="B99" s="38" t="str">
        <f>'法人一覧(25)'!B99</f>
        <v>国土交通省</v>
      </c>
      <c r="C99" s="38" t="str">
        <f>'法人一覧(25)'!C99</f>
        <v>日本高速道路保有・債務返済機構</v>
      </c>
      <c r="D99" s="80">
        <v>2</v>
      </c>
      <c r="E99" s="79" t="s">
        <v>331</v>
      </c>
      <c r="F99" s="113">
        <v>2</v>
      </c>
      <c r="G99" s="57" t="s">
        <v>331</v>
      </c>
    </row>
    <row r="100" spans="1:7" ht="72.599999999999994" customHeight="1">
      <c r="A100" s="26">
        <f>'法人一覧(25)'!A100</f>
        <v>97</v>
      </c>
      <c r="B100" s="38" t="str">
        <f>'法人一覧(25)'!B100</f>
        <v>国土交通省</v>
      </c>
      <c r="C100" s="38" t="str">
        <f>'法人一覧(25)'!C100</f>
        <v>住宅金融支援機構</v>
      </c>
      <c r="D100" s="66">
        <v>5</v>
      </c>
      <c r="E100" s="4" t="s">
        <v>332</v>
      </c>
      <c r="F100" s="113">
        <v>7</v>
      </c>
      <c r="G100" s="57" t="s">
        <v>452</v>
      </c>
    </row>
    <row r="101" spans="1:7">
      <c r="A101" s="26">
        <f>'法人一覧(25)'!A101</f>
        <v>98</v>
      </c>
      <c r="B101" s="38" t="str">
        <f>'法人一覧(25)'!B101</f>
        <v>環境省</v>
      </c>
      <c r="C101" s="38" t="str">
        <f>'法人一覧(25)'!C101</f>
        <v>国立環境研究所</v>
      </c>
      <c r="D101" s="62" t="s">
        <v>298</v>
      </c>
      <c r="E101" s="62" t="s">
        <v>298</v>
      </c>
      <c r="F101" s="113" t="s">
        <v>575</v>
      </c>
      <c r="G101" s="62" t="s">
        <v>298</v>
      </c>
    </row>
    <row r="102" spans="1:7" ht="46.2" customHeight="1">
      <c r="A102" s="26">
        <f>'法人一覧(25)'!A102</f>
        <v>99</v>
      </c>
      <c r="B102" s="38" t="str">
        <f>'法人一覧(25)'!B102</f>
        <v>環境省</v>
      </c>
      <c r="C102" s="38" t="str">
        <f>'法人一覧(25)'!C102</f>
        <v>環境再生保全機構</v>
      </c>
      <c r="D102" s="56">
        <v>4</v>
      </c>
      <c r="E102" s="4" t="s">
        <v>286</v>
      </c>
      <c r="F102" s="113">
        <v>5</v>
      </c>
      <c r="G102" s="4" t="s">
        <v>287</v>
      </c>
    </row>
    <row r="103" spans="1:7" ht="46.8" customHeight="1">
      <c r="A103" s="26">
        <f>'法人一覧(25)'!A103</f>
        <v>100</v>
      </c>
      <c r="B103" s="38" t="str">
        <f>'法人一覧(25)'!B103</f>
        <v>原子力規制委員会</v>
      </c>
      <c r="C103" s="38" t="str">
        <f>'法人一覧(25)'!C103</f>
        <v>原子力安全基盤機構</v>
      </c>
      <c r="D103" s="62">
        <v>2</v>
      </c>
      <c r="E103" s="4" t="s">
        <v>294</v>
      </c>
      <c r="F103" s="113">
        <v>6</v>
      </c>
      <c r="G103" s="4" t="s">
        <v>295</v>
      </c>
    </row>
    <row r="104" spans="1:7" ht="19.8" customHeight="1">
      <c r="A104" s="26">
        <f>'法人一覧(25)'!A104</f>
        <v>101</v>
      </c>
      <c r="B104" s="38" t="str">
        <f>'法人一覧(25)'!B104</f>
        <v>防衛省</v>
      </c>
      <c r="C104" s="38" t="str">
        <f>'法人一覧(25)'!C104</f>
        <v>駐留軍等労働者労務管理機構</v>
      </c>
      <c r="D104" s="62" t="s">
        <v>298</v>
      </c>
      <c r="E104" s="62" t="s">
        <v>298</v>
      </c>
      <c r="F104" s="113">
        <v>3</v>
      </c>
      <c r="G104" s="4" t="s">
        <v>300</v>
      </c>
    </row>
    <row r="106" spans="1:7">
      <c r="B106" s="1" t="s">
        <v>594</v>
      </c>
    </row>
    <row r="107" spans="1:7">
      <c r="B107" s="37" t="s">
        <v>595</v>
      </c>
    </row>
  </sheetData>
  <mergeCells count="5">
    <mergeCell ref="B2:B3"/>
    <mergeCell ref="C2:C3"/>
    <mergeCell ref="D2:E2"/>
    <mergeCell ref="A2:A3"/>
    <mergeCell ref="F2:G2"/>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zoomScale="80" zoomScaleNormal="80" workbookViewId="0">
      <pane xSplit="3" ySplit="3" topLeftCell="D97" activePane="bottomRight" state="frozen"/>
      <selection activeCell="B2" sqref="B2:B3"/>
      <selection pane="topRight" activeCell="B2" sqref="B2:B3"/>
      <selection pane="bottomLeft" activeCell="B2" sqref="B2:B3"/>
      <selection pane="bottomRight" activeCell="B100" sqref="B100"/>
    </sheetView>
  </sheetViews>
  <sheetFormatPr defaultColWidth="8.88671875" defaultRowHeight="13.2"/>
  <cols>
    <col min="1" max="1" width="4" style="37" customWidth="1"/>
    <col min="2" max="2" width="15.33203125" style="1" customWidth="1"/>
    <col min="3" max="3" width="44.6640625" style="1" bestFit="1" customWidth="1"/>
    <col min="4" max="4" width="8.44140625" style="1" customWidth="1"/>
    <col min="5" max="5" width="50.6640625" style="1" customWidth="1"/>
    <col min="6" max="6" width="7.77734375" style="1" customWidth="1"/>
    <col min="7" max="7" width="50.6640625" style="1" customWidth="1"/>
    <col min="8" max="16384" width="8.88671875" style="1"/>
  </cols>
  <sheetData>
    <row r="1" spans="1:8" ht="19.95" customHeight="1">
      <c r="B1" s="144" t="s">
        <v>649</v>
      </c>
      <c r="E1" s="37"/>
      <c r="F1" s="37"/>
      <c r="G1" s="37"/>
      <c r="H1" s="37"/>
    </row>
    <row r="2" spans="1:8" ht="18.600000000000001" customHeight="1">
      <c r="A2" s="161" t="s">
        <v>195</v>
      </c>
      <c r="B2" s="161" t="s">
        <v>0</v>
      </c>
      <c r="C2" s="161" t="s">
        <v>1</v>
      </c>
      <c r="D2" s="164" t="s">
        <v>15</v>
      </c>
      <c r="E2" s="166"/>
      <c r="F2" s="164" t="s">
        <v>18</v>
      </c>
      <c r="G2" s="166"/>
      <c r="H2" s="37"/>
    </row>
    <row r="3" spans="1:8" ht="18.600000000000001" customHeight="1">
      <c r="A3" s="162"/>
      <c r="B3" s="162"/>
      <c r="C3" s="162"/>
      <c r="D3" s="3" t="s">
        <v>16</v>
      </c>
      <c r="E3" s="3" t="s">
        <v>17</v>
      </c>
      <c r="F3" s="3" t="s">
        <v>16</v>
      </c>
      <c r="G3" s="3" t="s">
        <v>17</v>
      </c>
      <c r="H3" s="37"/>
    </row>
    <row r="4" spans="1:8" ht="19.2" customHeight="1">
      <c r="A4" s="26">
        <f>'法人一覧(26)'!A4</f>
        <v>1</v>
      </c>
      <c r="B4" s="38" t="str">
        <f>'法人一覧(26)'!B4</f>
        <v>内閣府</v>
      </c>
      <c r="C4" s="38" t="str">
        <f>'法人一覧(26)'!C4</f>
        <v>国立公文書館</v>
      </c>
      <c r="D4" s="66" t="s">
        <v>313</v>
      </c>
      <c r="E4" s="67" t="s">
        <v>313</v>
      </c>
      <c r="F4" s="66">
        <v>2</v>
      </c>
      <c r="G4" s="4" t="s">
        <v>314</v>
      </c>
    </row>
    <row r="5" spans="1:8" ht="19.8" customHeight="1">
      <c r="A5" s="26">
        <f>'法人一覧(26)'!A5</f>
        <v>2</v>
      </c>
      <c r="B5" s="38" t="str">
        <f>'法人一覧(26)'!B5</f>
        <v>内閣府</v>
      </c>
      <c r="C5" s="38" t="str">
        <f>'法人一覧(26)'!C5</f>
        <v>北方領土問題対策協会</v>
      </c>
      <c r="D5" s="66">
        <v>2</v>
      </c>
      <c r="E5" s="4" t="s">
        <v>315</v>
      </c>
      <c r="F5" s="66" t="s">
        <v>313</v>
      </c>
      <c r="G5" s="67" t="s">
        <v>313</v>
      </c>
    </row>
    <row r="6" spans="1:8" ht="52.95" customHeight="1">
      <c r="A6" s="26">
        <f>'法人一覧(26)'!A6</f>
        <v>3</v>
      </c>
      <c r="B6" s="38" t="str">
        <f>'法人一覧(26)'!B6</f>
        <v>消費者庁</v>
      </c>
      <c r="C6" s="38" t="str">
        <f>'法人一覧(26)'!C6</f>
        <v>国民生活センター</v>
      </c>
      <c r="D6" s="50" t="s">
        <v>233</v>
      </c>
      <c r="E6" s="50" t="s">
        <v>233</v>
      </c>
      <c r="F6" s="26">
        <v>7</v>
      </c>
      <c r="G6" s="4" t="s">
        <v>270</v>
      </c>
    </row>
    <row r="7" spans="1:8" ht="114" customHeight="1">
      <c r="A7" s="26">
        <f>'法人一覧(26)'!A7</f>
        <v>4</v>
      </c>
      <c r="B7" s="38" t="str">
        <f>'法人一覧(26)'!B7</f>
        <v>総務省</v>
      </c>
      <c r="C7" s="38" t="str">
        <f>'法人一覧(26)'!C7</f>
        <v>情報通信研究機構</v>
      </c>
      <c r="D7" s="80">
        <v>4</v>
      </c>
      <c r="E7" s="79" t="s">
        <v>316</v>
      </c>
      <c r="F7" s="80">
        <v>9</v>
      </c>
      <c r="G7" s="79" t="s">
        <v>318</v>
      </c>
    </row>
    <row r="8" spans="1:8">
      <c r="A8" s="26">
        <f>'法人一覧(26)'!A8</f>
        <v>5</v>
      </c>
      <c r="B8" s="38" t="str">
        <f>'法人一覧(26)'!B8</f>
        <v>総務省</v>
      </c>
      <c r="C8" s="38" t="str">
        <f>'法人一覧(26)'!C8</f>
        <v>統計センター</v>
      </c>
      <c r="D8" s="66" t="s">
        <v>313</v>
      </c>
      <c r="E8" s="67" t="s">
        <v>313</v>
      </c>
      <c r="F8" s="66" t="s">
        <v>313</v>
      </c>
      <c r="G8" s="67" t="s">
        <v>313</v>
      </c>
    </row>
    <row r="9" spans="1:8" ht="18.600000000000001" customHeight="1">
      <c r="A9" s="26">
        <f>'法人一覧(26)'!A9</f>
        <v>6</v>
      </c>
      <c r="B9" s="38" t="str">
        <f>'法人一覧(26)'!B9</f>
        <v>総務省</v>
      </c>
      <c r="C9" s="38" t="str">
        <f>'法人一覧(26)'!C9</f>
        <v>郵便貯金・簡易生命保険管理機構</v>
      </c>
      <c r="D9" s="80">
        <v>2</v>
      </c>
      <c r="E9" s="79" t="s">
        <v>317</v>
      </c>
      <c r="F9" s="66" t="s">
        <v>313</v>
      </c>
      <c r="G9" s="67" t="s">
        <v>313</v>
      </c>
    </row>
    <row r="10" spans="1:8" ht="45.6" customHeight="1">
      <c r="A10" s="26">
        <f>'法人一覧(26)'!A10</f>
        <v>7</v>
      </c>
      <c r="B10" s="38" t="str">
        <f>'法人一覧(26)'!B10</f>
        <v>外務省</v>
      </c>
      <c r="C10" s="38" t="str">
        <f>'法人一覧(26)'!C10</f>
        <v>国際協力機構</v>
      </c>
      <c r="D10" s="61">
        <v>2</v>
      </c>
      <c r="E10" s="4" t="s">
        <v>290</v>
      </c>
      <c r="F10" s="61">
        <v>9</v>
      </c>
      <c r="G10" s="4" t="s">
        <v>291</v>
      </c>
    </row>
    <row r="11" spans="1:8" ht="84" customHeight="1">
      <c r="A11" s="26">
        <f>'法人一覧(26)'!A11</f>
        <v>8</v>
      </c>
      <c r="B11" s="38" t="str">
        <f>'法人一覧(26)'!B11</f>
        <v>外務省</v>
      </c>
      <c r="C11" s="38" t="str">
        <f>'法人一覧(26)'!C11</f>
        <v>国際交流基金</v>
      </c>
      <c r="D11" s="26" t="s">
        <v>233</v>
      </c>
      <c r="E11" s="26" t="s">
        <v>233</v>
      </c>
      <c r="F11" s="26">
        <v>6</v>
      </c>
      <c r="G11" s="4" t="s">
        <v>234</v>
      </c>
    </row>
    <row r="12" spans="1:8">
      <c r="A12" s="26">
        <f>'法人一覧(26)'!A12</f>
        <v>9</v>
      </c>
      <c r="B12" s="38" t="str">
        <f>'法人一覧(26)'!B12</f>
        <v>財務省</v>
      </c>
      <c r="C12" s="38" t="str">
        <f>'法人一覧(26)'!C12</f>
        <v>酒類総合研究所</v>
      </c>
      <c r="D12" s="66" t="s">
        <v>313</v>
      </c>
      <c r="E12" s="67" t="s">
        <v>313</v>
      </c>
      <c r="F12" s="66" t="s">
        <v>313</v>
      </c>
      <c r="G12" s="67" t="s">
        <v>313</v>
      </c>
    </row>
    <row r="13" spans="1:8" ht="16.8" customHeight="1">
      <c r="A13" s="26">
        <f>'法人一覧(26)'!A13</f>
        <v>10</v>
      </c>
      <c r="B13" s="38" t="str">
        <f>'法人一覧(26)'!B13</f>
        <v>財務省</v>
      </c>
      <c r="C13" s="38" t="str">
        <f>'法人一覧(26)'!C13</f>
        <v>造幣局</v>
      </c>
      <c r="D13" s="66" t="s">
        <v>313</v>
      </c>
      <c r="E13" s="67" t="s">
        <v>313</v>
      </c>
      <c r="F13" s="66">
        <v>2</v>
      </c>
      <c r="G13" s="4" t="s">
        <v>319</v>
      </c>
    </row>
    <row r="14" spans="1:8" ht="21" customHeight="1">
      <c r="A14" s="26">
        <f>'法人一覧(26)'!A14</f>
        <v>11</v>
      </c>
      <c r="B14" s="38" t="str">
        <f>'法人一覧(26)'!B14</f>
        <v>財務省</v>
      </c>
      <c r="C14" s="38" t="str">
        <f>'法人一覧(26)'!C14</f>
        <v>国立印刷局</v>
      </c>
      <c r="D14" s="66" t="s">
        <v>313</v>
      </c>
      <c r="E14" s="67" t="s">
        <v>313</v>
      </c>
      <c r="F14" s="66">
        <v>2</v>
      </c>
      <c r="G14" s="4" t="s">
        <v>449</v>
      </c>
    </row>
    <row r="15" spans="1:8" ht="30" customHeight="1">
      <c r="A15" s="26">
        <f>'法人一覧(26)'!A15</f>
        <v>12</v>
      </c>
      <c r="B15" s="38" t="str">
        <f>'法人一覧(26)'!B15</f>
        <v>文部科学省</v>
      </c>
      <c r="C15" s="38" t="str">
        <f>'法人一覧(26)'!C15</f>
        <v>国立特別支援教育総合研究所</v>
      </c>
      <c r="D15" s="60" t="s">
        <v>353</v>
      </c>
      <c r="E15" s="88" t="s">
        <v>353</v>
      </c>
      <c r="F15" s="60">
        <v>4</v>
      </c>
      <c r="G15" s="57" t="s">
        <v>570</v>
      </c>
    </row>
    <row r="16" spans="1:8">
      <c r="A16" s="26">
        <f>'法人一覧(26)'!A16</f>
        <v>13</v>
      </c>
      <c r="B16" s="38" t="str">
        <f>'法人一覧(26)'!B16</f>
        <v>文部科学省</v>
      </c>
      <c r="C16" s="38" t="str">
        <f>'法人一覧(26)'!C16</f>
        <v>大学入試センター</v>
      </c>
      <c r="D16" s="60" t="s">
        <v>353</v>
      </c>
      <c r="E16" s="88" t="s">
        <v>353</v>
      </c>
      <c r="F16" s="60" t="s">
        <v>353</v>
      </c>
      <c r="G16" s="88" t="s">
        <v>353</v>
      </c>
    </row>
    <row r="17" spans="1:7" ht="19.2" customHeight="1">
      <c r="A17" s="26">
        <f>'法人一覧(26)'!A17</f>
        <v>14</v>
      </c>
      <c r="B17" s="38" t="str">
        <f>'法人一覧(26)'!B17</f>
        <v>文部科学省</v>
      </c>
      <c r="C17" s="38" t="str">
        <f>'法人一覧(26)'!C17</f>
        <v>国立青少年教育振興機構</v>
      </c>
      <c r="D17" s="60" t="s">
        <v>353</v>
      </c>
      <c r="E17" s="88" t="s">
        <v>353</v>
      </c>
      <c r="F17" s="60">
        <v>2</v>
      </c>
      <c r="G17" s="57" t="s">
        <v>354</v>
      </c>
    </row>
    <row r="18" spans="1:7" ht="30" customHeight="1">
      <c r="A18" s="26">
        <f>'法人一覧(26)'!A18</f>
        <v>15</v>
      </c>
      <c r="B18" s="38" t="str">
        <f>'法人一覧(26)'!B18</f>
        <v>文部科学省</v>
      </c>
      <c r="C18" s="38" t="str">
        <f>'法人一覧(26)'!C18</f>
        <v>国立女性教育会館</v>
      </c>
      <c r="D18" s="60" t="s">
        <v>353</v>
      </c>
      <c r="E18" s="88" t="s">
        <v>353</v>
      </c>
      <c r="F18" s="60">
        <v>4</v>
      </c>
      <c r="G18" s="57" t="s">
        <v>420</v>
      </c>
    </row>
    <row r="19" spans="1:7" ht="18.600000000000001" customHeight="1">
      <c r="A19" s="26">
        <f>'法人一覧(26)'!A19</f>
        <v>16</v>
      </c>
      <c r="B19" s="38" t="str">
        <f>'法人一覧(26)'!B19</f>
        <v>文部科学省</v>
      </c>
      <c r="C19" s="38" t="str">
        <f>'法人一覧(26)'!C19</f>
        <v>国立科学博物館</v>
      </c>
      <c r="D19" s="60" t="s">
        <v>353</v>
      </c>
      <c r="E19" s="88" t="s">
        <v>353</v>
      </c>
      <c r="F19" s="96">
        <v>3</v>
      </c>
      <c r="G19" s="97" t="s">
        <v>355</v>
      </c>
    </row>
    <row r="20" spans="1:7" ht="34.200000000000003" customHeight="1">
      <c r="A20" s="26">
        <f>'法人一覧(26)'!A20</f>
        <v>17</v>
      </c>
      <c r="B20" s="38" t="str">
        <f>'法人一覧(26)'!B20</f>
        <v>文部科学省</v>
      </c>
      <c r="C20" s="38" t="str">
        <f>'法人一覧(26)'!C20</f>
        <v>物質・材料研究機構</v>
      </c>
      <c r="D20" s="60" t="s">
        <v>353</v>
      </c>
      <c r="E20" s="88" t="s">
        <v>353</v>
      </c>
      <c r="F20" s="60">
        <v>4</v>
      </c>
      <c r="G20" s="57" t="s">
        <v>379</v>
      </c>
    </row>
    <row r="21" spans="1:7" ht="35.4" customHeight="1">
      <c r="A21" s="26">
        <f>'法人一覧(26)'!A21</f>
        <v>18</v>
      </c>
      <c r="B21" s="38" t="str">
        <f>'法人一覧(26)'!B21</f>
        <v>文部科学省</v>
      </c>
      <c r="C21" s="38" t="str">
        <f>'法人一覧(26)'!C21</f>
        <v>防災科学技術研究所</v>
      </c>
      <c r="D21" s="60" t="s">
        <v>353</v>
      </c>
      <c r="E21" s="88" t="s">
        <v>353</v>
      </c>
      <c r="F21" s="60">
        <v>3</v>
      </c>
      <c r="G21" s="57" t="s">
        <v>560</v>
      </c>
    </row>
    <row r="22" spans="1:7" ht="52.8" customHeight="1">
      <c r="A22" s="26">
        <f>'法人一覧(26)'!A22</f>
        <v>19</v>
      </c>
      <c r="B22" s="38" t="str">
        <f>'法人一覧(26)'!B22</f>
        <v>文部科学省</v>
      </c>
      <c r="C22" s="38" t="str">
        <f>'法人一覧(26)'!C22</f>
        <v>放射線医学総合研究所</v>
      </c>
      <c r="D22" s="60" t="s">
        <v>353</v>
      </c>
      <c r="E22" s="88" t="s">
        <v>353</v>
      </c>
      <c r="F22" s="60">
        <v>5</v>
      </c>
      <c r="G22" s="57" t="s">
        <v>357</v>
      </c>
    </row>
    <row r="23" spans="1:7" ht="36" customHeight="1">
      <c r="A23" s="26">
        <f>'法人一覧(26)'!A23</f>
        <v>20</v>
      </c>
      <c r="B23" s="38" t="str">
        <f>'法人一覧(26)'!B23</f>
        <v>文部科学省</v>
      </c>
      <c r="C23" s="38" t="str">
        <f>'法人一覧(26)'!C23</f>
        <v>国立美術館</v>
      </c>
      <c r="D23" s="60" t="s">
        <v>353</v>
      </c>
      <c r="E23" s="88" t="s">
        <v>353</v>
      </c>
      <c r="F23" s="96">
        <v>5</v>
      </c>
      <c r="G23" s="97" t="s">
        <v>552</v>
      </c>
    </row>
    <row r="24" spans="1:7" ht="47.4" customHeight="1">
      <c r="A24" s="26">
        <f>'法人一覧(26)'!A24</f>
        <v>21</v>
      </c>
      <c r="B24" s="38" t="str">
        <f>'法人一覧(26)'!B24</f>
        <v>文部科学省</v>
      </c>
      <c r="C24" s="38" t="str">
        <f>'法人一覧(26)'!C24</f>
        <v>国立文化財機構</v>
      </c>
      <c r="D24" s="60" t="s">
        <v>353</v>
      </c>
      <c r="E24" s="88" t="s">
        <v>353</v>
      </c>
      <c r="F24" s="90">
        <v>7</v>
      </c>
      <c r="G24" s="91" t="s">
        <v>555</v>
      </c>
    </row>
    <row r="25" spans="1:7">
      <c r="A25" s="26">
        <f>'法人一覧(26)'!A25</f>
        <v>22</v>
      </c>
      <c r="B25" s="38" t="str">
        <f>'法人一覧(26)'!B25</f>
        <v>文部科学省</v>
      </c>
      <c r="C25" s="38" t="str">
        <f>'法人一覧(26)'!C25</f>
        <v>教員研修センター</v>
      </c>
      <c r="D25" s="60" t="s">
        <v>353</v>
      </c>
      <c r="E25" s="88" t="s">
        <v>353</v>
      </c>
      <c r="F25" s="60" t="s">
        <v>353</v>
      </c>
      <c r="G25" s="88" t="s">
        <v>353</v>
      </c>
    </row>
    <row r="26" spans="1:7" ht="45.6" customHeight="1">
      <c r="A26" s="26">
        <f>'法人一覧(26)'!A26</f>
        <v>23</v>
      </c>
      <c r="B26" s="38" t="str">
        <f>'法人一覧(26)'!B26</f>
        <v>文部科学省</v>
      </c>
      <c r="C26" s="38" t="str">
        <f>'法人一覧(26)'!C26</f>
        <v>科学技術振興機構</v>
      </c>
      <c r="D26" s="60">
        <v>3</v>
      </c>
      <c r="E26" s="57" t="s">
        <v>358</v>
      </c>
      <c r="F26" s="60">
        <v>5</v>
      </c>
      <c r="G26" s="57" t="s">
        <v>469</v>
      </c>
    </row>
    <row r="27" spans="1:7" ht="59.4" customHeight="1">
      <c r="A27" s="26">
        <f>'法人一覧(26)'!A27</f>
        <v>24</v>
      </c>
      <c r="B27" s="38" t="str">
        <f>'法人一覧(26)'!B27</f>
        <v>文部科学省</v>
      </c>
      <c r="C27" s="38" t="str">
        <f>'法人一覧(26)'!C27</f>
        <v>日本学術振興会</v>
      </c>
      <c r="D27" s="60">
        <v>2</v>
      </c>
      <c r="E27" s="57" t="s">
        <v>380</v>
      </c>
      <c r="F27" s="60">
        <v>4</v>
      </c>
      <c r="G27" s="57" t="s">
        <v>381</v>
      </c>
    </row>
    <row r="28" spans="1:7" ht="31.8" customHeight="1">
      <c r="A28" s="26">
        <f>'法人一覧(26)'!A28</f>
        <v>25</v>
      </c>
      <c r="B28" s="38" t="str">
        <f>'法人一覧(26)'!B28</f>
        <v>文部科学省</v>
      </c>
      <c r="C28" s="38" t="str">
        <f>'法人一覧(26)'!C28</f>
        <v>理化学研究所</v>
      </c>
      <c r="D28" s="60" t="s">
        <v>353</v>
      </c>
      <c r="E28" s="88" t="s">
        <v>353</v>
      </c>
      <c r="F28" s="96">
        <v>4</v>
      </c>
      <c r="G28" s="97" t="s">
        <v>361</v>
      </c>
    </row>
    <row r="29" spans="1:7" ht="60.6" customHeight="1">
      <c r="A29" s="26">
        <f>'法人一覧(26)'!A29</f>
        <v>26</v>
      </c>
      <c r="B29" s="38" t="str">
        <f>'法人一覧(26)'!B29</f>
        <v>文部科学省</v>
      </c>
      <c r="C29" s="38" t="str">
        <f>'法人一覧(26)'!C29</f>
        <v>宇宙航空研究開発機構</v>
      </c>
      <c r="D29" s="60" t="s">
        <v>353</v>
      </c>
      <c r="E29" s="88" t="s">
        <v>353</v>
      </c>
      <c r="F29" s="60">
        <v>8</v>
      </c>
      <c r="G29" s="57" t="s">
        <v>579</v>
      </c>
    </row>
    <row r="30" spans="1:7" ht="59.4" customHeight="1">
      <c r="A30" s="26">
        <f>'法人一覧(26)'!A30</f>
        <v>27</v>
      </c>
      <c r="B30" s="38" t="str">
        <f>'法人一覧(26)'!B30</f>
        <v>文部科学省</v>
      </c>
      <c r="C30" s="38" t="str">
        <f>'法人一覧(26)'!C30</f>
        <v>日本スポーツ振興センター</v>
      </c>
      <c r="D30" s="60">
        <v>5</v>
      </c>
      <c r="E30" s="57" t="s">
        <v>362</v>
      </c>
      <c r="F30" s="60">
        <v>6</v>
      </c>
      <c r="G30" s="57" t="s">
        <v>572</v>
      </c>
    </row>
    <row r="31" spans="1:7" ht="61.8" customHeight="1">
      <c r="A31" s="26">
        <f>'法人一覧(26)'!A31</f>
        <v>28</v>
      </c>
      <c r="B31" s="38" t="str">
        <f>'法人一覧(26)'!B31</f>
        <v>文部科学省</v>
      </c>
      <c r="C31" s="38" t="str">
        <f>'法人一覧(26)'!C31</f>
        <v>日本芸術文化振興会</v>
      </c>
      <c r="D31" s="60" t="s">
        <v>353</v>
      </c>
      <c r="E31" s="88" t="s">
        <v>353</v>
      </c>
      <c r="F31" s="88" t="s">
        <v>557</v>
      </c>
      <c r="G31" s="92" t="s">
        <v>558</v>
      </c>
    </row>
    <row r="32" spans="1:7" ht="28.2" customHeight="1">
      <c r="A32" s="26">
        <f>'法人一覧(26)'!A32</f>
        <v>29</v>
      </c>
      <c r="B32" s="38" t="str">
        <f>'法人一覧(26)'!B32</f>
        <v>文部科学省</v>
      </c>
      <c r="C32" s="38" t="str">
        <f>'法人一覧(26)'!C32</f>
        <v>日本学生支援機構</v>
      </c>
      <c r="D32" s="60" t="s">
        <v>353</v>
      </c>
      <c r="E32" s="88" t="s">
        <v>353</v>
      </c>
      <c r="F32" s="60">
        <v>3</v>
      </c>
      <c r="G32" s="57" t="s">
        <v>382</v>
      </c>
    </row>
    <row r="33" spans="1:7" ht="18" customHeight="1">
      <c r="A33" s="26">
        <f>'法人一覧(26)'!A33</f>
        <v>30</v>
      </c>
      <c r="B33" s="38" t="str">
        <f>'法人一覧(26)'!B33</f>
        <v>文部科学省</v>
      </c>
      <c r="C33" s="38" t="str">
        <f>'法人一覧(26)'!C33</f>
        <v>海洋研究開発機構</v>
      </c>
      <c r="D33" s="60" t="s">
        <v>353</v>
      </c>
      <c r="E33" s="88" t="s">
        <v>353</v>
      </c>
      <c r="F33" s="60">
        <v>2</v>
      </c>
      <c r="G33" s="57" t="s">
        <v>419</v>
      </c>
    </row>
    <row r="34" spans="1:7">
      <c r="A34" s="26">
        <f>'法人一覧(26)'!A34</f>
        <v>31</v>
      </c>
      <c r="B34" s="38" t="str">
        <f>'法人一覧(26)'!B34</f>
        <v>文部科学省</v>
      </c>
      <c r="C34" s="38" t="str">
        <f>'法人一覧(26)'!C34</f>
        <v>国立高等専門学校機構</v>
      </c>
      <c r="D34" s="60" t="s">
        <v>353</v>
      </c>
      <c r="E34" s="88" t="s">
        <v>353</v>
      </c>
      <c r="F34" s="60" t="s">
        <v>421</v>
      </c>
      <c r="G34" s="88" t="s">
        <v>421</v>
      </c>
    </row>
    <row r="35" spans="1:7" ht="44.4" customHeight="1">
      <c r="A35" s="26">
        <f>'法人一覧(26)'!A35</f>
        <v>32</v>
      </c>
      <c r="B35" s="38" t="str">
        <f>'法人一覧(26)'!B35</f>
        <v>文部科学省</v>
      </c>
      <c r="C35" s="38" t="str">
        <f>'法人一覧(26)'!C35</f>
        <v>大学評価・学位授与機構</v>
      </c>
      <c r="D35" s="60" t="s">
        <v>353</v>
      </c>
      <c r="E35" s="88" t="s">
        <v>353</v>
      </c>
      <c r="F35" s="60">
        <v>6</v>
      </c>
      <c r="G35" s="57" t="s">
        <v>561</v>
      </c>
    </row>
    <row r="36" spans="1:7" ht="45.6" customHeight="1">
      <c r="A36" s="26">
        <f>'法人一覧(26)'!A36</f>
        <v>33</v>
      </c>
      <c r="B36" s="38" t="str">
        <f>'法人一覧(26)'!B36</f>
        <v>文部科学省</v>
      </c>
      <c r="C36" s="38" t="str">
        <f>'法人一覧(26)'!C36</f>
        <v>国立大学財務・経営センター</v>
      </c>
      <c r="D36" s="60">
        <v>2</v>
      </c>
      <c r="E36" s="57" t="s">
        <v>363</v>
      </c>
      <c r="F36" s="88">
        <v>1</v>
      </c>
      <c r="G36" s="57" t="s">
        <v>569</v>
      </c>
    </row>
    <row r="37" spans="1:7" ht="153" customHeight="1">
      <c r="A37" s="26">
        <f>'法人一覧(26)'!A37</f>
        <v>34</v>
      </c>
      <c r="B37" s="38" t="str">
        <f>'法人一覧(26)'!B37</f>
        <v>文部科学省</v>
      </c>
      <c r="C37" s="38" t="str">
        <f>'法人一覧(26)'!C37</f>
        <v>日本原子力研究開発機構</v>
      </c>
      <c r="D37" s="60">
        <v>3</v>
      </c>
      <c r="E37" s="57" t="s">
        <v>364</v>
      </c>
      <c r="F37" s="60">
        <v>9</v>
      </c>
      <c r="G37" s="57" t="s">
        <v>571</v>
      </c>
    </row>
    <row r="38" spans="1:7">
      <c r="A38" s="26">
        <f>'法人一覧(26)'!A38</f>
        <v>35</v>
      </c>
      <c r="B38" s="38" t="str">
        <f>'法人一覧(26)'!B38</f>
        <v>厚生労働省</v>
      </c>
      <c r="C38" s="38" t="str">
        <f>'法人一覧(26)'!C38</f>
        <v>国立健康・栄養研究所</v>
      </c>
      <c r="D38" s="60" t="s">
        <v>353</v>
      </c>
      <c r="E38" s="88" t="s">
        <v>353</v>
      </c>
      <c r="F38" s="60" t="s">
        <v>353</v>
      </c>
      <c r="G38" s="88" t="s">
        <v>353</v>
      </c>
    </row>
    <row r="39" spans="1:7" ht="19.8" customHeight="1">
      <c r="A39" s="26">
        <f>'法人一覧(26)'!A39</f>
        <v>36</v>
      </c>
      <c r="B39" s="38" t="str">
        <f>'法人一覧(26)'!B39</f>
        <v>厚生労働省</v>
      </c>
      <c r="C39" s="38" t="str">
        <f>'法人一覧(26)'!C39</f>
        <v>労働安全衛生総合研究所</v>
      </c>
      <c r="D39" s="60">
        <v>2</v>
      </c>
      <c r="E39" s="57" t="s">
        <v>365</v>
      </c>
      <c r="F39" s="60" t="s">
        <v>353</v>
      </c>
      <c r="G39" s="88" t="s">
        <v>353</v>
      </c>
    </row>
    <row r="40" spans="1:7" ht="58.2" customHeight="1">
      <c r="A40" s="26">
        <f>'法人一覧(26)'!A40</f>
        <v>37</v>
      </c>
      <c r="B40" s="38" t="str">
        <f>'法人一覧(26)'!B40</f>
        <v>厚生労働省</v>
      </c>
      <c r="C40" s="38" t="str">
        <f>'法人一覧(26)'!C40</f>
        <v>勤労者退職金共済機構</v>
      </c>
      <c r="D40" s="60">
        <v>6</v>
      </c>
      <c r="E40" s="57" t="s">
        <v>366</v>
      </c>
      <c r="F40" s="60">
        <v>5</v>
      </c>
      <c r="G40" s="57" t="s">
        <v>563</v>
      </c>
    </row>
    <row r="41" spans="1:7" ht="68.400000000000006" customHeight="1">
      <c r="A41" s="26">
        <f>'法人一覧(26)'!A41</f>
        <v>38</v>
      </c>
      <c r="B41" s="38" t="str">
        <f>'法人一覧(26)'!B41</f>
        <v>厚生労働省</v>
      </c>
      <c r="C41" s="38" t="str">
        <f>'法人一覧(26)'!C41</f>
        <v>高齢・障害・求職者雇用支援機構</v>
      </c>
      <c r="D41" s="60">
        <v>6</v>
      </c>
      <c r="E41" s="57" t="s">
        <v>383</v>
      </c>
      <c r="F41" s="60">
        <v>7</v>
      </c>
      <c r="G41" s="57" t="s">
        <v>564</v>
      </c>
    </row>
    <row r="42" spans="1:7" ht="100.95" customHeight="1">
      <c r="A42" s="26">
        <f>'法人一覧(26)'!A42</f>
        <v>39</v>
      </c>
      <c r="B42" s="38" t="str">
        <f>'法人一覧(26)'!B42</f>
        <v>厚生労働省</v>
      </c>
      <c r="C42" s="38" t="str">
        <f>'法人一覧(26)'!C42</f>
        <v>福祉医療機構</v>
      </c>
      <c r="D42" s="60">
        <v>7</v>
      </c>
      <c r="E42" s="57" t="s">
        <v>384</v>
      </c>
      <c r="F42" s="60">
        <v>13</v>
      </c>
      <c r="G42" s="57" t="s">
        <v>566</v>
      </c>
    </row>
    <row r="43" spans="1:7" ht="60.6" customHeight="1">
      <c r="A43" s="26">
        <f>'法人一覧(26)'!A43</f>
        <v>40</v>
      </c>
      <c r="B43" s="38" t="str">
        <f>'法人一覧(26)'!B43</f>
        <v>厚生労働省</v>
      </c>
      <c r="C43" s="38" t="str">
        <f>'法人一覧(26)'!C43</f>
        <v>国立重度知的障害者総合施設のぞみの園</v>
      </c>
      <c r="D43" s="60" t="s">
        <v>353</v>
      </c>
      <c r="E43" s="88" t="s">
        <v>353</v>
      </c>
      <c r="F43" s="60">
        <v>7</v>
      </c>
      <c r="G43" s="57" t="s">
        <v>568</v>
      </c>
    </row>
    <row r="44" spans="1:7" ht="22.8" customHeight="1">
      <c r="A44" s="26">
        <f>'法人一覧(26)'!A44</f>
        <v>41</v>
      </c>
      <c r="B44" s="38" t="str">
        <f>'法人一覧(26)'!B44</f>
        <v>厚生労働省</v>
      </c>
      <c r="C44" s="38" t="str">
        <f>'法人一覧(26)'!C44</f>
        <v>労働政策研究・研修機構</v>
      </c>
      <c r="D44" s="60">
        <v>3</v>
      </c>
      <c r="E44" s="57" t="s">
        <v>369</v>
      </c>
      <c r="F44" s="60">
        <v>3</v>
      </c>
      <c r="G44" s="57" t="s">
        <v>369</v>
      </c>
    </row>
    <row r="45" spans="1:7" ht="58.8" customHeight="1">
      <c r="A45" s="26">
        <f>'法人一覧(26)'!A45</f>
        <v>42</v>
      </c>
      <c r="B45" s="38" t="str">
        <f>'法人一覧(26)'!B45</f>
        <v>厚生労働省</v>
      </c>
      <c r="C45" s="38" t="str">
        <f>'法人一覧(26)'!C45</f>
        <v>労働者健康福祉機構</v>
      </c>
      <c r="D45" s="60" t="s">
        <v>353</v>
      </c>
      <c r="E45" s="88" t="s">
        <v>353</v>
      </c>
      <c r="F45" s="60">
        <v>8</v>
      </c>
      <c r="G45" s="57" t="s">
        <v>385</v>
      </c>
    </row>
    <row r="46" spans="1:7" ht="18.600000000000001" customHeight="1">
      <c r="A46" s="26">
        <f>'法人一覧(26)'!A46</f>
        <v>43</v>
      </c>
      <c r="B46" s="38" t="str">
        <f>'法人一覧(26)'!B46</f>
        <v>厚生労働省</v>
      </c>
      <c r="C46" s="38" t="str">
        <f>'法人一覧(26)'!C46</f>
        <v>国立病院機構</v>
      </c>
      <c r="D46" s="60" t="s">
        <v>353</v>
      </c>
      <c r="E46" s="88" t="s">
        <v>353</v>
      </c>
      <c r="F46" s="98">
        <v>3</v>
      </c>
      <c r="G46" s="95" t="s">
        <v>371</v>
      </c>
    </row>
    <row r="47" spans="1:7" ht="50.4" customHeight="1">
      <c r="A47" s="26">
        <f>'法人一覧(26)'!A47</f>
        <v>44</v>
      </c>
      <c r="B47" s="38" t="str">
        <f>'法人一覧(26)'!B47</f>
        <v>厚生労働省</v>
      </c>
      <c r="C47" s="38" t="str">
        <f>'法人一覧(26)'!C47</f>
        <v>医薬品医療機器総合機構</v>
      </c>
      <c r="D47" s="60">
        <v>6</v>
      </c>
      <c r="E47" s="57" t="s">
        <v>372</v>
      </c>
      <c r="F47" s="60">
        <v>7</v>
      </c>
      <c r="G47" s="57" t="s">
        <v>567</v>
      </c>
    </row>
    <row r="48" spans="1:7" ht="45.6" customHeight="1">
      <c r="A48" s="26">
        <f>'法人一覧(26)'!A48</f>
        <v>45</v>
      </c>
      <c r="B48" s="38" t="str">
        <f>'法人一覧(26)'!B48</f>
        <v>厚生労働省</v>
      </c>
      <c r="C48" s="38" t="str">
        <f>'法人一覧(26)'!C48</f>
        <v>医薬基盤研究所</v>
      </c>
      <c r="D48" s="60">
        <v>3</v>
      </c>
      <c r="E48" s="57" t="s">
        <v>373</v>
      </c>
      <c r="F48" s="60">
        <v>6</v>
      </c>
      <c r="G48" s="57" t="s">
        <v>550</v>
      </c>
    </row>
    <row r="49" spans="1:7" ht="18" customHeight="1">
      <c r="A49" s="26">
        <f>'法人一覧(26)'!A49</f>
        <v>46</v>
      </c>
      <c r="B49" s="38" t="str">
        <f>'法人一覧(26)'!B49</f>
        <v>厚生労働省</v>
      </c>
      <c r="C49" s="38" t="str">
        <f>'法人一覧(26)'!C49</f>
        <v>地域医療機能推進機構</v>
      </c>
      <c r="D49" s="60" t="s">
        <v>353</v>
      </c>
      <c r="E49" s="88" t="s">
        <v>353</v>
      </c>
      <c r="F49" s="60">
        <v>3</v>
      </c>
      <c r="G49" s="57" t="s">
        <v>386</v>
      </c>
    </row>
    <row r="50" spans="1:7" ht="16.8" customHeight="1">
      <c r="A50" s="26">
        <f>'法人一覧(26)'!A50</f>
        <v>47</v>
      </c>
      <c r="B50" s="38" t="str">
        <f>'法人一覧(26)'!B50</f>
        <v>厚生労働省</v>
      </c>
      <c r="C50" s="38" t="str">
        <f>'法人一覧(26)'!C50</f>
        <v>年金積立金管理運用</v>
      </c>
      <c r="D50" s="60">
        <v>3</v>
      </c>
      <c r="E50" s="57" t="s">
        <v>375</v>
      </c>
      <c r="F50" s="60" t="s">
        <v>353</v>
      </c>
      <c r="G50" s="88" t="s">
        <v>353</v>
      </c>
    </row>
    <row r="51" spans="1:7" ht="31.8" customHeight="1">
      <c r="A51" s="26">
        <f>'法人一覧(26)'!A51</f>
        <v>48</v>
      </c>
      <c r="B51" s="38" t="str">
        <f>'法人一覧(26)'!B51</f>
        <v>厚生労働省</v>
      </c>
      <c r="C51" s="38" t="str">
        <f>'法人一覧(26)'!C51</f>
        <v>国立がん研究センター</v>
      </c>
      <c r="D51" s="60" t="s">
        <v>353</v>
      </c>
      <c r="E51" s="88" t="s">
        <v>353</v>
      </c>
      <c r="F51" s="60">
        <v>5</v>
      </c>
      <c r="G51" s="57" t="s">
        <v>376</v>
      </c>
    </row>
    <row r="52" spans="1:7" ht="31.8" customHeight="1">
      <c r="A52" s="26">
        <f>'法人一覧(26)'!A52</f>
        <v>49</v>
      </c>
      <c r="B52" s="38" t="str">
        <f>'法人一覧(26)'!B52</f>
        <v>厚生労働省</v>
      </c>
      <c r="C52" s="38" t="str">
        <f>'法人一覧(26)'!C52</f>
        <v>国立循環器病研究センター</v>
      </c>
      <c r="D52" s="60" t="s">
        <v>353</v>
      </c>
      <c r="E52" s="88" t="s">
        <v>353</v>
      </c>
      <c r="F52" s="60">
        <v>5</v>
      </c>
      <c r="G52" s="57" t="s">
        <v>376</v>
      </c>
    </row>
    <row r="53" spans="1:7" ht="31.2" customHeight="1">
      <c r="A53" s="26">
        <f>'法人一覧(26)'!A53</f>
        <v>50</v>
      </c>
      <c r="B53" s="38" t="str">
        <f>'法人一覧(26)'!B53</f>
        <v>厚生労働省</v>
      </c>
      <c r="C53" s="38" t="str">
        <f>'法人一覧(26)'!C53</f>
        <v>国立精神・神経医療研究センター</v>
      </c>
      <c r="D53" s="60" t="s">
        <v>353</v>
      </c>
      <c r="E53" s="88" t="s">
        <v>353</v>
      </c>
      <c r="F53" s="60">
        <v>5</v>
      </c>
      <c r="G53" s="57" t="s">
        <v>376</v>
      </c>
    </row>
    <row r="54" spans="1:7" ht="49.2" customHeight="1">
      <c r="A54" s="26">
        <f>'法人一覧(26)'!A54</f>
        <v>51</v>
      </c>
      <c r="B54" s="38" t="str">
        <f>'法人一覧(26)'!B54</f>
        <v>厚生労働省</v>
      </c>
      <c r="C54" s="38" t="str">
        <f>'法人一覧(26)'!C54</f>
        <v>国立国際医療研究センター</v>
      </c>
      <c r="D54" s="60" t="s">
        <v>353</v>
      </c>
      <c r="E54" s="88" t="s">
        <v>353</v>
      </c>
      <c r="F54" s="60">
        <v>7</v>
      </c>
      <c r="G54" s="57" t="s">
        <v>377</v>
      </c>
    </row>
    <row r="55" spans="1:7" ht="33" customHeight="1">
      <c r="A55" s="26">
        <f>'法人一覧(26)'!A55</f>
        <v>52</v>
      </c>
      <c r="B55" s="38" t="str">
        <f>'法人一覧(26)'!B55</f>
        <v>厚生労働省</v>
      </c>
      <c r="C55" s="38" t="str">
        <f>'法人一覧(26)'!C55</f>
        <v>国立成育医療研究センター</v>
      </c>
      <c r="D55" s="60" t="s">
        <v>353</v>
      </c>
      <c r="E55" s="88" t="s">
        <v>353</v>
      </c>
      <c r="F55" s="99">
        <v>5</v>
      </c>
      <c r="G55" s="95" t="s">
        <v>378</v>
      </c>
    </row>
    <row r="56" spans="1:7" ht="31.8" customHeight="1">
      <c r="A56" s="26">
        <f>'法人一覧(26)'!A56</f>
        <v>53</v>
      </c>
      <c r="B56" s="38" t="str">
        <f>'法人一覧(26)'!B56</f>
        <v>厚生労働省</v>
      </c>
      <c r="C56" s="38" t="str">
        <f>'法人一覧(26)'!C56</f>
        <v>国立長寿医療研究センター</v>
      </c>
      <c r="D56" s="60" t="s">
        <v>353</v>
      </c>
      <c r="E56" s="88" t="s">
        <v>353</v>
      </c>
      <c r="F56" s="98">
        <v>5</v>
      </c>
      <c r="G56" s="95" t="s">
        <v>378</v>
      </c>
    </row>
    <row r="57" spans="1:7" ht="123" customHeight="1">
      <c r="A57" s="26">
        <f>'法人一覧(26)'!A57</f>
        <v>54</v>
      </c>
      <c r="B57" s="38" t="str">
        <f>'法人一覧(26)'!B57</f>
        <v>農林水産省</v>
      </c>
      <c r="C57" s="38" t="str">
        <f>'法人一覧(26)'!C57</f>
        <v>農林水産消費安全技術センター</v>
      </c>
      <c r="D57" s="55" t="s">
        <v>233</v>
      </c>
      <c r="E57" s="55" t="s">
        <v>233</v>
      </c>
      <c r="F57" s="60">
        <v>6</v>
      </c>
      <c r="G57" s="57" t="s">
        <v>275</v>
      </c>
    </row>
    <row r="58" spans="1:7" ht="31.8" customHeight="1">
      <c r="A58" s="26">
        <f>'法人一覧(26)'!A58</f>
        <v>55</v>
      </c>
      <c r="B58" s="38" t="str">
        <f>'法人一覧(26)'!B58</f>
        <v>農林水産省</v>
      </c>
      <c r="C58" s="38" t="str">
        <f>'法人一覧(26)'!C58</f>
        <v>種苗管理センター</v>
      </c>
      <c r="D58" s="64" t="s">
        <v>233</v>
      </c>
      <c r="E58" s="64" t="s">
        <v>233</v>
      </c>
      <c r="F58" s="64">
        <v>5</v>
      </c>
      <c r="G58" s="4" t="s">
        <v>436</v>
      </c>
    </row>
    <row r="59" spans="1:7" ht="34.799999999999997" customHeight="1">
      <c r="A59" s="26">
        <f>'法人一覧(26)'!A59</f>
        <v>56</v>
      </c>
      <c r="B59" s="38" t="str">
        <f>'法人一覧(26)'!B59</f>
        <v>農林水産省</v>
      </c>
      <c r="C59" s="38" t="str">
        <f>'法人一覧(26)'!C59</f>
        <v>家畜改良センター</v>
      </c>
      <c r="D59" s="48" t="s">
        <v>233</v>
      </c>
      <c r="E59" s="48" t="s">
        <v>233</v>
      </c>
      <c r="F59" s="48">
        <v>4</v>
      </c>
      <c r="G59" s="4" t="s">
        <v>259</v>
      </c>
    </row>
    <row r="60" spans="1:7">
      <c r="A60" s="26">
        <f>'法人一覧(26)'!A60</f>
        <v>57</v>
      </c>
      <c r="B60" s="38" t="str">
        <f>'法人一覧(26)'!B60</f>
        <v>農林水産省</v>
      </c>
      <c r="C60" s="38" t="str">
        <f>'法人一覧(26)'!C60</f>
        <v>水産大学校</v>
      </c>
      <c r="D60" s="64" t="s">
        <v>233</v>
      </c>
      <c r="E60" s="64" t="s">
        <v>233</v>
      </c>
      <c r="F60" s="64" t="s">
        <v>233</v>
      </c>
      <c r="G60" s="64" t="s">
        <v>233</v>
      </c>
    </row>
    <row r="61" spans="1:7" ht="192.6" customHeight="1">
      <c r="A61" s="26">
        <f>'法人一覧(26)'!A61</f>
        <v>58</v>
      </c>
      <c r="B61" s="38" t="str">
        <f>'法人一覧(26)'!B61</f>
        <v>農林水産省</v>
      </c>
      <c r="C61" s="38" t="str">
        <f>'法人一覧(26)'!C61</f>
        <v>農業・食品産業技術総合研究機構</v>
      </c>
      <c r="D61" s="64">
        <v>5</v>
      </c>
      <c r="E61" s="4" t="s">
        <v>304</v>
      </c>
      <c r="F61" s="64">
        <v>19</v>
      </c>
      <c r="G61" s="4" t="s">
        <v>440</v>
      </c>
    </row>
    <row r="62" spans="1:7" ht="19.8" customHeight="1">
      <c r="A62" s="26">
        <f>'法人一覧(26)'!A62</f>
        <v>59</v>
      </c>
      <c r="B62" s="38" t="str">
        <f>'法人一覧(26)'!B62</f>
        <v>農林水産省</v>
      </c>
      <c r="C62" s="38" t="str">
        <f>'法人一覧(26)'!C62</f>
        <v>農業生物資源研究所</v>
      </c>
      <c r="D62" s="64" t="s">
        <v>233</v>
      </c>
      <c r="E62" s="64" t="s">
        <v>233</v>
      </c>
      <c r="F62" s="64">
        <v>3</v>
      </c>
      <c r="G62" s="4" t="s">
        <v>305</v>
      </c>
    </row>
    <row r="63" spans="1:7">
      <c r="A63" s="26">
        <f>'法人一覧(26)'!A63</f>
        <v>60</v>
      </c>
      <c r="B63" s="38" t="str">
        <f>'法人一覧(26)'!B63</f>
        <v>農林水産省</v>
      </c>
      <c r="C63" s="38" t="str">
        <f>'法人一覧(26)'!C63</f>
        <v>農業環境技術研究所</v>
      </c>
      <c r="D63" s="64" t="s">
        <v>233</v>
      </c>
      <c r="E63" s="64" t="s">
        <v>233</v>
      </c>
      <c r="F63" s="64" t="s">
        <v>233</v>
      </c>
      <c r="G63" s="64" t="s">
        <v>233</v>
      </c>
    </row>
    <row r="64" spans="1:7" ht="32.4" customHeight="1">
      <c r="A64" s="26">
        <f>'法人一覧(26)'!A64</f>
        <v>61</v>
      </c>
      <c r="B64" s="38" t="str">
        <f>'法人一覧(26)'!B64</f>
        <v>農林水産省</v>
      </c>
      <c r="C64" s="38" t="str">
        <f>'法人一覧(26)'!C64</f>
        <v>国際農林水産業研究センター</v>
      </c>
      <c r="D64" s="49" t="s">
        <v>233</v>
      </c>
      <c r="E64" s="49" t="s">
        <v>233</v>
      </c>
      <c r="F64" s="26">
        <v>4</v>
      </c>
      <c r="G64" s="4" t="s">
        <v>261</v>
      </c>
    </row>
    <row r="65" spans="1:7" ht="92.4" customHeight="1">
      <c r="A65" s="26">
        <f>'法人一覧(26)'!A65</f>
        <v>62</v>
      </c>
      <c r="B65" s="38" t="str">
        <f>'法人一覧(26)'!B65</f>
        <v>農林水産省</v>
      </c>
      <c r="C65" s="38" t="str">
        <f>'法人一覧(26)'!C65</f>
        <v>森林総合研究所</v>
      </c>
      <c r="D65" s="60">
        <v>3</v>
      </c>
      <c r="E65" s="57" t="s">
        <v>276</v>
      </c>
      <c r="F65" s="60">
        <v>7</v>
      </c>
      <c r="G65" s="57" t="s">
        <v>277</v>
      </c>
    </row>
    <row r="66" spans="1:7" ht="19.8" customHeight="1">
      <c r="A66" s="26">
        <f>'法人一覧(26)'!A66</f>
        <v>63</v>
      </c>
      <c r="B66" s="38" t="str">
        <f>'法人一覧(26)'!B66</f>
        <v>農林水産省</v>
      </c>
      <c r="C66" s="38" t="str">
        <f>'法人一覧(26)'!C66</f>
        <v>水産総合研究センター</v>
      </c>
      <c r="D66" s="64">
        <v>2</v>
      </c>
      <c r="E66" s="4" t="s">
        <v>306</v>
      </c>
      <c r="F66" s="64" t="s">
        <v>233</v>
      </c>
      <c r="G66" s="64" t="s">
        <v>233</v>
      </c>
    </row>
    <row r="67" spans="1:7" ht="31.8" customHeight="1">
      <c r="A67" s="26">
        <f>'法人一覧(26)'!A67</f>
        <v>64</v>
      </c>
      <c r="B67" s="38" t="str">
        <f>'法人一覧(26)'!B67</f>
        <v>農林水産省</v>
      </c>
      <c r="C67" s="38" t="str">
        <f>'法人一覧(26)'!C67</f>
        <v>農畜産業振興機構</v>
      </c>
      <c r="D67" s="50">
        <v>7</v>
      </c>
      <c r="E67" s="4" t="s">
        <v>262</v>
      </c>
      <c r="F67" s="50" t="s">
        <v>233</v>
      </c>
      <c r="G67" s="50" t="s">
        <v>233</v>
      </c>
    </row>
    <row r="68" spans="1:7" ht="34.200000000000003" customHeight="1">
      <c r="A68" s="26">
        <f>'法人一覧(26)'!A68</f>
        <v>65</v>
      </c>
      <c r="B68" s="38" t="str">
        <f>'法人一覧(26)'!B68</f>
        <v>農林水産省</v>
      </c>
      <c r="C68" s="38" t="str">
        <f>'法人一覧(26)'!C68</f>
        <v>農業者年金基金</v>
      </c>
      <c r="D68" s="50">
        <v>4</v>
      </c>
      <c r="E68" s="4" t="s">
        <v>264</v>
      </c>
      <c r="F68" s="50">
        <v>3</v>
      </c>
      <c r="G68" s="4" t="s">
        <v>263</v>
      </c>
    </row>
    <row r="69" spans="1:7" ht="109.2" customHeight="1">
      <c r="A69" s="26">
        <f>'法人一覧(26)'!A69</f>
        <v>66</v>
      </c>
      <c r="B69" s="38" t="str">
        <f>'法人一覧(26)'!B69</f>
        <v>農林水産省</v>
      </c>
      <c r="C69" s="38" t="str">
        <f>'法人一覧(26)'!C69</f>
        <v>農林漁業信用基金</v>
      </c>
      <c r="D69" s="50">
        <v>5</v>
      </c>
      <c r="E69" s="4" t="s">
        <v>265</v>
      </c>
      <c r="F69" s="50">
        <v>10</v>
      </c>
      <c r="G69" s="4" t="s">
        <v>266</v>
      </c>
    </row>
    <row r="70" spans="1:7">
      <c r="A70" s="26">
        <f>'法人一覧(26)'!A70</f>
        <v>67</v>
      </c>
      <c r="B70" s="38" t="str">
        <f>'法人一覧(26)'!B70</f>
        <v>経済産業省</v>
      </c>
      <c r="C70" s="38" t="str">
        <f>'法人一覧(26)'!C70</f>
        <v>経済産業研究所</v>
      </c>
      <c r="D70" s="50" t="s">
        <v>233</v>
      </c>
      <c r="E70" s="50" t="s">
        <v>233</v>
      </c>
      <c r="F70" s="50" t="s">
        <v>233</v>
      </c>
      <c r="G70" s="50" t="s">
        <v>233</v>
      </c>
    </row>
    <row r="71" spans="1:7">
      <c r="A71" s="26">
        <f>'法人一覧(26)'!A71</f>
        <v>68</v>
      </c>
      <c r="B71" s="38" t="str">
        <f>'法人一覧(26)'!B71</f>
        <v>経済産業省</v>
      </c>
      <c r="C71" s="38" t="str">
        <f>'法人一覧(26)'!C71</f>
        <v>工業所有権情報・研修館</v>
      </c>
      <c r="D71" s="56" t="s">
        <v>233</v>
      </c>
      <c r="E71" s="56" t="s">
        <v>233</v>
      </c>
      <c r="F71" s="56" t="s">
        <v>233</v>
      </c>
      <c r="G71" s="56" t="s">
        <v>233</v>
      </c>
    </row>
    <row r="72" spans="1:7">
      <c r="A72" s="26">
        <f>'法人一覧(26)'!A72</f>
        <v>69</v>
      </c>
      <c r="B72" s="38" t="str">
        <f>'法人一覧(26)'!B72</f>
        <v>経済産業省</v>
      </c>
      <c r="C72" s="38" t="str">
        <f>'法人一覧(26)'!C72</f>
        <v>日本貿易保険</v>
      </c>
      <c r="D72" s="53" t="s">
        <v>233</v>
      </c>
      <c r="E72" s="53" t="s">
        <v>233</v>
      </c>
      <c r="F72" s="53" t="s">
        <v>233</v>
      </c>
      <c r="G72" s="53" t="s">
        <v>233</v>
      </c>
    </row>
    <row r="73" spans="1:7" ht="31.2" customHeight="1">
      <c r="A73" s="26">
        <f>'法人一覧(26)'!A73</f>
        <v>70</v>
      </c>
      <c r="B73" s="38" t="str">
        <f>'法人一覧(26)'!B73</f>
        <v>経済産業省</v>
      </c>
      <c r="C73" s="38" t="str">
        <f>'法人一覧(26)'!C73</f>
        <v>産業技術総合研究所</v>
      </c>
      <c r="D73" s="53" t="s">
        <v>233</v>
      </c>
      <c r="E73" s="53" t="s">
        <v>233</v>
      </c>
      <c r="F73" s="53">
        <v>4</v>
      </c>
      <c r="G73" s="4" t="s">
        <v>273</v>
      </c>
    </row>
    <row r="74" spans="1:7" ht="31.8" customHeight="1">
      <c r="A74" s="26">
        <f>'法人一覧(26)'!A74</f>
        <v>71</v>
      </c>
      <c r="B74" s="38" t="str">
        <f>'法人一覧(26)'!B74</f>
        <v>経済産業省</v>
      </c>
      <c r="C74" s="38" t="str">
        <f>'法人一覧(26)'!C74</f>
        <v>製品評価技術基盤機構</v>
      </c>
      <c r="D74" s="53" t="s">
        <v>233</v>
      </c>
      <c r="E74" s="53" t="s">
        <v>233</v>
      </c>
      <c r="F74" s="53">
        <v>4</v>
      </c>
      <c r="G74" s="4" t="s">
        <v>274</v>
      </c>
    </row>
    <row r="75" spans="1:7" ht="66">
      <c r="A75" s="26">
        <f>'法人一覧(26)'!A75</f>
        <v>72</v>
      </c>
      <c r="B75" s="38" t="str">
        <f>'法人一覧(26)'!B75</f>
        <v>経済産業省</v>
      </c>
      <c r="C75" s="38" t="str">
        <f>'法人一覧(26)'!C75</f>
        <v>新エネルギー・産業技術総合開発機構</v>
      </c>
      <c r="D75" s="60">
        <v>5</v>
      </c>
      <c r="E75" s="57" t="s">
        <v>278</v>
      </c>
      <c r="F75" s="60">
        <v>3</v>
      </c>
      <c r="G75" s="57" t="s">
        <v>279</v>
      </c>
    </row>
    <row r="76" spans="1:7" ht="36.6" customHeight="1">
      <c r="A76" s="26">
        <f>'法人一覧(26)'!A76</f>
        <v>73</v>
      </c>
      <c r="B76" s="38" t="str">
        <f>'法人一覧(26)'!B76</f>
        <v>経済産業省</v>
      </c>
      <c r="C76" s="38" t="str">
        <f>'法人一覧(26)'!C76</f>
        <v>日本貿易振興機構</v>
      </c>
      <c r="D76" s="55" t="s">
        <v>233</v>
      </c>
      <c r="E76" s="55" t="s">
        <v>233</v>
      </c>
      <c r="F76" s="60">
        <v>2</v>
      </c>
      <c r="G76" s="57" t="s">
        <v>280</v>
      </c>
    </row>
    <row r="77" spans="1:7" ht="103.8" customHeight="1">
      <c r="A77" s="26">
        <f>'法人一覧(26)'!A77</f>
        <v>74</v>
      </c>
      <c r="B77" s="38" t="str">
        <f>'法人一覧(26)'!B77</f>
        <v>経済産業省</v>
      </c>
      <c r="C77" s="38" t="str">
        <f>'法人一覧(26)'!C77</f>
        <v>情報処理推進機構</v>
      </c>
      <c r="D77" s="60">
        <v>4</v>
      </c>
      <c r="E77" s="57" t="s">
        <v>281</v>
      </c>
      <c r="F77" s="60">
        <v>7</v>
      </c>
      <c r="G77" s="57" t="s">
        <v>282</v>
      </c>
    </row>
    <row r="78" spans="1:7" ht="60" customHeight="1">
      <c r="A78" s="26">
        <f>'法人一覧(26)'!A78</f>
        <v>75</v>
      </c>
      <c r="B78" s="38" t="str">
        <f>'法人一覧(26)'!B78</f>
        <v>経済産業省</v>
      </c>
      <c r="C78" s="38" t="str">
        <f>'法人一覧(26)'!C78</f>
        <v>石油天然ガス・金属鉱物資源機構</v>
      </c>
      <c r="D78" s="64">
        <v>6</v>
      </c>
      <c r="E78" s="4" t="s">
        <v>307</v>
      </c>
      <c r="F78" s="64">
        <v>8</v>
      </c>
      <c r="G78" s="4" t="s">
        <v>308</v>
      </c>
    </row>
    <row r="79" spans="1:7" ht="162" customHeight="1">
      <c r="A79" s="26">
        <f>'法人一覧(26)'!A79</f>
        <v>76</v>
      </c>
      <c r="B79" s="38" t="str">
        <f>'法人一覧(26)'!B79</f>
        <v>経済産業省</v>
      </c>
      <c r="C79" s="38" t="str">
        <f>'法人一覧(26)'!C79</f>
        <v>中小企業基盤整備機構</v>
      </c>
      <c r="D79" s="64">
        <v>6</v>
      </c>
      <c r="E79" s="4" t="s">
        <v>310</v>
      </c>
      <c r="F79" s="104">
        <v>11</v>
      </c>
      <c r="G79" s="4" t="s">
        <v>443</v>
      </c>
    </row>
    <row r="80" spans="1:7" ht="49.2" customHeight="1">
      <c r="A80" s="26">
        <f>'法人一覧(26)'!A80</f>
        <v>77</v>
      </c>
      <c r="B80" s="38" t="str">
        <f>'法人一覧(26)'!B80</f>
        <v>国土交通省</v>
      </c>
      <c r="C80" s="38" t="str">
        <f>'法人一覧(26)'!C80</f>
        <v>土木研究所</v>
      </c>
      <c r="D80" s="66" t="s">
        <v>313</v>
      </c>
      <c r="E80" s="67" t="s">
        <v>313</v>
      </c>
      <c r="F80" s="60">
        <v>4</v>
      </c>
      <c r="G80" s="57" t="s">
        <v>453</v>
      </c>
    </row>
    <row r="81" spans="1:7" ht="48" customHeight="1">
      <c r="A81" s="26">
        <f>'法人一覧(26)'!A81</f>
        <v>78</v>
      </c>
      <c r="B81" s="38" t="str">
        <f>'法人一覧(26)'!B81</f>
        <v>国土交通省</v>
      </c>
      <c r="C81" s="38" t="str">
        <f>'法人一覧(26)'!C81</f>
        <v>建築研究所</v>
      </c>
      <c r="D81" s="66" t="s">
        <v>313</v>
      </c>
      <c r="E81" s="67" t="s">
        <v>313</v>
      </c>
      <c r="F81" s="60">
        <v>7</v>
      </c>
      <c r="G81" s="57" t="s">
        <v>454</v>
      </c>
    </row>
    <row r="82" spans="1:7" ht="18" customHeight="1">
      <c r="A82" s="26">
        <f>'法人一覧(26)'!A82</f>
        <v>79</v>
      </c>
      <c r="B82" s="38" t="str">
        <f>'法人一覧(26)'!B82</f>
        <v>国土交通省</v>
      </c>
      <c r="C82" s="38" t="str">
        <f>'法人一覧(26)'!C82</f>
        <v>交通安全環境研究所</v>
      </c>
      <c r="D82" s="66">
        <v>2</v>
      </c>
      <c r="E82" s="4" t="s">
        <v>321</v>
      </c>
      <c r="F82" s="108" t="s">
        <v>455</v>
      </c>
      <c r="G82" s="109" t="s">
        <v>455</v>
      </c>
    </row>
    <row r="83" spans="1:7">
      <c r="A83" s="26">
        <f>'法人一覧(26)'!A83</f>
        <v>80</v>
      </c>
      <c r="B83" s="38" t="str">
        <f>'法人一覧(26)'!B83</f>
        <v>国土交通省</v>
      </c>
      <c r="C83" s="38" t="str">
        <f>'法人一覧(26)'!C83</f>
        <v>海上技術安全研究所</v>
      </c>
      <c r="D83" s="66" t="s">
        <v>313</v>
      </c>
      <c r="E83" s="67" t="s">
        <v>313</v>
      </c>
      <c r="F83" s="108" t="s">
        <v>455</v>
      </c>
      <c r="G83" s="109" t="s">
        <v>455</v>
      </c>
    </row>
    <row r="84" spans="1:7" ht="60.6" customHeight="1">
      <c r="A84" s="26">
        <f>'法人一覧(26)'!A84</f>
        <v>81</v>
      </c>
      <c r="B84" s="38" t="str">
        <f>'法人一覧(26)'!B84</f>
        <v>国土交通省</v>
      </c>
      <c r="C84" s="38" t="str">
        <f>'法人一覧(26)'!C84</f>
        <v>港湾空港技術研究所</v>
      </c>
      <c r="D84" s="66" t="s">
        <v>313</v>
      </c>
      <c r="E84" s="67" t="s">
        <v>313</v>
      </c>
      <c r="F84" s="108">
        <v>9</v>
      </c>
      <c r="G84" s="57" t="s">
        <v>456</v>
      </c>
    </row>
    <row r="85" spans="1:7">
      <c r="A85" s="26">
        <f>'法人一覧(26)'!A85</f>
        <v>82</v>
      </c>
      <c r="B85" s="38" t="str">
        <f>'法人一覧(26)'!B85</f>
        <v>国土交通省</v>
      </c>
      <c r="C85" s="38" t="str">
        <f>'法人一覧(26)'!C85</f>
        <v>電子航法研究所</v>
      </c>
      <c r="D85" s="66" t="s">
        <v>313</v>
      </c>
      <c r="E85" s="67" t="s">
        <v>313</v>
      </c>
      <c r="F85" s="108" t="s">
        <v>455</v>
      </c>
      <c r="G85" s="109" t="s">
        <v>455</v>
      </c>
    </row>
    <row r="86" spans="1:7">
      <c r="A86" s="26">
        <f>'法人一覧(26)'!A86</f>
        <v>83</v>
      </c>
      <c r="B86" s="38" t="str">
        <f>'法人一覧(26)'!B86</f>
        <v>国土交通省</v>
      </c>
      <c r="C86" s="38" t="str">
        <f>'法人一覧(26)'!C86</f>
        <v>航海訓練所</v>
      </c>
      <c r="D86" s="66" t="s">
        <v>313</v>
      </c>
      <c r="E86" s="67" t="s">
        <v>313</v>
      </c>
      <c r="F86" s="108" t="s">
        <v>455</v>
      </c>
      <c r="G86" s="109" t="s">
        <v>455</v>
      </c>
    </row>
    <row r="87" spans="1:7" ht="37.200000000000003" customHeight="1">
      <c r="A87" s="26">
        <f>'法人一覧(26)'!A87</f>
        <v>84</v>
      </c>
      <c r="B87" s="38" t="str">
        <f>'法人一覧(26)'!B87</f>
        <v>国土交通省</v>
      </c>
      <c r="C87" s="38" t="str">
        <f>'法人一覧(26)'!C87</f>
        <v>海技教育機構</v>
      </c>
      <c r="D87" s="66" t="s">
        <v>333</v>
      </c>
      <c r="E87" s="67" t="s">
        <v>334</v>
      </c>
      <c r="F87" s="80">
        <v>5</v>
      </c>
      <c r="G87" s="79" t="s">
        <v>322</v>
      </c>
    </row>
    <row r="88" spans="1:7">
      <c r="A88" s="26">
        <f>'法人一覧(26)'!A88</f>
        <v>85</v>
      </c>
      <c r="B88" s="38" t="str">
        <f>'法人一覧(26)'!B88</f>
        <v>国土交通省</v>
      </c>
      <c r="C88" s="38" t="str">
        <f>'法人一覧(26)'!C88</f>
        <v>航空大学校</v>
      </c>
      <c r="D88" s="66" t="s">
        <v>333</v>
      </c>
      <c r="E88" s="67" t="s">
        <v>333</v>
      </c>
      <c r="F88" s="108" t="s">
        <v>455</v>
      </c>
      <c r="G88" s="109" t="s">
        <v>455</v>
      </c>
    </row>
    <row r="89" spans="1:7">
      <c r="A89" s="26">
        <f>'法人一覧(26)'!A89</f>
        <v>86</v>
      </c>
      <c r="B89" s="38" t="str">
        <f>'法人一覧(26)'!B89</f>
        <v>国土交通省</v>
      </c>
      <c r="C89" s="38" t="str">
        <f>'法人一覧(26)'!C89</f>
        <v>自動車検査</v>
      </c>
      <c r="D89" s="66" t="s">
        <v>335</v>
      </c>
      <c r="E89" s="67" t="s">
        <v>333</v>
      </c>
      <c r="F89" s="108" t="s">
        <v>455</v>
      </c>
      <c r="G89" s="109" t="s">
        <v>455</v>
      </c>
    </row>
    <row r="90" spans="1:7" ht="37.200000000000003" customHeight="1">
      <c r="A90" s="26">
        <f>'法人一覧(26)'!A90</f>
        <v>87</v>
      </c>
      <c r="B90" s="38" t="str">
        <f>'法人一覧(26)'!B90</f>
        <v>国土交通省</v>
      </c>
      <c r="C90" s="38" t="str">
        <f>'法人一覧(26)'!C90</f>
        <v>鉄道建設・運輸施設整備支援機構</v>
      </c>
      <c r="D90" s="80">
        <v>5</v>
      </c>
      <c r="E90" s="79" t="s">
        <v>323</v>
      </c>
      <c r="F90" s="108" t="s">
        <v>455</v>
      </c>
      <c r="G90" s="109" t="s">
        <v>455</v>
      </c>
    </row>
    <row r="91" spans="1:7" ht="25.2" customHeight="1">
      <c r="A91" s="26">
        <f>'法人一覧(26)'!A91</f>
        <v>88</v>
      </c>
      <c r="B91" s="38" t="str">
        <f>'法人一覧(26)'!B91</f>
        <v>国土交通省</v>
      </c>
      <c r="C91" s="38" t="str">
        <f>'法人一覧(26)'!C91</f>
        <v>国際観光振興機構</v>
      </c>
      <c r="D91" s="80">
        <v>2</v>
      </c>
      <c r="E91" s="79" t="s">
        <v>324</v>
      </c>
      <c r="F91" s="108" t="s">
        <v>455</v>
      </c>
      <c r="G91" s="109" t="s">
        <v>455</v>
      </c>
    </row>
    <row r="92" spans="1:7" ht="115.2" customHeight="1">
      <c r="A92" s="26">
        <f>'法人一覧(26)'!A92</f>
        <v>89</v>
      </c>
      <c r="B92" s="38" t="str">
        <f>'法人一覧(26)'!B92</f>
        <v>国土交通省</v>
      </c>
      <c r="C92" s="38" t="str">
        <f>'法人一覧(26)'!C92</f>
        <v>水資源機構</v>
      </c>
      <c r="D92" s="66" t="s">
        <v>333</v>
      </c>
      <c r="E92" s="67" t="s">
        <v>333</v>
      </c>
      <c r="F92" s="80">
        <v>11</v>
      </c>
      <c r="G92" s="57" t="s">
        <v>450</v>
      </c>
    </row>
    <row r="93" spans="1:7" ht="18.600000000000001" customHeight="1">
      <c r="A93" s="26">
        <f>'法人一覧(26)'!A93</f>
        <v>90</v>
      </c>
      <c r="B93" s="38" t="str">
        <f>'法人一覧(26)'!B93</f>
        <v>国土交通省</v>
      </c>
      <c r="C93" s="38" t="str">
        <f>'法人一覧(26)'!C93</f>
        <v>自動車事故対策機構</v>
      </c>
      <c r="D93" s="66" t="s">
        <v>335</v>
      </c>
      <c r="E93" s="67" t="s">
        <v>333</v>
      </c>
      <c r="F93" s="80">
        <v>3</v>
      </c>
      <c r="G93" s="79" t="s">
        <v>325</v>
      </c>
    </row>
    <row r="94" spans="1:7" ht="18" customHeight="1">
      <c r="A94" s="26">
        <f>'法人一覧(26)'!A94</f>
        <v>91</v>
      </c>
      <c r="B94" s="38" t="str">
        <f>'法人一覧(26)'!B94</f>
        <v>国土交通省</v>
      </c>
      <c r="C94" s="38" t="str">
        <f>'法人一覧(26)'!C94</f>
        <v>空港周辺整備機構</v>
      </c>
      <c r="D94" s="66" t="s">
        <v>333</v>
      </c>
      <c r="E94" s="67" t="s">
        <v>333</v>
      </c>
      <c r="F94" s="80">
        <v>3</v>
      </c>
      <c r="G94" s="79" t="s">
        <v>326</v>
      </c>
    </row>
    <row r="95" spans="1:7" ht="47.4" customHeight="1">
      <c r="A95" s="26">
        <f>'法人一覧(26)'!A95</f>
        <v>92</v>
      </c>
      <c r="B95" s="38" t="str">
        <f>'法人一覧(26)'!B95</f>
        <v>国土交通省</v>
      </c>
      <c r="C95" s="38" t="str">
        <f>'法人一覧(26)'!C95</f>
        <v>都市再生機構</v>
      </c>
      <c r="D95" s="80">
        <v>2</v>
      </c>
      <c r="E95" s="79" t="s">
        <v>329</v>
      </c>
      <c r="F95" s="80">
        <v>6</v>
      </c>
      <c r="G95" s="57" t="s">
        <v>451</v>
      </c>
    </row>
    <row r="96" spans="1:7" ht="16.8" customHeight="1">
      <c r="A96" s="26">
        <f>'法人一覧(26)'!A96</f>
        <v>93</v>
      </c>
      <c r="B96" s="38" t="str">
        <f>'法人一覧(26)'!B96</f>
        <v>国土交通省</v>
      </c>
      <c r="C96" s="38" t="str">
        <f>'法人一覧(26)'!C96</f>
        <v>奄美群島振興開発基金</v>
      </c>
      <c r="D96" s="66" t="s">
        <v>333</v>
      </c>
      <c r="E96" s="67" t="s">
        <v>333</v>
      </c>
      <c r="F96" s="108">
        <v>2</v>
      </c>
      <c r="G96" s="4" t="s">
        <v>330</v>
      </c>
    </row>
    <row r="97" spans="1:7" ht="19.8" customHeight="1">
      <c r="A97" s="26">
        <f>'法人一覧(26)'!A97</f>
        <v>94</v>
      </c>
      <c r="B97" s="38" t="str">
        <f>'法人一覧(26)'!B97</f>
        <v>国土交通省</v>
      </c>
      <c r="C97" s="38" t="str">
        <f>'法人一覧(26)'!C97</f>
        <v>日本高速道路保有・債務返済機構</v>
      </c>
      <c r="D97" s="80">
        <v>2</v>
      </c>
      <c r="E97" s="79" t="s">
        <v>331</v>
      </c>
      <c r="F97" s="60">
        <v>2</v>
      </c>
      <c r="G97" s="57" t="s">
        <v>331</v>
      </c>
    </row>
    <row r="98" spans="1:7" ht="72" customHeight="1">
      <c r="A98" s="26">
        <f>'法人一覧(26)'!A98</f>
        <v>95</v>
      </c>
      <c r="B98" s="38" t="str">
        <f>'法人一覧(26)'!B98</f>
        <v>国土交通省</v>
      </c>
      <c r="C98" s="38" t="str">
        <f>'法人一覧(26)'!C98</f>
        <v>住宅金融支援機構</v>
      </c>
      <c r="D98" s="66">
        <v>5</v>
      </c>
      <c r="E98" s="4" t="s">
        <v>332</v>
      </c>
      <c r="F98" s="60">
        <v>7</v>
      </c>
      <c r="G98" s="57" t="s">
        <v>452</v>
      </c>
    </row>
    <row r="99" spans="1:7">
      <c r="A99" s="26">
        <f>'法人一覧(26)'!A99</f>
        <v>96</v>
      </c>
      <c r="B99" s="38" t="str">
        <f>'法人一覧(26)'!B99</f>
        <v>環境省</v>
      </c>
      <c r="C99" s="38" t="str">
        <f>'法人一覧(26)'!C99</f>
        <v>国立環境研究所</v>
      </c>
      <c r="D99" s="62" t="s">
        <v>298</v>
      </c>
      <c r="E99" s="62" t="s">
        <v>298</v>
      </c>
      <c r="F99" s="62" t="s">
        <v>298</v>
      </c>
      <c r="G99" s="62" t="s">
        <v>298</v>
      </c>
    </row>
    <row r="100" spans="1:7" ht="47.4" customHeight="1">
      <c r="A100" s="26">
        <f>'法人一覧(26)'!A100</f>
        <v>97</v>
      </c>
      <c r="B100" s="38" t="str">
        <f>'法人一覧(26)'!B100</f>
        <v>環境省</v>
      </c>
      <c r="C100" s="38" t="str">
        <f>'法人一覧(26)'!C100</f>
        <v>環境再生保全機構</v>
      </c>
      <c r="D100" s="56">
        <v>4</v>
      </c>
      <c r="E100" s="4" t="s">
        <v>286</v>
      </c>
      <c r="F100" s="56">
        <v>5</v>
      </c>
      <c r="G100" s="4" t="s">
        <v>287</v>
      </c>
    </row>
    <row r="101" spans="1:7" ht="19.2" customHeight="1">
      <c r="A101" s="26">
        <f>'法人一覧(26)'!A101</f>
        <v>98</v>
      </c>
      <c r="B101" s="38" t="str">
        <f>'法人一覧(26)'!B101</f>
        <v>防衛省</v>
      </c>
      <c r="C101" s="38" t="str">
        <f>'法人一覧(26)'!C101</f>
        <v>駐留軍等労働者労務管理機構</v>
      </c>
      <c r="D101" s="62" t="s">
        <v>298</v>
      </c>
      <c r="E101" s="62" t="s">
        <v>298</v>
      </c>
      <c r="F101" s="62">
        <v>3</v>
      </c>
      <c r="G101" s="4" t="s">
        <v>300</v>
      </c>
    </row>
    <row r="103" spans="1:7">
      <c r="B103" s="37" t="s">
        <v>596</v>
      </c>
    </row>
    <row r="104" spans="1:7">
      <c r="B104" s="1" t="s">
        <v>595</v>
      </c>
    </row>
  </sheetData>
  <mergeCells count="5">
    <mergeCell ref="F2:G2"/>
    <mergeCell ref="B2:B3"/>
    <mergeCell ref="C2:C3"/>
    <mergeCell ref="D2:E2"/>
    <mergeCell ref="A2:A3"/>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workbookViewId="0">
      <pane xSplit="3" ySplit="3" topLeftCell="D88" activePane="bottomRight" state="frozen"/>
      <selection activeCell="B2" sqref="B2:B3"/>
      <selection pane="topRight" activeCell="B2" sqref="B2:B3"/>
      <selection pane="bottomLeft" activeCell="B2" sqref="B2:B3"/>
      <selection pane="bottomRight" activeCell="D109" sqref="D109"/>
    </sheetView>
  </sheetViews>
  <sheetFormatPr defaultColWidth="8.88671875" defaultRowHeight="13.2"/>
  <cols>
    <col min="1" max="1" width="4.21875" style="37" customWidth="1"/>
    <col min="2" max="2" width="18.33203125" style="1" customWidth="1"/>
    <col min="3" max="3" width="40.21875" style="1" bestFit="1" customWidth="1"/>
    <col min="4" max="6" width="22.88671875" style="1" customWidth="1"/>
    <col min="7" max="16384" width="8.88671875" style="1"/>
  </cols>
  <sheetData>
    <row r="1" spans="1:6" ht="19.95" customHeight="1">
      <c r="B1" s="144" t="s">
        <v>235</v>
      </c>
    </row>
    <row r="2" spans="1:6" ht="17.399999999999999" customHeight="1">
      <c r="A2" s="161" t="s">
        <v>195</v>
      </c>
      <c r="B2" s="161" t="s">
        <v>0</v>
      </c>
      <c r="C2" s="161" t="s">
        <v>1</v>
      </c>
      <c r="D2" s="164" t="s">
        <v>14</v>
      </c>
      <c r="E2" s="165"/>
      <c r="F2" s="166"/>
    </row>
    <row r="3" spans="1:6">
      <c r="A3" s="162"/>
      <c r="B3" s="162"/>
      <c r="C3" s="162"/>
      <c r="D3" s="10" t="s">
        <v>67</v>
      </c>
      <c r="E3" s="10" t="s">
        <v>68</v>
      </c>
      <c r="F3" s="10" t="s">
        <v>69</v>
      </c>
    </row>
    <row r="4" spans="1:6">
      <c r="A4" s="26">
        <f>'法人一覧(25)'!A4</f>
        <v>1</v>
      </c>
      <c r="B4" s="38" t="str">
        <f>'法人一覧(25)'!B4</f>
        <v>内閣府</v>
      </c>
      <c r="C4" s="38" t="str">
        <f>'法人一覧(25)'!C4</f>
        <v>国立公文書館</v>
      </c>
      <c r="D4" s="66" t="s">
        <v>313</v>
      </c>
      <c r="E4" s="66" t="s">
        <v>313</v>
      </c>
      <c r="F4" s="66" t="s">
        <v>336</v>
      </c>
    </row>
    <row r="5" spans="1:6">
      <c r="A5" s="26">
        <f>'法人一覧(25)'!A5</f>
        <v>2</v>
      </c>
      <c r="B5" s="38" t="str">
        <f>'法人一覧(25)'!B5</f>
        <v>内閣府</v>
      </c>
      <c r="C5" s="38" t="str">
        <f>'法人一覧(25)'!C5</f>
        <v>北方領土問題対策協会</v>
      </c>
      <c r="D5" s="66" t="s">
        <v>313</v>
      </c>
      <c r="E5" s="66" t="s">
        <v>313</v>
      </c>
      <c r="F5" s="66" t="s">
        <v>336</v>
      </c>
    </row>
    <row r="6" spans="1:6">
      <c r="A6" s="26">
        <f>'法人一覧(25)'!A6</f>
        <v>3</v>
      </c>
      <c r="B6" s="38" t="str">
        <f>'法人一覧(25)'!B6</f>
        <v>消費者庁</v>
      </c>
      <c r="C6" s="38" t="str">
        <f>'法人一覧(25)'!C6</f>
        <v>国民生活センター</v>
      </c>
      <c r="D6" s="50" t="s">
        <v>237</v>
      </c>
      <c r="E6" s="50" t="s">
        <v>237</v>
      </c>
      <c r="F6" s="50" t="s">
        <v>236</v>
      </c>
    </row>
    <row r="7" spans="1:6">
      <c r="A7" s="26">
        <f>'法人一覧(25)'!A7</f>
        <v>4</v>
      </c>
      <c r="B7" s="38" t="str">
        <f>'法人一覧(25)'!B7</f>
        <v>総務省</v>
      </c>
      <c r="C7" s="38" t="str">
        <f>'法人一覧(25)'!C7</f>
        <v>情報通信研究機構</v>
      </c>
      <c r="D7" s="80" t="s">
        <v>311</v>
      </c>
      <c r="E7" s="80" t="s">
        <v>311</v>
      </c>
      <c r="F7" s="80" t="s">
        <v>336</v>
      </c>
    </row>
    <row r="8" spans="1:6" ht="58.2" customHeight="1">
      <c r="A8" s="26">
        <f>'法人一覧(25)'!A8</f>
        <v>5</v>
      </c>
      <c r="B8" s="38" t="str">
        <f>'法人一覧(25)'!B8</f>
        <v>総務省</v>
      </c>
      <c r="C8" s="38" t="str">
        <f>'法人一覧(25)'!C8</f>
        <v>統計センター</v>
      </c>
      <c r="D8" s="80" t="s">
        <v>311</v>
      </c>
      <c r="E8" s="81" t="s">
        <v>337</v>
      </c>
      <c r="F8" s="81" t="s">
        <v>255</v>
      </c>
    </row>
    <row r="9" spans="1:6">
      <c r="A9" s="26">
        <f>'法人一覧(25)'!A9</f>
        <v>6</v>
      </c>
      <c r="B9" s="38" t="str">
        <f>'法人一覧(25)'!B9</f>
        <v>総務省</v>
      </c>
      <c r="C9" s="38" t="str">
        <f>'法人一覧(25)'!C9</f>
        <v>郵便貯金・簡易生命保険管理機構</v>
      </c>
      <c r="D9" s="80" t="s">
        <v>311</v>
      </c>
      <c r="E9" s="80" t="s">
        <v>311</v>
      </c>
      <c r="F9" s="80" t="s">
        <v>311</v>
      </c>
    </row>
    <row r="10" spans="1:6">
      <c r="A10" s="26">
        <f>'法人一覧(25)'!A10</f>
        <v>7</v>
      </c>
      <c r="B10" s="38" t="str">
        <f>'法人一覧(25)'!B10</f>
        <v>外務省</v>
      </c>
      <c r="C10" s="38" t="str">
        <f>'法人一覧(25)'!C10</f>
        <v>国際協力機構</v>
      </c>
      <c r="D10" s="61" t="s">
        <v>292</v>
      </c>
      <c r="E10" s="61" t="s">
        <v>292</v>
      </c>
      <c r="F10" s="61" t="s">
        <v>293</v>
      </c>
    </row>
    <row r="11" spans="1:6">
      <c r="A11" s="26">
        <f>'法人一覧(25)'!A11</f>
        <v>8</v>
      </c>
      <c r="B11" s="38" t="str">
        <f>'法人一覧(25)'!B11</f>
        <v>外務省</v>
      </c>
      <c r="C11" s="38" t="str">
        <f>'法人一覧(25)'!C11</f>
        <v>国際交流基金</v>
      </c>
      <c r="D11" s="62" t="s">
        <v>296</v>
      </c>
      <c r="E11" s="62" t="s">
        <v>296</v>
      </c>
      <c r="F11" s="62" t="s">
        <v>297</v>
      </c>
    </row>
    <row r="12" spans="1:6" ht="45" customHeight="1">
      <c r="A12" s="26">
        <f>'法人一覧(25)'!A12</f>
        <v>9</v>
      </c>
      <c r="B12" s="38" t="str">
        <f>'法人一覧(25)'!B12</f>
        <v>財務省</v>
      </c>
      <c r="C12" s="38" t="str">
        <f>'法人一覧(25)'!C12</f>
        <v>酒類総合研究所</v>
      </c>
      <c r="D12" s="67" t="s">
        <v>253</v>
      </c>
      <c r="E12" s="67" t="s">
        <v>254</v>
      </c>
      <c r="F12" s="67" t="s">
        <v>255</v>
      </c>
    </row>
    <row r="13" spans="1:6">
      <c r="A13" s="26">
        <f>'法人一覧(25)'!A13</f>
        <v>10</v>
      </c>
      <c r="B13" s="38" t="str">
        <f>'法人一覧(25)'!B13</f>
        <v>財務省</v>
      </c>
      <c r="C13" s="38" t="str">
        <f>'法人一覧(25)'!C13</f>
        <v>造幣局</v>
      </c>
      <c r="D13" s="66" t="s">
        <v>311</v>
      </c>
      <c r="E13" s="66" t="s">
        <v>311</v>
      </c>
      <c r="F13" s="66" t="s">
        <v>311</v>
      </c>
    </row>
    <row r="14" spans="1:6">
      <c r="A14" s="26">
        <f>'法人一覧(25)'!A14</f>
        <v>11</v>
      </c>
      <c r="B14" s="38" t="str">
        <f>'法人一覧(25)'!B14</f>
        <v>財務省</v>
      </c>
      <c r="C14" s="38" t="str">
        <f>'法人一覧(25)'!C14</f>
        <v>国立印刷局</v>
      </c>
      <c r="D14" s="66" t="s">
        <v>311</v>
      </c>
      <c r="E14" s="66" t="s">
        <v>311</v>
      </c>
      <c r="F14" s="66" t="s">
        <v>311</v>
      </c>
    </row>
    <row r="15" spans="1:6">
      <c r="A15" s="26">
        <f>'法人一覧(25)'!A15</f>
        <v>12</v>
      </c>
      <c r="B15" s="38" t="str">
        <f>'法人一覧(25)'!B15</f>
        <v>財務省</v>
      </c>
      <c r="C15" s="38" t="str">
        <f>'法人一覧(25)'!C15</f>
        <v>日本万国博覧会記念機構</v>
      </c>
      <c r="D15" s="80" t="s">
        <v>311</v>
      </c>
      <c r="E15" s="80" t="s">
        <v>311</v>
      </c>
      <c r="F15" s="80" t="s">
        <v>311</v>
      </c>
    </row>
    <row r="16" spans="1:6">
      <c r="A16" s="26">
        <f>'法人一覧(25)'!A16</f>
        <v>13</v>
      </c>
      <c r="B16" s="38" t="str">
        <f>'法人一覧(25)'!B16</f>
        <v>文部科学省</v>
      </c>
      <c r="C16" s="38" t="str">
        <f>'法人一覧(25)'!C16</f>
        <v>国立特別支援教育総合研究所</v>
      </c>
      <c r="D16" s="60" t="s">
        <v>353</v>
      </c>
      <c r="E16" s="60" t="s">
        <v>353</v>
      </c>
      <c r="F16" s="60" t="s">
        <v>387</v>
      </c>
    </row>
    <row r="17" spans="1:6">
      <c r="A17" s="26">
        <f>'法人一覧(25)'!A17</f>
        <v>14</v>
      </c>
      <c r="B17" s="38" t="str">
        <f>'法人一覧(25)'!B17</f>
        <v>文部科学省</v>
      </c>
      <c r="C17" s="38" t="str">
        <f>'法人一覧(25)'!C17</f>
        <v>大学入試センター</v>
      </c>
      <c r="D17" s="60" t="s">
        <v>353</v>
      </c>
      <c r="E17" s="60" t="s">
        <v>353</v>
      </c>
      <c r="F17" s="60" t="s">
        <v>353</v>
      </c>
    </row>
    <row r="18" spans="1:6" ht="46.8" customHeight="1">
      <c r="A18" s="26">
        <f>'法人一覧(25)'!A18</f>
        <v>15</v>
      </c>
      <c r="B18" s="38" t="str">
        <f>'法人一覧(25)'!B18</f>
        <v>文部科学省</v>
      </c>
      <c r="C18" s="38" t="str">
        <f>'法人一覧(25)'!C18</f>
        <v>国立青少年教育振興機構</v>
      </c>
      <c r="D18" s="88" t="s">
        <v>388</v>
      </c>
      <c r="E18" s="88" t="s">
        <v>467</v>
      </c>
      <c r="F18" s="60" t="s">
        <v>353</v>
      </c>
    </row>
    <row r="19" spans="1:6" ht="86.4" customHeight="1">
      <c r="A19" s="26">
        <f>'法人一覧(25)'!A19</f>
        <v>16</v>
      </c>
      <c r="B19" s="38" t="str">
        <f>'法人一覧(25)'!B19</f>
        <v>文部科学省</v>
      </c>
      <c r="C19" s="38" t="str">
        <f>'法人一覧(25)'!C19</f>
        <v>国立女性教育会館</v>
      </c>
      <c r="D19" s="88" t="s">
        <v>573</v>
      </c>
      <c r="E19" s="88" t="s">
        <v>574</v>
      </c>
      <c r="F19" s="60" t="s">
        <v>353</v>
      </c>
    </row>
    <row r="20" spans="1:6" ht="97.2" customHeight="1">
      <c r="A20" s="26">
        <f>'法人一覧(25)'!A20</f>
        <v>17</v>
      </c>
      <c r="B20" s="38" t="str">
        <f>'法人一覧(25)'!B20</f>
        <v>文部科学省</v>
      </c>
      <c r="C20" s="38" t="str">
        <f>'法人一覧(25)'!C20</f>
        <v>国立科学博物館</v>
      </c>
      <c r="D20" s="88" t="s">
        <v>389</v>
      </c>
      <c r="E20" s="88" t="s">
        <v>390</v>
      </c>
      <c r="F20" s="88" t="s">
        <v>391</v>
      </c>
    </row>
    <row r="21" spans="1:6">
      <c r="A21" s="26">
        <f>'法人一覧(25)'!A21</f>
        <v>18</v>
      </c>
      <c r="B21" s="38" t="str">
        <f>'法人一覧(25)'!B21</f>
        <v>文部科学省</v>
      </c>
      <c r="C21" s="38" t="str">
        <f>'法人一覧(25)'!C21</f>
        <v>物質・材料研究機構</v>
      </c>
      <c r="D21" s="60" t="s">
        <v>353</v>
      </c>
      <c r="E21" s="60" t="s">
        <v>353</v>
      </c>
      <c r="F21" s="60" t="s">
        <v>387</v>
      </c>
    </row>
    <row r="22" spans="1:6">
      <c r="A22" s="26">
        <f>'法人一覧(25)'!A22</f>
        <v>19</v>
      </c>
      <c r="B22" s="38" t="str">
        <f>'法人一覧(25)'!B22</f>
        <v>文部科学省</v>
      </c>
      <c r="C22" s="38" t="str">
        <f>'法人一覧(25)'!C22</f>
        <v>防災科学技術研究所</v>
      </c>
      <c r="D22" s="60" t="s">
        <v>392</v>
      </c>
      <c r="E22" s="60" t="s">
        <v>392</v>
      </c>
      <c r="F22" s="60" t="s">
        <v>422</v>
      </c>
    </row>
    <row r="23" spans="1:6">
      <c r="A23" s="26">
        <f>'法人一覧(25)'!A23</f>
        <v>20</v>
      </c>
      <c r="B23" s="38" t="str">
        <f>'法人一覧(25)'!B23</f>
        <v>文部科学省</v>
      </c>
      <c r="C23" s="38" t="str">
        <f>'法人一覧(25)'!C23</f>
        <v>放射線医学総合研究所</v>
      </c>
      <c r="D23" s="60" t="s">
        <v>392</v>
      </c>
      <c r="E23" s="60" t="s">
        <v>393</v>
      </c>
      <c r="F23" s="60" t="s">
        <v>394</v>
      </c>
    </row>
    <row r="24" spans="1:6" ht="99.6" customHeight="1">
      <c r="A24" s="26">
        <f>'法人一覧(25)'!A24</f>
        <v>21</v>
      </c>
      <c r="B24" s="38" t="str">
        <f>'法人一覧(25)'!B24</f>
        <v>文部科学省</v>
      </c>
      <c r="C24" s="38" t="str">
        <f>'法人一覧(25)'!C24</f>
        <v>国立美術館</v>
      </c>
      <c r="D24" s="100" t="s">
        <v>395</v>
      </c>
      <c r="E24" s="100" t="s">
        <v>553</v>
      </c>
      <c r="F24" s="60" t="s">
        <v>393</v>
      </c>
    </row>
    <row r="25" spans="1:6" ht="84.6" customHeight="1">
      <c r="A25" s="26">
        <f>'法人一覧(25)'!A25</f>
        <v>22</v>
      </c>
      <c r="B25" s="38" t="str">
        <f>'法人一覧(25)'!B25</f>
        <v>文部科学省</v>
      </c>
      <c r="C25" s="38" t="str">
        <f>'法人一覧(25)'!C25</f>
        <v>国立文化財機構</v>
      </c>
      <c r="D25" s="100" t="s">
        <v>396</v>
      </c>
      <c r="E25" s="100" t="s">
        <v>397</v>
      </c>
      <c r="F25" s="100" t="s">
        <v>398</v>
      </c>
    </row>
    <row r="26" spans="1:6">
      <c r="A26" s="26">
        <f>'法人一覧(25)'!A26</f>
        <v>23</v>
      </c>
      <c r="B26" s="38" t="str">
        <f>'法人一覧(25)'!B26</f>
        <v>文部科学省</v>
      </c>
      <c r="C26" s="38" t="str">
        <f>'法人一覧(25)'!C26</f>
        <v>教員研修センター</v>
      </c>
      <c r="D26" s="60" t="s">
        <v>393</v>
      </c>
      <c r="E26" s="60" t="s">
        <v>393</v>
      </c>
      <c r="F26" s="60" t="s">
        <v>387</v>
      </c>
    </row>
    <row r="27" spans="1:6" ht="36.6" customHeight="1">
      <c r="A27" s="26">
        <f>'法人一覧(25)'!A27</f>
        <v>24</v>
      </c>
      <c r="B27" s="38" t="str">
        <f>'法人一覧(25)'!B27</f>
        <v>文部科学省</v>
      </c>
      <c r="C27" s="38" t="str">
        <f>'法人一覧(25)'!C27</f>
        <v>科学技術振興機構</v>
      </c>
      <c r="D27" s="88" t="s">
        <v>399</v>
      </c>
      <c r="E27" s="88" t="s">
        <v>400</v>
      </c>
      <c r="F27" s="60" t="s">
        <v>233</v>
      </c>
    </row>
    <row r="28" spans="1:6">
      <c r="A28" s="26">
        <f>'法人一覧(25)'!A28</f>
        <v>25</v>
      </c>
      <c r="B28" s="38" t="str">
        <f>'法人一覧(25)'!B28</f>
        <v>文部科学省</v>
      </c>
      <c r="C28" s="38" t="str">
        <f>'法人一覧(25)'!C28</f>
        <v>日本学術振興会</v>
      </c>
      <c r="D28" s="60" t="s">
        <v>394</v>
      </c>
      <c r="E28" s="60" t="s">
        <v>353</v>
      </c>
      <c r="F28" s="60" t="s">
        <v>353</v>
      </c>
    </row>
    <row r="29" spans="1:6">
      <c r="A29" s="26">
        <f>'法人一覧(25)'!A29</f>
        <v>26</v>
      </c>
      <c r="B29" s="38" t="str">
        <f>'法人一覧(25)'!B29</f>
        <v>文部科学省</v>
      </c>
      <c r="C29" s="38" t="str">
        <f>'法人一覧(25)'!C29</f>
        <v>理化学研究所</v>
      </c>
      <c r="D29" s="60" t="s">
        <v>353</v>
      </c>
      <c r="E29" s="60" t="s">
        <v>393</v>
      </c>
      <c r="F29" s="60" t="s">
        <v>285</v>
      </c>
    </row>
    <row r="30" spans="1:6">
      <c r="A30" s="26">
        <f>'法人一覧(25)'!A30</f>
        <v>27</v>
      </c>
      <c r="B30" s="38" t="str">
        <f>'法人一覧(25)'!B30</f>
        <v>文部科学省</v>
      </c>
      <c r="C30" s="38" t="str">
        <f>'法人一覧(25)'!C30</f>
        <v>宇宙航空研究開発機構</v>
      </c>
      <c r="D30" s="60" t="s">
        <v>393</v>
      </c>
      <c r="E30" s="60" t="s">
        <v>233</v>
      </c>
      <c r="F30" s="60" t="s">
        <v>394</v>
      </c>
    </row>
    <row r="31" spans="1:6">
      <c r="A31" s="26">
        <f>'法人一覧(25)'!A31</f>
        <v>28</v>
      </c>
      <c r="B31" s="38" t="str">
        <f>'法人一覧(25)'!B31</f>
        <v>文部科学省</v>
      </c>
      <c r="C31" s="38" t="str">
        <f>'法人一覧(25)'!C31</f>
        <v>日本スポーツ振興センター</v>
      </c>
      <c r="D31" s="60" t="s">
        <v>353</v>
      </c>
      <c r="E31" s="60" t="s">
        <v>353</v>
      </c>
      <c r="F31" s="60" t="s">
        <v>387</v>
      </c>
    </row>
    <row r="32" spans="1:6">
      <c r="A32" s="26">
        <f>'法人一覧(25)'!A32</f>
        <v>29</v>
      </c>
      <c r="B32" s="38" t="str">
        <f>'法人一覧(25)'!B32</f>
        <v>文部科学省</v>
      </c>
      <c r="C32" s="38" t="str">
        <f>'法人一覧(25)'!C32</f>
        <v>日本芸術文化振興会</v>
      </c>
      <c r="D32" s="60" t="s">
        <v>393</v>
      </c>
      <c r="E32" s="60" t="s">
        <v>233</v>
      </c>
      <c r="F32" s="60" t="s">
        <v>285</v>
      </c>
    </row>
    <row r="33" spans="1:6" ht="48.6" customHeight="1">
      <c r="A33" s="26">
        <f>'法人一覧(25)'!A33</f>
        <v>30</v>
      </c>
      <c r="B33" s="38" t="str">
        <f>'法人一覧(25)'!B33</f>
        <v>文部科学省</v>
      </c>
      <c r="C33" s="38" t="str">
        <f>'法人一覧(25)'!C33</f>
        <v>日本学生支援機構</v>
      </c>
      <c r="D33" s="88" t="s">
        <v>401</v>
      </c>
      <c r="E33" s="88" t="s">
        <v>467</v>
      </c>
      <c r="F33" s="60" t="s">
        <v>353</v>
      </c>
    </row>
    <row r="34" spans="1:6">
      <c r="A34" s="26">
        <f>'法人一覧(25)'!A34</f>
        <v>31</v>
      </c>
      <c r="B34" s="38" t="str">
        <f>'法人一覧(25)'!B34</f>
        <v>文部科学省</v>
      </c>
      <c r="C34" s="38" t="str">
        <f>'法人一覧(25)'!C34</f>
        <v>海洋研究開発機構</v>
      </c>
      <c r="D34" s="60" t="s">
        <v>393</v>
      </c>
      <c r="E34" s="60" t="s">
        <v>353</v>
      </c>
      <c r="F34" s="60" t="s">
        <v>394</v>
      </c>
    </row>
    <row r="35" spans="1:6" ht="58.2" customHeight="1">
      <c r="A35" s="26">
        <f>'法人一覧(25)'!A35</f>
        <v>32</v>
      </c>
      <c r="B35" s="38" t="str">
        <f>'法人一覧(25)'!B35</f>
        <v>文部科学省</v>
      </c>
      <c r="C35" s="38" t="str">
        <f>'法人一覧(25)'!C35</f>
        <v>国立高等専門学校機構</v>
      </c>
      <c r="D35" s="88" t="s">
        <v>402</v>
      </c>
      <c r="E35" s="88" t="s">
        <v>470</v>
      </c>
      <c r="F35" s="88" t="s">
        <v>403</v>
      </c>
    </row>
    <row r="36" spans="1:6">
      <c r="A36" s="26">
        <f>'法人一覧(25)'!A36</f>
        <v>33</v>
      </c>
      <c r="B36" s="38" t="str">
        <f>'法人一覧(25)'!B36</f>
        <v>文部科学省</v>
      </c>
      <c r="C36" s="38" t="str">
        <f>'法人一覧(25)'!C36</f>
        <v>大学評価・学位授与機構</v>
      </c>
      <c r="D36" s="60" t="s">
        <v>393</v>
      </c>
      <c r="E36" s="60" t="s">
        <v>353</v>
      </c>
      <c r="F36" s="60" t="s">
        <v>387</v>
      </c>
    </row>
    <row r="37" spans="1:6">
      <c r="A37" s="26">
        <f>'法人一覧(25)'!A37</f>
        <v>34</v>
      </c>
      <c r="B37" s="38" t="str">
        <f>'法人一覧(25)'!B37</f>
        <v>文部科学省</v>
      </c>
      <c r="C37" s="38" t="str">
        <f>'法人一覧(25)'!C37</f>
        <v>国立大学財務・経営センター</v>
      </c>
      <c r="D37" s="60" t="s">
        <v>353</v>
      </c>
      <c r="E37" s="60" t="s">
        <v>353</v>
      </c>
      <c r="F37" s="60" t="s">
        <v>387</v>
      </c>
    </row>
    <row r="38" spans="1:6">
      <c r="A38" s="26">
        <f>'法人一覧(25)'!A38</f>
        <v>35</v>
      </c>
      <c r="B38" s="38" t="str">
        <f>'法人一覧(25)'!B38</f>
        <v>文部科学省</v>
      </c>
      <c r="C38" s="38" t="str">
        <f>'法人一覧(25)'!C38</f>
        <v>日本原子力研究開発機構</v>
      </c>
      <c r="D38" s="60" t="s">
        <v>353</v>
      </c>
      <c r="E38" s="60" t="s">
        <v>353</v>
      </c>
      <c r="F38" s="60" t="s">
        <v>387</v>
      </c>
    </row>
    <row r="39" spans="1:6" ht="45.6" customHeight="1">
      <c r="A39" s="26">
        <f>'法人一覧(25)'!A39</f>
        <v>36</v>
      </c>
      <c r="B39" s="38" t="str">
        <f>'法人一覧(25)'!B39</f>
        <v>厚生労働省</v>
      </c>
      <c r="C39" s="38" t="str">
        <f>'法人一覧(25)'!C39</f>
        <v>国立健康・栄養研究所</v>
      </c>
      <c r="D39" s="60" t="s">
        <v>353</v>
      </c>
      <c r="E39" s="88" t="s">
        <v>404</v>
      </c>
      <c r="F39" s="88" t="s">
        <v>467</v>
      </c>
    </row>
    <row r="40" spans="1:6">
      <c r="A40" s="26">
        <f>'法人一覧(25)'!A40</f>
        <v>37</v>
      </c>
      <c r="B40" s="38" t="str">
        <f>'法人一覧(25)'!B40</f>
        <v>厚生労働省</v>
      </c>
      <c r="C40" s="38" t="str">
        <f>'法人一覧(25)'!C40</f>
        <v>労働安全衛生総合研究所</v>
      </c>
      <c r="D40" s="60" t="s">
        <v>353</v>
      </c>
      <c r="E40" s="60" t="s">
        <v>393</v>
      </c>
      <c r="F40" s="60" t="s">
        <v>394</v>
      </c>
    </row>
    <row r="41" spans="1:6">
      <c r="A41" s="26">
        <f>'法人一覧(25)'!A41</f>
        <v>38</v>
      </c>
      <c r="B41" s="38" t="str">
        <f>'法人一覧(25)'!B41</f>
        <v>厚生労働省</v>
      </c>
      <c r="C41" s="38" t="str">
        <f>'法人一覧(25)'!C41</f>
        <v>勤労者退職金共済機構</v>
      </c>
      <c r="D41" s="60" t="s">
        <v>393</v>
      </c>
      <c r="E41" s="60" t="s">
        <v>393</v>
      </c>
      <c r="F41" s="60" t="s">
        <v>394</v>
      </c>
    </row>
    <row r="42" spans="1:6" ht="41.4" customHeight="1">
      <c r="A42" s="26">
        <f>'法人一覧(25)'!A42</f>
        <v>39</v>
      </c>
      <c r="B42" s="38" t="str">
        <f>'法人一覧(25)'!B42</f>
        <v>厚生労働省</v>
      </c>
      <c r="C42" s="38" t="str">
        <f>'法人一覧(25)'!C42</f>
        <v>高齢・障害・求職者雇用支援機構</v>
      </c>
      <c r="D42" s="60" t="s">
        <v>353</v>
      </c>
      <c r="E42" s="88" t="s">
        <v>565</v>
      </c>
      <c r="F42" s="60" t="s">
        <v>387</v>
      </c>
    </row>
    <row r="43" spans="1:6">
      <c r="A43" s="26">
        <f>'法人一覧(25)'!A43</f>
        <v>40</v>
      </c>
      <c r="B43" s="38" t="str">
        <f>'法人一覧(25)'!B43</f>
        <v>厚生労働省</v>
      </c>
      <c r="C43" s="38" t="str">
        <f>'法人一覧(25)'!C43</f>
        <v>福祉医療機構</v>
      </c>
      <c r="D43" s="60" t="s">
        <v>353</v>
      </c>
      <c r="E43" s="60" t="s">
        <v>353</v>
      </c>
      <c r="F43" s="60" t="s">
        <v>387</v>
      </c>
    </row>
    <row r="44" spans="1:6">
      <c r="A44" s="26">
        <f>'法人一覧(25)'!A44</f>
        <v>41</v>
      </c>
      <c r="B44" s="38" t="str">
        <f>'法人一覧(25)'!B44</f>
        <v>厚生労働省</v>
      </c>
      <c r="C44" s="38" t="str">
        <f>'法人一覧(25)'!C44</f>
        <v>国立重度知的障害者総合施設のぞみの園</v>
      </c>
      <c r="D44" s="60" t="s">
        <v>353</v>
      </c>
      <c r="E44" s="60" t="s">
        <v>353</v>
      </c>
      <c r="F44" s="60" t="s">
        <v>387</v>
      </c>
    </row>
    <row r="45" spans="1:6" ht="94.2" customHeight="1">
      <c r="A45" s="26">
        <f>'法人一覧(25)'!A45</f>
        <v>42</v>
      </c>
      <c r="B45" s="38" t="str">
        <f>'法人一覧(25)'!B45</f>
        <v>厚生労働省</v>
      </c>
      <c r="C45" s="38" t="str">
        <f>'法人一覧(25)'!C45</f>
        <v>労働政策研究・研修機構</v>
      </c>
      <c r="D45" s="60" t="s">
        <v>353</v>
      </c>
      <c r="E45" s="88" t="s">
        <v>424</v>
      </c>
      <c r="F45" s="88" t="s">
        <v>423</v>
      </c>
    </row>
    <row r="46" spans="1:6" ht="66.599999999999994" customHeight="1">
      <c r="A46" s="26">
        <f>'法人一覧(25)'!A46</f>
        <v>43</v>
      </c>
      <c r="B46" s="38" t="str">
        <f>'法人一覧(25)'!B46</f>
        <v>厚生労働省</v>
      </c>
      <c r="C46" s="38" t="str">
        <f>'法人一覧(25)'!C46</f>
        <v>労働者健康福祉機構</v>
      </c>
      <c r="D46" s="60" t="s">
        <v>353</v>
      </c>
      <c r="E46" s="88" t="s">
        <v>405</v>
      </c>
      <c r="F46" s="88" t="s">
        <v>582</v>
      </c>
    </row>
    <row r="47" spans="1:6">
      <c r="A47" s="26">
        <f>'法人一覧(25)'!A47</f>
        <v>44</v>
      </c>
      <c r="B47" s="38" t="str">
        <f>'法人一覧(25)'!B47</f>
        <v>厚生労働省</v>
      </c>
      <c r="C47" s="38" t="str">
        <f>'法人一覧(25)'!C47</f>
        <v>国立病院機構</v>
      </c>
      <c r="D47" s="60" t="s">
        <v>236</v>
      </c>
      <c r="E47" s="60" t="s">
        <v>353</v>
      </c>
      <c r="F47" s="60" t="s">
        <v>353</v>
      </c>
    </row>
    <row r="48" spans="1:6">
      <c r="A48" s="26">
        <f>'法人一覧(25)'!A48</f>
        <v>45</v>
      </c>
      <c r="B48" s="38" t="str">
        <f>'法人一覧(25)'!B48</f>
        <v>厚生労働省</v>
      </c>
      <c r="C48" s="38" t="str">
        <f>'法人一覧(25)'!C48</f>
        <v>医薬品医療機器総合機構</v>
      </c>
      <c r="D48" s="60" t="s">
        <v>353</v>
      </c>
      <c r="E48" s="60" t="s">
        <v>353</v>
      </c>
      <c r="F48" s="60" t="s">
        <v>387</v>
      </c>
    </row>
    <row r="49" spans="1:6">
      <c r="A49" s="26">
        <f>'法人一覧(25)'!A49</f>
        <v>46</v>
      </c>
      <c r="B49" s="38" t="str">
        <f>'法人一覧(25)'!B49</f>
        <v>厚生労働省</v>
      </c>
      <c r="C49" s="38" t="str">
        <f>'法人一覧(25)'!C49</f>
        <v>医薬基盤研究所</v>
      </c>
      <c r="D49" s="60" t="s">
        <v>353</v>
      </c>
      <c r="E49" s="60" t="s">
        <v>353</v>
      </c>
      <c r="F49" s="60" t="s">
        <v>387</v>
      </c>
    </row>
    <row r="50" spans="1:6">
      <c r="A50" s="26">
        <f>'法人一覧(25)'!A50</f>
        <v>47</v>
      </c>
      <c r="B50" s="38" t="str">
        <f>'法人一覧(25)'!B50</f>
        <v>厚生労働省</v>
      </c>
      <c r="C50" s="38" t="str">
        <f>'法人一覧(25)'!C50</f>
        <v>年金・健康保険福祉施設整理機構</v>
      </c>
      <c r="D50" s="60" t="s">
        <v>353</v>
      </c>
      <c r="E50" s="60" t="s">
        <v>353</v>
      </c>
      <c r="F50" s="60" t="s">
        <v>353</v>
      </c>
    </row>
    <row r="51" spans="1:6">
      <c r="A51" s="26">
        <f>'法人一覧(25)'!A51</f>
        <v>48</v>
      </c>
      <c r="B51" s="38" t="str">
        <f>'法人一覧(25)'!B51</f>
        <v>厚生労働省</v>
      </c>
      <c r="C51" s="38" t="str">
        <f>'法人一覧(25)'!C51</f>
        <v>年金積立金管理運用</v>
      </c>
      <c r="D51" s="60" t="s">
        <v>353</v>
      </c>
      <c r="E51" s="60" t="s">
        <v>353</v>
      </c>
      <c r="F51" s="60" t="s">
        <v>353</v>
      </c>
    </row>
    <row r="52" spans="1:6">
      <c r="A52" s="26">
        <f>'法人一覧(25)'!A52</f>
        <v>49</v>
      </c>
      <c r="B52" s="38" t="str">
        <f>'法人一覧(25)'!B52</f>
        <v>厚生労働省</v>
      </c>
      <c r="C52" s="38" t="str">
        <f>'法人一覧(25)'!C52</f>
        <v>国立がん研究センター</v>
      </c>
      <c r="D52" s="60" t="s">
        <v>387</v>
      </c>
      <c r="E52" s="60" t="s">
        <v>353</v>
      </c>
      <c r="F52" s="60" t="s">
        <v>353</v>
      </c>
    </row>
    <row r="53" spans="1:6">
      <c r="A53" s="26">
        <f>'法人一覧(25)'!A53</f>
        <v>50</v>
      </c>
      <c r="B53" s="38" t="str">
        <f>'法人一覧(25)'!B53</f>
        <v>厚生労働省</v>
      </c>
      <c r="C53" s="38" t="str">
        <f>'法人一覧(25)'!C53</f>
        <v>国立循環器病研究センター</v>
      </c>
      <c r="D53" s="60" t="s">
        <v>387</v>
      </c>
      <c r="E53" s="60" t="s">
        <v>353</v>
      </c>
      <c r="F53" s="60" t="s">
        <v>353</v>
      </c>
    </row>
    <row r="54" spans="1:6">
      <c r="A54" s="26">
        <f>'法人一覧(25)'!A54</f>
        <v>51</v>
      </c>
      <c r="B54" s="38" t="str">
        <f>'法人一覧(25)'!B54</f>
        <v>厚生労働省</v>
      </c>
      <c r="C54" s="38" t="str">
        <f>'法人一覧(25)'!C54</f>
        <v>国立精神・神経医療研究センター</v>
      </c>
      <c r="D54" s="60" t="s">
        <v>387</v>
      </c>
      <c r="E54" s="60" t="s">
        <v>353</v>
      </c>
      <c r="F54" s="60" t="s">
        <v>353</v>
      </c>
    </row>
    <row r="55" spans="1:6">
      <c r="A55" s="26">
        <f>'法人一覧(25)'!A55</f>
        <v>52</v>
      </c>
      <c r="B55" s="38" t="str">
        <f>'法人一覧(25)'!B55</f>
        <v>厚生労働省</v>
      </c>
      <c r="C55" s="38" t="str">
        <f>'法人一覧(25)'!C55</f>
        <v>国立国際医療研究センター</v>
      </c>
      <c r="D55" s="60" t="s">
        <v>387</v>
      </c>
      <c r="E55" s="60" t="s">
        <v>353</v>
      </c>
      <c r="F55" s="60" t="s">
        <v>353</v>
      </c>
    </row>
    <row r="56" spans="1:6">
      <c r="A56" s="26">
        <f>'法人一覧(25)'!A56</f>
        <v>53</v>
      </c>
      <c r="B56" s="38" t="str">
        <f>'法人一覧(25)'!B56</f>
        <v>厚生労働省</v>
      </c>
      <c r="C56" s="38" t="str">
        <f>'法人一覧(25)'!C56</f>
        <v>国立成育医療研究センター</v>
      </c>
      <c r="D56" s="60" t="s">
        <v>236</v>
      </c>
      <c r="E56" s="60" t="s">
        <v>353</v>
      </c>
      <c r="F56" s="60" t="s">
        <v>353</v>
      </c>
    </row>
    <row r="57" spans="1:6">
      <c r="A57" s="26">
        <f>'法人一覧(25)'!A57</f>
        <v>54</v>
      </c>
      <c r="B57" s="38" t="str">
        <f>'法人一覧(25)'!B57</f>
        <v>厚生労働省</v>
      </c>
      <c r="C57" s="38" t="str">
        <f>'法人一覧(25)'!C57</f>
        <v>国立長寿医療研究センター</v>
      </c>
      <c r="D57" s="60" t="s">
        <v>236</v>
      </c>
      <c r="E57" s="60" t="s">
        <v>353</v>
      </c>
      <c r="F57" s="60" t="s">
        <v>353</v>
      </c>
    </row>
    <row r="58" spans="1:6">
      <c r="A58" s="26">
        <f>'法人一覧(25)'!A58</f>
        <v>55</v>
      </c>
      <c r="B58" s="38" t="str">
        <f>'法人一覧(25)'!B58</f>
        <v>農林水産省</v>
      </c>
      <c r="C58" s="38" t="str">
        <f>'法人一覧(25)'!C58</f>
        <v>農林水産消費安全技術センター</v>
      </c>
      <c r="D58" s="55" t="s">
        <v>283</v>
      </c>
      <c r="E58" s="55" t="s">
        <v>283</v>
      </c>
      <c r="F58" s="55" t="s">
        <v>284</v>
      </c>
    </row>
    <row r="59" spans="1:6">
      <c r="A59" s="26">
        <f>'法人一覧(25)'!A59</f>
        <v>56</v>
      </c>
      <c r="B59" s="38" t="str">
        <f>'法人一覧(25)'!B59</f>
        <v>農林水産省</v>
      </c>
      <c r="C59" s="38" t="str">
        <f>'法人一覧(25)'!C59</f>
        <v>種苗管理センター</v>
      </c>
      <c r="D59" s="64" t="s">
        <v>237</v>
      </c>
      <c r="E59" s="64" t="s">
        <v>237</v>
      </c>
      <c r="F59" s="64" t="s">
        <v>236</v>
      </c>
    </row>
    <row r="60" spans="1:6">
      <c r="A60" s="26">
        <f>'法人一覧(25)'!A60</f>
        <v>57</v>
      </c>
      <c r="B60" s="38" t="str">
        <f>'法人一覧(25)'!B60</f>
        <v>農林水産省</v>
      </c>
      <c r="C60" s="38" t="str">
        <f>'法人一覧(25)'!C60</f>
        <v>家畜改良センター</v>
      </c>
      <c r="D60" s="48" t="s">
        <v>237</v>
      </c>
      <c r="E60" s="48" t="s">
        <v>237</v>
      </c>
      <c r="F60" s="48" t="s">
        <v>236</v>
      </c>
    </row>
    <row r="61" spans="1:6">
      <c r="A61" s="26">
        <f>'法人一覧(25)'!A61</f>
        <v>58</v>
      </c>
      <c r="B61" s="38" t="str">
        <f>'法人一覧(25)'!B61</f>
        <v>農林水産省</v>
      </c>
      <c r="C61" s="38" t="str">
        <f>'法人一覧(25)'!C61</f>
        <v>水産大学校</v>
      </c>
      <c r="D61" s="64" t="s">
        <v>237</v>
      </c>
      <c r="E61" s="64" t="s">
        <v>237</v>
      </c>
      <c r="F61" s="64" t="s">
        <v>236</v>
      </c>
    </row>
    <row r="62" spans="1:6">
      <c r="A62" s="26">
        <f>'法人一覧(25)'!A62</f>
        <v>59</v>
      </c>
      <c r="B62" s="38" t="str">
        <f>'法人一覧(25)'!B62</f>
        <v>農林水産省</v>
      </c>
      <c r="C62" s="38" t="str">
        <f>'法人一覧(25)'!C62</f>
        <v>農業・食品産業技術総合研究機構</v>
      </c>
      <c r="D62" s="64" t="s">
        <v>237</v>
      </c>
      <c r="E62" s="64" t="s">
        <v>237</v>
      </c>
      <c r="F62" s="64" t="s">
        <v>236</v>
      </c>
    </row>
    <row r="63" spans="1:6">
      <c r="A63" s="26">
        <f>'法人一覧(25)'!A63</f>
        <v>60</v>
      </c>
      <c r="B63" s="38" t="str">
        <f>'法人一覧(25)'!B63</f>
        <v>農林水産省</v>
      </c>
      <c r="C63" s="38" t="str">
        <f>'法人一覧(25)'!C63</f>
        <v>農業生物資源研究所</v>
      </c>
      <c r="D63" s="64" t="s">
        <v>237</v>
      </c>
      <c r="E63" s="64" t="s">
        <v>237</v>
      </c>
      <c r="F63" s="64" t="s">
        <v>236</v>
      </c>
    </row>
    <row r="64" spans="1:6">
      <c r="A64" s="26">
        <f>'法人一覧(25)'!A64</f>
        <v>61</v>
      </c>
      <c r="B64" s="38" t="str">
        <f>'法人一覧(25)'!B64</f>
        <v>農林水産省</v>
      </c>
      <c r="C64" s="38" t="str">
        <f>'法人一覧(25)'!C64</f>
        <v>農業環境技術研究所</v>
      </c>
      <c r="D64" s="64" t="s">
        <v>237</v>
      </c>
      <c r="E64" s="64" t="s">
        <v>237</v>
      </c>
      <c r="F64" s="64" t="s">
        <v>236</v>
      </c>
    </row>
    <row r="65" spans="1:6">
      <c r="A65" s="26">
        <f>'法人一覧(25)'!A65</f>
        <v>62</v>
      </c>
      <c r="B65" s="38" t="str">
        <f>'法人一覧(25)'!B65</f>
        <v>農林水産省</v>
      </c>
      <c r="C65" s="38" t="str">
        <f>'法人一覧(25)'!C65</f>
        <v>国際農林水産業研究センター</v>
      </c>
      <c r="D65" s="49" t="s">
        <v>237</v>
      </c>
      <c r="E65" s="49" t="s">
        <v>237</v>
      </c>
      <c r="F65" s="49" t="s">
        <v>236</v>
      </c>
    </row>
    <row r="66" spans="1:6">
      <c r="A66" s="26">
        <f>'法人一覧(25)'!A66</f>
        <v>63</v>
      </c>
      <c r="B66" s="38" t="str">
        <f>'法人一覧(25)'!B66</f>
        <v>農林水産省</v>
      </c>
      <c r="C66" s="38" t="str">
        <f>'法人一覧(25)'!C66</f>
        <v>森林総合研究所</v>
      </c>
      <c r="D66" s="55" t="s">
        <v>283</v>
      </c>
      <c r="E66" s="55" t="s">
        <v>283</v>
      </c>
      <c r="F66" s="55" t="s">
        <v>284</v>
      </c>
    </row>
    <row r="67" spans="1:6">
      <c r="A67" s="26">
        <f>'法人一覧(25)'!A67</f>
        <v>64</v>
      </c>
      <c r="B67" s="38" t="str">
        <f>'法人一覧(25)'!B67</f>
        <v>農林水産省</v>
      </c>
      <c r="C67" s="38" t="str">
        <f>'法人一覧(25)'!C67</f>
        <v>水産総合研究センター</v>
      </c>
      <c r="D67" s="64" t="s">
        <v>237</v>
      </c>
      <c r="E67" s="64" t="s">
        <v>237</v>
      </c>
      <c r="F67" s="64" t="s">
        <v>236</v>
      </c>
    </row>
    <row r="68" spans="1:6">
      <c r="A68" s="26">
        <f>'法人一覧(25)'!A68</f>
        <v>65</v>
      </c>
      <c r="B68" s="38" t="str">
        <f>'法人一覧(25)'!B68</f>
        <v>農林水産省</v>
      </c>
      <c r="C68" s="38" t="str">
        <f>'法人一覧(25)'!C68</f>
        <v>農畜産業振興機構</v>
      </c>
      <c r="D68" s="49" t="s">
        <v>237</v>
      </c>
      <c r="E68" s="49" t="s">
        <v>237</v>
      </c>
      <c r="F68" s="49" t="s">
        <v>236</v>
      </c>
    </row>
    <row r="69" spans="1:6">
      <c r="A69" s="26">
        <f>'法人一覧(25)'!A69</f>
        <v>66</v>
      </c>
      <c r="B69" s="38" t="str">
        <f>'法人一覧(25)'!B69</f>
        <v>農林水産省</v>
      </c>
      <c r="C69" s="38" t="str">
        <f>'法人一覧(25)'!C69</f>
        <v>農業者年金基金</v>
      </c>
      <c r="D69" s="50" t="s">
        <v>237</v>
      </c>
      <c r="E69" s="50" t="s">
        <v>237</v>
      </c>
      <c r="F69" s="50" t="s">
        <v>236</v>
      </c>
    </row>
    <row r="70" spans="1:6">
      <c r="A70" s="26">
        <f>'法人一覧(25)'!A70</f>
        <v>67</v>
      </c>
      <c r="B70" s="38" t="str">
        <f>'法人一覧(25)'!B70</f>
        <v>農林水産省</v>
      </c>
      <c r="C70" s="38" t="str">
        <f>'法人一覧(25)'!C70</f>
        <v>農林漁業信用基金</v>
      </c>
      <c r="D70" s="50" t="s">
        <v>237</v>
      </c>
      <c r="E70" s="50" t="s">
        <v>237</v>
      </c>
      <c r="F70" s="50" t="s">
        <v>237</v>
      </c>
    </row>
    <row r="71" spans="1:6" ht="39.6" customHeight="1">
      <c r="A71" s="26">
        <f>'法人一覧(25)'!A71</f>
        <v>68</v>
      </c>
      <c r="B71" s="38" t="str">
        <f>'法人一覧(25)'!B71</f>
        <v>経済産業省</v>
      </c>
      <c r="C71" s="38" t="str">
        <f>'法人一覧(25)'!C71</f>
        <v>経済産業研究所</v>
      </c>
      <c r="D71" s="51" t="s">
        <v>267</v>
      </c>
      <c r="E71" s="51" t="s">
        <v>268</v>
      </c>
      <c r="F71" s="50" t="s">
        <v>237</v>
      </c>
    </row>
    <row r="72" spans="1:6">
      <c r="A72" s="26">
        <f>'法人一覧(25)'!A72</f>
        <v>69</v>
      </c>
      <c r="B72" s="38" t="str">
        <f>'法人一覧(25)'!B72</f>
        <v>経済産業省</v>
      </c>
      <c r="C72" s="38" t="str">
        <f>'法人一覧(25)'!C72</f>
        <v>工業所有権情報・研修館</v>
      </c>
      <c r="D72" s="56" t="s">
        <v>288</v>
      </c>
      <c r="E72" s="56" t="s">
        <v>288</v>
      </c>
      <c r="F72" s="56" t="s">
        <v>289</v>
      </c>
    </row>
    <row r="73" spans="1:6">
      <c r="A73" s="26">
        <f>'法人一覧(25)'!A73</f>
        <v>70</v>
      </c>
      <c r="B73" s="38" t="str">
        <f>'法人一覧(25)'!B73</f>
        <v>経済産業省</v>
      </c>
      <c r="C73" s="38" t="str">
        <f>'法人一覧(25)'!C73</f>
        <v>日本貿易保険</v>
      </c>
      <c r="D73" s="53" t="s">
        <v>237</v>
      </c>
      <c r="E73" s="53" t="s">
        <v>237</v>
      </c>
      <c r="F73" s="53" t="s">
        <v>237</v>
      </c>
    </row>
    <row r="74" spans="1:6">
      <c r="A74" s="26">
        <f>'法人一覧(25)'!A74</f>
        <v>71</v>
      </c>
      <c r="B74" s="38" t="str">
        <f>'法人一覧(25)'!B74</f>
        <v>経済産業省</v>
      </c>
      <c r="C74" s="38" t="str">
        <f>'法人一覧(25)'!C74</f>
        <v>産業技術総合研究所</v>
      </c>
      <c r="D74" s="53" t="s">
        <v>237</v>
      </c>
      <c r="E74" s="53" t="s">
        <v>237</v>
      </c>
      <c r="F74" s="53" t="s">
        <v>271</v>
      </c>
    </row>
    <row r="75" spans="1:6">
      <c r="A75" s="26">
        <f>'法人一覧(25)'!A75</f>
        <v>72</v>
      </c>
      <c r="B75" s="38" t="str">
        <f>'法人一覧(25)'!B75</f>
        <v>経済産業省</v>
      </c>
      <c r="C75" s="38" t="str">
        <f>'法人一覧(25)'!C75</f>
        <v>製品評価技術基盤機構</v>
      </c>
      <c r="D75" s="53" t="s">
        <v>237</v>
      </c>
      <c r="E75" s="53" t="s">
        <v>237</v>
      </c>
      <c r="F75" s="53" t="s">
        <v>271</v>
      </c>
    </row>
    <row r="76" spans="1:6">
      <c r="A76" s="26">
        <f>'法人一覧(25)'!A76</f>
        <v>73</v>
      </c>
      <c r="B76" s="38" t="str">
        <f>'法人一覧(25)'!B76</f>
        <v>経済産業省</v>
      </c>
      <c r="C76" s="38" t="str">
        <f>'法人一覧(25)'!C76</f>
        <v>新エネルギー・産業技術総合開発機構</v>
      </c>
      <c r="D76" s="55" t="s">
        <v>283</v>
      </c>
      <c r="E76" s="55" t="s">
        <v>283</v>
      </c>
      <c r="F76" s="55" t="s">
        <v>284</v>
      </c>
    </row>
    <row r="77" spans="1:6">
      <c r="A77" s="26">
        <f>'法人一覧(25)'!A77</f>
        <v>74</v>
      </c>
      <c r="B77" s="38" t="str">
        <f>'法人一覧(25)'!B77</f>
        <v>経済産業省</v>
      </c>
      <c r="C77" s="38" t="str">
        <f>'法人一覧(25)'!C77</f>
        <v>日本貿易振興機構</v>
      </c>
      <c r="D77" s="55" t="s">
        <v>283</v>
      </c>
      <c r="E77" s="55" t="s">
        <v>283</v>
      </c>
      <c r="F77" s="55" t="s">
        <v>284</v>
      </c>
    </row>
    <row r="78" spans="1:6">
      <c r="A78" s="26">
        <f>'法人一覧(25)'!A78</f>
        <v>75</v>
      </c>
      <c r="B78" s="38" t="str">
        <f>'法人一覧(25)'!B78</f>
        <v>経済産業省</v>
      </c>
      <c r="C78" s="38" t="str">
        <f>'法人一覧(25)'!C78</f>
        <v>情報処理推進機構</v>
      </c>
      <c r="D78" s="55" t="s">
        <v>283</v>
      </c>
      <c r="E78" s="55" t="s">
        <v>283</v>
      </c>
      <c r="F78" s="55" t="s">
        <v>284</v>
      </c>
    </row>
    <row r="79" spans="1:6">
      <c r="A79" s="26">
        <f>'法人一覧(25)'!A79</f>
        <v>76</v>
      </c>
      <c r="B79" s="38" t="str">
        <f>'法人一覧(25)'!B79</f>
        <v>経済産業省</v>
      </c>
      <c r="C79" s="38" t="str">
        <f>'法人一覧(25)'!C79</f>
        <v>石油天然ガス・金属鉱物資源機構</v>
      </c>
      <c r="D79" s="64" t="s">
        <v>237</v>
      </c>
      <c r="E79" s="64" t="s">
        <v>237</v>
      </c>
      <c r="F79" s="64" t="s">
        <v>236</v>
      </c>
    </row>
    <row r="80" spans="1:6">
      <c r="A80" s="26">
        <f>'法人一覧(25)'!A80</f>
        <v>77</v>
      </c>
      <c r="B80" s="38" t="str">
        <f>'法人一覧(25)'!B80</f>
        <v>経済産業省</v>
      </c>
      <c r="C80" s="38" t="str">
        <f>'法人一覧(25)'!C80</f>
        <v>中小企業基盤整備機構</v>
      </c>
      <c r="D80" s="64" t="s">
        <v>237</v>
      </c>
      <c r="E80" s="64" t="s">
        <v>237</v>
      </c>
      <c r="F80" s="64" t="s">
        <v>236</v>
      </c>
    </row>
    <row r="81" spans="1:6">
      <c r="A81" s="26">
        <f>'法人一覧(25)'!A81</f>
        <v>78</v>
      </c>
      <c r="B81" s="38" t="str">
        <f>'法人一覧(25)'!B81</f>
        <v>国土交通省</v>
      </c>
      <c r="C81" s="38" t="str">
        <f>'法人一覧(25)'!C81</f>
        <v>土木研究所</v>
      </c>
      <c r="D81" s="80" t="s">
        <v>311</v>
      </c>
      <c r="E81" s="80" t="s">
        <v>311</v>
      </c>
      <c r="F81" s="80" t="s">
        <v>339</v>
      </c>
    </row>
    <row r="82" spans="1:6">
      <c r="A82" s="26">
        <f>'法人一覧(25)'!A82</f>
        <v>79</v>
      </c>
      <c r="B82" s="38" t="str">
        <f>'法人一覧(25)'!B82</f>
        <v>国土交通省</v>
      </c>
      <c r="C82" s="38" t="str">
        <f>'法人一覧(25)'!C82</f>
        <v>建築研究所</v>
      </c>
      <c r="D82" s="80" t="s">
        <v>311</v>
      </c>
      <c r="E82" s="80" t="s">
        <v>311</v>
      </c>
      <c r="F82" s="80" t="s">
        <v>339</v>
      </c>
    </row>
    <row r="83" spans="1:6">
      <c r="A83" s="26">
        <f>'法人一覧(25)'!A83</f>
        <v>80</v>
      </c>
      <c r="B83" s="38" t="str">
        <f>'法人一覧(25)'!B83</f>
        <v>国土交通省</v>
      </c>
      <c r="C83" s="38" t="str">
        <f>'法人一覧(25)'!C83</f>
        <v>交通安全環境研究所</v>
      </c>
      <c r="D83" s="80" t="s">
        <v>313</v>
      </c>
      <c r="E83" s="80" t="s">
        <v>313</v>
      </c>
      <c r="F83" s="80" t="s">
        <v>336</v>
      </c>
    </row>
    <row r="84" spans="1:6">
      <c r="A84" s="26">
        <f>'法人一覧(25)'!A84</f>
        <v>81</v>
      </c>
      <c r="B84" s="38" t="str">
        <f>'法人一覧(25)'!B84</f>
        <v>国土交通省</v>
      </c>
      <c r="C84" s="38" t="str">
        <f>'法人一覧(25)'!C84</f>
        <v>海上技術安全研究所</v>
      </c>
      <c r="D84" s="80" t="s">
        <v>313</v>
      </c>
      <c r="E84" s="80" t="s">
        <v>313</v>
      </c>
      <c r="F84" s="80" t="s">
        <v>336</v>
      </c>
    </row>
    <row r="85" spans="1:6">
      <c r="A85" s="26">
        <f>'法人一覧(25)'!A85</f>
        <v>82</v>
      </c>
      <c r="B85" s="38" t="str">
        <f>'法人一覧(25)'!B85</f>
        <v>国土交通省</v>
      </c>
      <c r="C85" s="38" t="str">
        <f>'法人一覧(25)'!C85</f>
        <v>港湾空港技術研究所</v>
      </c>
      <c r="D85" s="80" t="s">
        <v>313</v>
      </c>
      <c r="E85" s="80" t="s">
        <v>313</v>
      </c>
      <c r="F85" s="80" t="s">
        <v>336</v>
      </c>
    </row>
    <row r="86" spans="1:6">
      <c r="A86" s="26">
        <f>'法人一覧(25)'!A86</f>
        <v>83</v>
      </c>
      <c r="B86" s="38" t="str">
        <f>'法人一覧(25)'!B86</f>
        <v>国土交通省</v>
      </c>
      <c r="C86" s="38" t="str">
        <f>'法人一覧(25)'!C86</f>
        <v>電子航法研究所</v>
      </c>
      <c r="D86" s="80" t="s">
        <v>313</v>
      </c>
      <c r="E86" s="80" t="s">
        <v>313</v>
      </c>
      <c r="F86" s="80" t="s">
        <v>336</v>
      </c>
    </row>
    <row r="87" spans="1:6" ht="43.2" customHeight="1">
      <c r="A87" s="26">
        <f>'法人一覧(25)'!A87</f>
        <v>84</v>
      </c>
      <c r="B87" s="38" t="str">
        <f>'法人一覧(25)'!B87</f>
        <v>国土交通省</v>
      </c>
      <c r="C87" s="38" t="str">
        <f>'法人一覧(25)'!C87</f>
        <v>航海訓練所</v>
      </c>
      <c r="D87" s="81" t="s">
        <v>340</v>
      </c>
      <c r="E87" s="81" t="s">
        <v>341</v>
      </c>
      <c r="F87" s="81" t="s">
        <v>342</v>
      </c>
    </row>
    <row r="88" spans="1:6">
      <c r="A88" s="26">
        <f>'法人一覧(25)'!A88</f>
        <v>85</v>
      </c>
      <c r="B88" s="38" t="str">
        <f>'法人一覧(25)'!B88</f>
        <v>国土交通省</v>
      </c>
      <c r="C88" s="38" t="str">
        <f>'法人一覧(25)'!C88</f>
        <v>海技教育機構</v>
      </c>
      <c r="D88" s="80" t="s">
        <v>313</v>
      </c>
      <c r="E88" s="80" t="s">
        <v>313</v>
      </c>
      <c r="F88" s="80" t="s">
        <v>336</v>
      </c>
    </row>
    <row r="89" spans="1:6">
      <c r="A89" s="26">
        <f>'法人一覧(25)'!A89</f>
        <v>86</v>
      </c>
      <c r="B89" s="38" t="str">
        <f>'法人一覧(25)'!B89</f>
        <v>国土交通省</v>
      </c>
      <c r="C89" s="38" t="str">
        <f>'法人一覧(25)'!C89</f>
        <v>航空大学校</v>
      </c>
      <c r="D89" s="66" t="s">
        <v>311</v>
      </c>
      <c r="E89" s="66" t="s">
        <v>311</v>
      </c>
      <c r="F89" s="66" t="s">
        <v>336</v>
      </c>
    </row>
    <row r="90" spans="1:6">
      <c r="A90" s="26">
        <f>'法人一覧(25)'!A90</f>
        <v>87</v>
      </c>
      <c r="B90" s="38" t="str">
        <f>'法人一覧(25)'!B90</f>
        <v>国土交通省</v>
      </c>
      <c r="C90" s="38" t="str">
        <f>'法人一覧(25)'!C90</f>
        <v>自動車検査</v>
      </c>
      <c r="D90" s="80" t="s">
        <v>313</v>
      </c>
      <c r="E90" s="80" t="s">
        <v>313</v>
      </c>
      <c r="F90" s="80" t="s">
        <v>336</v>
      </c>
    </row>
    <row r="91" spans="1:6">
      <c r="A91" s="26">
        <f>'法人一覧(25)'!A91</f>
        <v>88</v>
      </c>
      <c r="B91" s="38" t="str">
        <f>'法人一覧(25)'!B91</f>
        <v>国土交通省</v>
      </c>
      <c r="C91" s="38" t="str">
        <f>'法人一覧(25)'!C91</f>
        <v>鉄道建設・運輸施設整備支援機構</v>
      </c>
      <c r="D91" s="80" t="s">
        <v>311</v>
      </c>
      <c r="E91" s="80" t="s">
        <v>311</v>
      </c>
      <c r="F91" s="80" t="s">
        <v>339</v>
      </c>
    </row>
    <row r="92" spans="1:6">
      <c r="A92" s="26">
        <f>'法人一覧(25)'!A92</f>
        <v>89</v>
      </c>
      <c r="B92" s="38" t="str">
        <f>'法人一覧(25)'!B92</f>
        <v>国土交通省</v>
      </c>
      <c r="C92" s="38" t="str">
        <f>'法人一覧(25)'!C92</f>
        <v>国際観光振興機構</v>
      </c>
      <c r="D92" s="80" t="s">
        <v>313</v>
      </c>
      <c r="E92" s="80" t="s">
        <v>313</v>
      </c>
      <c r="F92" s="80" t="s">
        <v>336</v>
      </c>
    </row>
    <row r="93" spans="1:6">
      <c r="A93" s="26">
        <f>'法人一覧(25)'!A93</f>
        <v>90</v>
      </c>
      <c r="B93" s="38" t="str">
        <f>'法人一覧(25)'!B93</f>
        <v>国土交通省</v>
      </c>
      <c r="C93" s="38" t="str">
        <f>'法人一覧(25)'!C93</f>
        <v>水資源機構</v>
      </c>
      <c r="D93" s="80" t="s">
        <v>311</v>
      </c>
      <c r="E93" s="80" t="s">
        <v>311</v>
      </c>
      <c r="F93" s="80" t="s">
        <v>311</v>
      </c>
    </row>
    <row r="94" spans="1:6">
      <c r="A94" s="26">
        <f>'法人一覧(25)'!A94</f>
        <v>91</v>
      </c>
      <c r="B94" s="38" t="str">
        <f>'法人一覧(25)'!B94</f>
        <v>国土交通省</v>
      </c>
      <c r="C94" s="38" t="str">
        <f>'法人一覧(25)'!C94</f>
        <v>自動車事故対策機構</v>
      </c>
      <c r="D94" s="80" t="s">
        <v>311</v>
      </c>
      <c r="E94" s="80" t="s">
        <v>311</v>
      </c>
      <c r="F94" s="80" t="s">
        <v>336</v>
      </c>
    </row>
    <row r="95" spans="1:6">
      <c r="A95" s="26">
        <f>'法人一覧(25)'!A95</f>
        <v>92</v>
      </c>
      <c r="B95" s="38" t="str">
        <f>'法人一覧(25)'!B95</f>
        <v>国土交通省</v>
      </c>
      <c r="C95" s="38" t="str">
        <f>'法人一覧(25)'!C95</f>
        <v>空港周辺整備機構</v>
      </c>
      <c r="D95" s="80" t="s">
        <v>311</v>
      </c>
      <c r="E95" s="80" t="s">
        <v>311</v>
      </c>
      <c r="F95" s="80" t="s">
        <v>311</v>
      </c>
    </row>
    <row r="96" spans="1:6">
      <c r="A96" s="26">
        <f>'法人一覧(25)'!A96</f>
        <v>93</v>
      </c>
      <c r="B96" s="38" t="str">
        <f>'法人一覧(25)'!B96</f>
        <v>国土交通省</v>
      </c>
      <c r="C96" s="38" t="str">
        <f>'法人一覧(25)'!C96</f>
        <v>海上災害防止センター</v>
      </c>
      <c r="D96" s="80" t="s">
        <v>311</v>
      </c>
      <c r="E96" s="80" t="s">
        <v>311</v>
      </c>
      <c r="F96" s="80" t="s">
        <v>311</v>
      </c>
    </row>
    <row r="97" spans="1:6">
      <c r="A97" s="26">
        <f>'法人一覧(25)'!A97</f>
        <v>94</v>
      </c>
      <c r="B97" s="38" t="str">
        <f>'法人一覧(25)'!B97</f>
        <v>国土交通省</v>
      </c>
      <c r="C97" s="38" t="str">
        <f>'法人一覧(25)'!C97</f>
        <v>都市再生機構</v>
      </c>
      <c r="D97" s="80" t="s">
        <v>311</v>
      </c>
      <c r="E97" s="80" t="s">
        <v>311</v>
      </c>
      <c r="F97" s="80" t="s">
        <v>311</v>
      </c>
    </row>
    <row r="98" spans="1:6">
      <c r="A98" s="26">
        <f>'法人一覧(25)'!A98</f>
        <v>95</v>
      </c>
      <c r="B98" s="38" t="str">
        <f>'法人一覧(25)'!B98</f>
        <v>国土交通省</v>
      </c>
      <c r="C98" s="38" t="str">
        <f>'法人一覧(25)'!C98</f>
        <v>奄美群島振興開発基金</v>
      </c>
      <c r="D98" s="66" t="s">
        <v>311</v>
      </c>
      <c r="E98" s="66" t="s">
        <v>311</v>
      </c>
      <c r="F98" s="66" t="s">
        <v>311</v>
      </c>
    </row>
    <row r="99" spans="1:6">
      <c r="A99" s="26">
        <f>'法人一覧(25)'!A99</f>
        <v>96</v>
      </c>
      <c r="B99" s="38" t="str">
        <f>'法人一覧(25)'!B99</f>
        <v>国土交通省</v>
      </c>
      <c r="C99" s="38" t="str">
        <f>'法人一覧(25)'!C99</f>
        <v>日本高速道路保有・債務返済機構</v>
      </c>
      <c r="D99" s="80" t="s">
        <v>311</v>
      </c>
      <c r="E99" s="80" t="s">
        <v>311</v>
      </c>
      <c r="F99" s="80" t="s">
        <v>311</v>
      </c>
    </row>
    <row r="100" spans="1:6">
      <c r="A100" s="26">
        <f>'法人一覧(25)'!A100</f>
        <v>97</v>
      </c>
      <c r="B100" s="38" t="str">
        <f>'法人一覧(25)'!B100</f>
        <v>国土交通省</v>
      </c>
      <c r="C100" s="38" t="str">
        <f>'法人一覧(25)'!C100</f>
        <v>住宅金融支援機構</v>
      </c>
      <c r="D100" s="66" t="s">
        <v>311</v>
      </c>
      <c r="E100" s="66" t="s">
        <v>311</v>
      </c>
      <c r="F100" s="66" t="s">
        <v>311</v>
      </c>
    </row>
    <row r="101" spans="1:6">
      <c r="A101" s="26">
        <f>'法人一覧(25)'!A101</f>
        <v>98</v>
      </c>
      <c r="B101" s="38" t="str">
        <f>'法人一覧(25)'!B101</f>
        <v>環境省</v>
      </c>
      <c r="C101" s="38" t="str">
        <f>'法人一覧(25)'!C101</f>
        <v>国立環境研究所</v>
      </c>
      <c r="D101" s="62" t="s">
        <v>296</v>
      </c>
      <c r="E101" s="62" t="s">
        <v>296</v>
      </c>
      <c r="F101" s="62" t="s">
        <v>297</v>
      </c>
    </row>
    <row r="102" spans="1:6">
      <c r="A102" s="26">
        <f>'法人一覧(25)'!A102</f>
        <v>99</v>
      </c>
      <c r="B102" s="38" t="str">
        <f>'法人一覧(25)'!B102</f>
        <v>環境省</v>
      </c>
      <c r="C102" s="38" t="str">
        <f>'法人一覧(25)'!C102</f>
        <v>環境再生保全機構</v>
      </c>
      <c r="D102" s="56" t="s">
        <v>288</v>
      </c>
      <c r="E102" s="56" t="s">
        <v>288</v>
      </c>
      <c r="F102" s="56" t="s">
        <v>289</v>
      </c>
    </row>
    <row r="103" spans="1:6">
      <c r="A103" s="26">
        <f>'法人一覧(25)'!A103</f>
        <v>100</v>
      </c>
      <c r="B103" s="38" t="str">
        <f>'法人一覧(25)'!B103</f>
        <v>原子力規制委員会</v>
      </c>
      <c r="C103" s="38" t="str">
        <f>'法人一覧(25)'!C103</f>
        <v>原子力安全基盤機構</v>
      </c>
      <c r="D103" s="62" t="s">
        <v>296</v>
      </c>
      <c r="E103" s="62" t="s">
        <v>296</v>
      </c>
      <c r="F103" s="62" t="s">
        <v>297</v>
      </c>
    </row>
    <row r="104" spans="1:6" ht="60.6" customHeight="1">
      <c r="A104" s="26">
        <f>'法人一覧(25)'!A104</f>
        <v>101</v>
      </c>
      <c r="B104" s="38" t="str">
        <f>'法人一覧(25)'!B104</f>
        <v>防衛省</v>
      </c>
      <c r="C104" s="38" t="str">
        <f>'法人一覧(25)'!C104</f>
        <v>駐留軍等労働者労務管理機構</v>
      </c>
      <c r="D104" s="63" t="s">
        <v>301</v>
      </c>
      <c r="E104" s="63" t="s">
        <v>302</v>
      </c>
      <c r="F104" s="62" t="s">
        <v>296</v>
      </c>
    </row>
    <row r="106" spans="1:6">
      <c r="B106" s="1" t="s">
        <v>598</v>
      </c>
    </row>
  </sheetData>
  <mergeCells count="4">
    <mergeCell ref="B2:B3"/>
    <mergeCell ref="C2:C3"/>
    <mergeCell ref="D2:F2"/>
    <mergeCell ref="A2:A3"/>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workbookViewId="0">
      <pane xSplit="3" ySplit="3" topLeftCell="D91" activePane="bottomRight" state="frozen"/>
      <selection activeCell="B2" sqref="B2:B3"/>
      <selection pane="topRight" activeCell="B2" sqref="B2:B3"/>
      <selection pane="bottomLeft" activeCell="B2" sqref="B2:B3"/>
      <selection pane="bottomRight"/>
    </sheetView>
  </sheetViews>
  <sheetFormatPr defaultColWidth="8.88671875" defaultRowHeight="13.2"/>
  <cols>
    <col min="1" max="1" width="3.44140625" style="37" customWidth="1"/>
    <col min="2" max="2" width="16.109375" style="1" customWidth="1"/>
    <col min="3" max="3" width="40.21875" style="1" bestFit="1" customWidth="1"/>
    <col min="4" max="6" width="22.88671875" style="1" customWidth="1"/>
    <col min="7" max="16384" width="8.88671875" style="1"/>
  </cols>
  <sheetData>
    <row r="1" spans="1:6" ht="19.95" customHeight="1">
      <c r="B1" s="144" t="s">
        <v>238</v>
      </c>
    </row>
    <row r="2" spans="1:6" ht="20.399999999999999" customHeight="1">
      <c r="A2" s="161" t="s">
        <v>195</v>
      </c>
      <c r="B2" s="161" t="s">
        <v>0</v>
      </c>
      <c r="C2" s="161" t="s">
        <v>1</v>
      </c>
      <c r="D2" s="164" t="s">
        <v>14</v>
      </c>
      <c r="E2" s="165"/>
      <c r="F2" s="166"/>
    </row>
    <row r="3" spans="1:6">
      <c r="A3" s="162"/>
      <c r="B3" s="162"/>
      <c r="C3" s="162"/>
      <c r="D3" s="3" t="s">
        <v>67</v>
      </c>
      <c r="E3" s="3" t="s">
        <v>68</v>
      </c>
      <c r="F3" s="3" t="s">
        <v>69</v>
      </c>
    </row>
    <row r="4" spans="1:6">
      <c r="A4" s="26">
        <f>'法人一覧(26)'!A4</f>
        <v>1</v>
      </c>
      <c r="B4" s="38" t="str">
        <f>'法人一覧(26)'!B4</f>
        <v>内閣府</v>
      </c>
      <c r="C4" s="38" t="str">
        <f>'法人一覧(26)'!C4</f>
        <v>国立公文書館</v>
      </c>
      <c r="D4" s="66" t="s">
        <v>313</v>
      </c>
      <c r="E4" s="66" t="s">
        <v>313</v>
      </c>
      <c r="F4" s="66" t="s">
        <v>336</v>
      </c>
    </row>
    <row r="5" spans="1:6">
      <c r="A5" s="26">
        <f>'法人一覧(26)'!A5</f>
        <v>2</v>
      </c>
      <c r="B5" s="38" t="str">
        <f>'法人一覧(26)'!B5</f>
        <v>内閣府</v>
      </c>
      <c r="C5" s="38" t="str">
        <f>'法人一覧(26)'!C5</f>
        <v>北方領土問題対策協会</v>
      </c>
      <c r="D5" s="66" t="s">
        <v>313</v>
      </c>
      <c r="E5" s="66" t="s">
        <v>313</v>
      </c>
      <c r="F5" s="66" t="s">
        <v>336</v>
      </c>
    </row>
    <row r="6" spans="1:6">
      <c r="A6" s="26">
        <f>'法人一覧(26)'!A6</f>
        <v>3</v>
      </c>
      <c r="B6" s="38" t="str">
        <f>'法人一覧(26)'!B6</f>
        <v>消費者庁</v>
      </c>
      <c r="C6" s="38" t="str">
        <f>'法人一覧(26)'!C6</f>
        <v>国民生活センター</v>
      </c>
      <c r="D6" s="50" t="s">
        <v>237</v>
      </c>
      <c r="E6" s="50" t="s">
        <v>237</v>
      </c>
      <c r="F6" s="50" t="s">
        <v>236</v>
      </c>
    </row>
    <row r="7" spans="1:6">
      <c r="A7" s="26">
        <f>'法人一覧(26)'!A7</f>
        <v>4</v>
      </c>
      <c r="B7" s="38" t="str">
        <f>'法人一覧(26)'!B7</f>
        <v>総務省</v>
      </c>
      <c r="C7" s="38" t="str">
        <f>'法人一覧(26)'!C7</f>
        <v>情報通信研究機構</v>
      </c>
      <c r="D7" s="80" t="s">
        <v>311</v>
      </c>
      <c r="E7" s="80" t="s">
        <v>311</v>
      </c>
      <c r="F7" s="80" t="s">
        <v>336</v>
      </c>
    </row>
    <row r="8" spans="1:6" ht="59.4" customHeight="1">
      <c r="A8" s="26">
        <f>'法人一覧(26)'!A8</f>
        <v>5</v>
      </c>
      <c r="B8" s="38" t="str">
        <f>'法人一覧(26)'!B8</f>
        <v>総務省</v>
      </c>
      <c r="C8" s="38" t="str">
        <f>'法人一覧(26)'!C8</f>
        <v>統計センター</v>
      </c>
      <c r="D8" s="80" t="s">
        <v>311</v>
      </c>
      <c r="E8" s="81" t="s">
        <v>337</v>
      </c>
      <c r="F8" s="81" t="s">
        <v>255</v>
      </c>
    </row>
    <row r="9" spans="1:6">
      <c r="A9" s="26">
        <f>'法人一覧(26)'!A9</f>
        <v>6</v>
      </c>
      <c r="B9" s="38" t="str">
        <f>'法人一覧(26)'!B9</f>
        <v>総務省</v>
      </c>
      <c r="C9" s="38" t="str">
        <f>'法人一覧(26)'!C9</f>
        <v>郵便貯金・簡易生命保険管理機構</v>
      </c>
      <c r="D9" s="80" t="s">
        <v>311</v>
      </c>
      <c r="E9" s="80" t="s">
        <v>311</v>
      </c>
      <c r="F9" s="80" t="s">
        <v>311</v>
      </c>
    </row>
    <row r="10" spans="1:6">
      <c r="A10" s="26">
        <f>'法人一覧(26)'!A10</f>
        <v>7</v>
      </c>
      <c r="B10" s="38" t="str">
        <f>'法人一覧(26)'!B10</f>
        <v>外務省</v>
      </c>
      <c r="C10" s="38" t="str">
        <f>'法人一覧(26)'!C10</f>
        <v>国際協力機構</v>
      </c>
      <c r="D10" s="61" t="s">
        <v>292</v>
      </c>
      <c r="E10" s="61" t="s">
        <v>292</v>
      </c>
      <c r="F10" s="61" t="s">
        <v>293</v>
      </c>
    </row>
    <row r="11" spans="1:6">
      <c r="A11" s="26">
        <f>'法人一覧(26)'!A11</f>
        <v>8</v>
      </c>
      <c r="B11" s="38" t="str">
        <f>'法人一覧(26)'!B11</f>
        <v>外務省</v>
      </c>
      <c r="C11" s="38" t="str">
        <f>'法人一覧(26)'!C11</f>
        <v>国際交流基金</v>
      </c>
      <c r="D11" s="26" t="s">
        <v>237</v>
      </c>
      <c r="E11" s="26" t="s">
        <v>237</v>
      </c>
      <c r="F11" s="26" t="s">
        <v>236</v>
      </c>
    </row>
    <row r="12" spans="1:6" ht="46.2" customHeight="1">
      <c r="A12" s="26">
        <f>'法人一覧(26)'!A12</f>
        <v>9</v>
      </c>
      <c r="B12" s="38" t="str">
        <f>'法人一覧(26)'!B12</f>
        <v>財務省</v>
      </c>
      <c r="C12" s="38" t="str">
        <f>'法人一覧(26)'!C12</f>
        <v>酒類総合研究所</v>
      </c>
      <c r="D12" s="28" t="s">
        <v>253</v>
      </c>
      <c r="E12" s="28" t="s">
        <v>254</v>
      </c>
      <c r="F12" s="28" t="s">
        <v>255</v>
      </c>
    </row>
    <row r="13" spans="1:6">
      <c r="A13" s="26">
        <f>'法人一覧(26)'!A13</f>
        <v>10</v>
      </c>
      <c r="B13" s="38" t="str">
        <f>'法人一覧(26)'!B13</f>
        <v>財務省</v>
      </c>
      <c r="C13" s="38" t="str">
        <f>'法人一覧(26)'!C13</f>
        <v>造幣局</v>
      </c>
      <c r="D13" s="103" t="s">
        <v>311</v>
      </c>
      <c r="E13" s="103" t="s">
        <v>311</v>
      </c>
      <c r="F13" s="103" t="s">
        <v>311</v>
      </c>
    </row>
    <row r="14" spans="1:6">
      <c r="A14" s="26">
        <f>'法人一覧(26)'!A14</f>
        <v>11</v>
      </c>
      <c r="B14" s="38" t="str">
        <f>'法人一覧(26)'!B14</f>
        <v>財務省</v>
      </c>
      <c r="C14" s="38" t="str">
        <f>'法人一覧(26)'!C14</f>
        <v>国立印刷局</v>
      </c>
      <c r="D14" s="66" t="s">
        <v>311</v>
      </c>
      <c r="E14" s="66" t="s">
        <v>311</v>
      </c>
      <c r="F14" s="66" t="s">
        <v>311</v>
      </c>
    </row>
    <row r="15" spans="1:6">
      <c r="A15" s="26">
        <f>'法人一覧(26)'!A15</f>
        <v>12</v>
      </c>
      <c r="B15" s="38" t="str">
        <f>'法人一覧(26)'!B15</f>
        <v>文部科学省</v>
      </c>
      <c r="C15" s="38" t="str">
        <f>'法人一覧(26)'!C15</f>
        <v>国立特別支援教育総合研究所</v>
      </c>
      <c r="D15" s="60" t="s">
        <v>427</v>
      </c>
      <c r="E15" s="60" t="s">
        <v>427</v>
      </c>
      <c r="F15" s="60" t="s">
        <v>422</v>
      </c>
    </row>
    <row r="16" spans="1:6">
      <c r="A16" s="26">
        <f>'法人一覧(26)'!A16</f>
        <v>13</v>
      </c>
      <c r="B16" s="38" t="str">
        <f>'法人一覧(26)'!B16</f>
        <v>文部科学省</v>
      </c>
      <c r="C16" s="38" t="str">
        <f>'法人一覧(26)'!C16</f>
        <v>大学入試センター</v>
      </c>
      <c r="D16" s="60" t="s">
        <v>427</v>
      </c>
      <c r="E16" s="60" t="s">
        <v>427</v>
      </c>
      <c r="F16" s="60" t="s">
        <v>427</v>
      </c>
    </row>
    <row r="17" spans="1:6" ht="46.2" customHeight="1">
      <c r="A17" s="26">
        <f>'法人一覧(26)'!A17</f>
        <v>14</v>
      </c>
      <c r="B17" s="38" t="str">
        <f>'法人一覧(26)'!B17</f>
        <v>文部科学省</v>
      </c>
      <c r="C17" s="38" t="str">
        <f>'法人一覧(26)'!C17</f>
        <v>国立青少年教育振興機構</v>
      </c>
      <c r="D17" s="88" t="s">
        <v>388</v>
      </c>
      <c r="E17" s="88" t="s">
        <v>467</v>
      </c>
      <c r="F17" s="60" t="s">
        <v>427</v>
      </c>
    </row>
    <row r="18" spans="1:6" ht="84.6" customHeight="1">
      <c r="A18" s="26">
        <f>'法人一覧(26)'!A18</f>
        <v>15</v>
      </c>
      <c r="B18" s="38" t="str">
        <f>'法人一覧(26)'!B18</f>
        <v>文部科学省</v>
      </c>
      <c r="C18" s="38" t="str">
        <f>'法人一覧(26)'!C18</f>
        <v>国立女性教育会館</v>
      </c>
      <c r="D18" s="88" t="s">
        <v>578</v>
      </c>
      <c r="E18" s="88" t="s">
        <v>574</v>
      </c>
      <c r="F18" s="60" t="s">
        <v>233</v>
      </c>
    </row>
    <row r="19" spans="1:6" ht="104.4" customHeight="1">
      <c r="A19" s="26">
        <f>'法人一覧(26)'!A19</f>
        <v>16</v>
      </c>
      <c r="B19" s="38" t="str">
        <f>'法人一覧(26)'!B19</f>
        <v>文部科学省</v>
      </c>
      <c r="C19" s="38" t="str">
        <f>'法人一覧(26)'!C19</f>
        <v>国立科学博物館</v>
      </c>
      <c r="D19" s="100" t="s">
        <v>389</v>
      </c>
      <c r="E19" s="100" t="s">
        <v>390</v>
      </c>
      <c r="F19" s="100" t="s">
        <v>391</v>
      </c>
    </row>
    <row r="20" spans="1:6">
      <c r="A20" s="26">
        <f>'法人一覧(26)'!A20</f>
        <v>17</v>
      </c>
      <c r="B20" s="38" t="str">
        <f>'法人一覧(26)'!B20</f>
        <v>文部科学省</v>
      </c>
      <c r="C20" s="38" t="str">
        <f>'法人一覧(26)'!C20</f>
        <v>物質・材料研究機構</v>
      </c>
      <c r="D20" s="60" t="s">
        <v>425</v>
      </c>
      <c r="E20" s="60" t="s">
        <v>426</v>
      </c>
      <c r="F20" s="60" t="s">
        <v>236</v>
      </c>
    </row>
    <row r="21" spans="1:6">
      <c r="A21" s="26">
        <f>'法人一覧(26)'!A21</f>
        <v>18</v>
      </c>
      <c r="B21" s="38" t="str">
        <f>'法人一覧(26)'!B21</f>
        <v>文部科学省</v>
      </c>
      <c r="C21" s="38" t="str">
        <f>'法人一覧(26)'!C21</f>
        <v>防災科学技術研究所</v>
      </c>
      <c r="D21" s="60" t="s">
        <v>406</v>
      </c>
      <c r="E21" s="60" t="s">
        <v>406</v>
      </c>
      <c r="F21" s="60" t="s">
        <v>407</v>
      </c>
    </row>
    <row r="22" spans="1:6">
      <c r="A22" s="26">
        <f>'法人一覧(26)'!A22</f>
        <v>19</v>
      </c>
      <c r="B22" s="38" t="str">
        <f>'法人一覧(26)'!B22</f>
        <v>文部科学省</v>
      </c>
      <c r="C22" s="38" t="str">
        <f>'法人一覧(26)'!C22</f>
        <v>放射線医学総合研究所</v>
      </c>
      <c r="D22" s="60" t="s">
        <v>408</v>
      </c>
      <c r="E22" s="60" t="s">
        <v>406</v>
      </c>
      <c r="F22" s="60" t="s">
        <v>407</v>
      </c>
    </row>
    <row r="23" spans="1:6" ht="105.6" customHeight="1">
      <c r="A23" s="26">
        <f>'法人一覧(26)'!A23</f>
        <v>20</v>
      </c>
      <c r="B23" s="38" t="str">
        <f>'法人一覧(26)'!B23</f>
        <v>文部科学省</v>
      </c>
      <c r="C23" s="38" t="str">
        <f>'法人一覧(26)'!C23</f>
        <v>国立美術館</v>
      </c>
      <c r="D23" s="100" t="s">
        <v>409</v>
      </c>
      <c r="E23" s="100" t="s">
        <v>553</v>
      </c>
      <c r="F23" s="60" t="s">
        <v>406</v>
      </c>
    </row>
    <row r="24" spans="1:6" ht="94.2" customHeight="1">
      <c r="A24" s="26">
        <f>'法人一覧(26)'!A24</f>
        <v>21</v>
      </c>
      <c r="B24" s="38" t="str">
        <f>'法人一覧(26)'!B24</f>
        <v>文部科学省</v>
      </c>
      <c r="C24" s="38" t="str">
        <f>'法人一覧(26)'!C24</f>
        <v>国立文化財機構</v>
      </c>
      <c r="D24" s="100" t="s">
        <v>428</v>
      </c>
      <c r="E24" s="100" t="s">
        <v>429</v>
      </c>
      <c r="F24" s="100" t="s">
        <v>430</v>
      </c>
    </row>
    <row r="25" spans="1:6">
      <c r="A25" s="26">
        <f>'法人一覧(26)'!A25</f>
        <v>22</v>
      </c>
      <c r="B25" s="38" t="str">
        <f>'法人一覧(26)'!B25</f>
        <v>文部科学省</v>
      </c>
      <c r="C25" s="38" t="str">
        <f>'法人一覧(26)'!C25</f>
        <v>教員研修センター</v>
      </c>
      <c r="D25" s="60" t="s">
        <v>427</v>
      </c>
      <c r="E25" s="60" t="s">
        <v>427</v>
      </c>
      <c r="F25" s="60" t="s">
        <v>422</v>
      </c>
    </row>
    <row r="26" spans="1:6" ht="34.799999999999997" customHeight="1">
      <c r="A26" s="26">
        <f>'法人一覧(26)'!A26</f>
        <v>23</v>
      </c>
      <c r="B26" s="38" t="str">
        <f>'法人一覧(26)'!B26</f>
        <v>文部科学省</v>
      </c>
      <c r="C26" s="38" t="str">
        <f>'法人一覧(26)'!C26</f>
        <v>科学技術振興機構</v>
      </c>
      <c r="D26" s="88" t="s">
        <v>399</v>
      </c>
      <c r="E26" s="88" t="s">
        <v>400</v>
      </c>
      <c r="F26" s="60" t="s">
        <v>427</v>
      </c>
    </row>
    <row r="27" spans="1:6">
      <c r="A27" s="26">
        <f>'法人一覧(26)'!A27</f>
        <v>24</v>
      </c>
      <c r="B27" s="38" t="str">
        <f>'法人一覧(26)'!B27</f>
        <v>文部科学省</v>
      </c>
      <c r="C27" s="38" t="str">
        <f>'法人一覧(26)'!C27</f>
        <v>日本学術振興会</v>
      </c>
      <c r="D27" s="88" t="s">
        <v>422</v>
      </c>
      <c r="E27" s="60" t="s">
        <v>427</v>
      </c>
      <c r="F27" s="60" t="s">
        <v>427</v>
      </c>
    </row>
    <row r="28" spans="1:6">
      <c r="A28" s="26">
        <f>'法人一覧(26)'!A28</f>
        <v>25</v>
      </c>
      <c r="B28" s="38" t="str">
        <f>'法人一覧(26)'!B28</f>
        <v>文部科学省</v>
      </c>
      <c r="C28" s="38" t="str">
        <f>'法人一覧(26)'!C28</f>
        <v>理化学研究所</v>
      </c>
      <c r="D28" s="60" t="s">
        <v>427</v>
      </c>
      <c r="E28" s="60" t="s">
        <v>427</v>
      </c>
      <c r="F28" s="60" t="s">
        <v>285</v>
      </c>
    </row>
    <row r="29" spans="1:6">
      <c r="A29" s="26">
        <f>'法人一覧(26)'!A29</f>
        <v>26</v>
      </c>
      <c r="B29" s="38" t="str">
        <f>'法人一覧(26)'!B29</f>
        <v>文部科学省</v>
      </c>
      <c r="C29" s="38" t="str">
        <f>'法人一覧(26)'!C29</f>
        <v>宇宙航空研究開発機構</v>
      </c>
      <c r="D29" s="60" t="s">
        <v>427</v>
      </c>
      <c r="E29" s="60" t="s">
        <v>427</v>
      </c>
      <c r="F29" s="60" t="s">
        <v>422</v>
      </c>
    </row>
    <row r="30" spans="1:6">
      <c r="A30" s="26">
        <f>'法人一覧(26)'!A30</f>
        <v>27</v>
      </c>
      <c r="B30" s="38" t="str">
        <f>'法人一覧(26)'!B30</f>
        <v>文部科学省</v>
      </c>
      <c r="C30" s="38" t="str">
        <f>'法人一覧(26)'!C30</f>
        <v>日本スポーツ振興センター</v>
      </c>
      <c r="D30" s="60" t="s">
        <v>427</v>
      </c>
      <c r="E30" s="60" t="s">
        <v>427</v>
      </c>
      <c r="F30" s="60" t="s">
        <v>422</v>
      </c>
    </row>
    <row r="31" spans="1:6">
      <c r="A31" s="26">
        <f>'法人一覧(26)'!A31</f>
        <v>28</v>
      </c>
      <c r="B31" s="38" t="str">
        <f>'法人一覧(26)'!B31</f>
        <v>文部科学省</v>
      </c>
      <c r="C31" s="38" t="str">
        <f>'法人一覧(26)'!C31</f>
        <v>日本芸術文化振興会</v>
      </c>
      <c r="D31" s="60" t="s">
        <v>427</v>
      </c>
      <c r="E31" s="60" t="s">
        <v>427</v>
      </c>
      <c r="F31" s="60" t="s">
        <v>285</v>
      </c>
    </row>
    <row r="32" spans="1:6" ht="59.4" customHeight="1">
      <c r="A32" s="26">
        <f>'法人一覧(26)'!A32</f>
        <v>29</v>
      </c>
      <c r="B32" s="38" t="str">
        <f>'法人一覧(26)'!B32</f>
        <v>文部科学省</v>
      </c>
      <c r="C32" s="38" t="str">
        <f>'法人一覧(26)'!C32</f>
        <v>日本学生支援機構</v>
      </c>
      <c r="D32" s="88" t="s">
        <v>580</v>
      </c>
      <c r="E32" s="88" t="s">
        <v>467</v>
      </c>
      <c r="F32" s="60" t="s">
        <v>427</v>
      </c>
    </row>
    <row r="33" spans="1:6">
      <c r="A33" s="26">
        <f>'法人一覧(26)'!A33</f>
        <v>30</v>
      </c>
      <c r="B33" s="38" t="str">
        <f>'法人一覧(26)'!B33</f>
        <v>文部科学省</v>
      </c>
      <c r="C33" s="38" t="str">
        <f>'法人一覧(26)'!C33</f>
        <v>海洋研究開発機構</v>
      </c>
      <c r="D33" s="60" t="s">
        <v>427</v>
      </c>
      <c r="E33" s="60" t="s">
        <v>427</v>
      </c>
      <c r="F33" s="60" t="s">
        <v>422</v>
      </c>
    </row>
    <row r="34" spans="1:6" ht="45.6" customHeight="1">
      <c r="A34" s="26">
        <f>'法人一覧(26)'!A34</f>
        <v>31</v>
      </c>
      <c r="B34" s="38" t="str">
        <f>'法人一覧(26)'!B34</f>
        <v>文部科学省</v>
      </c>
      <c r="C34" s="38" t="str">
        <f>'法人一覧(26)'!C34</f>
        <v>国立高等専門学校機構</v>
      </c>
      <c r="D34" s="88" t="s">
        <v>402</v>
      </c>
      <c r="E34" s="88" t="s">
        <v>470</v>
      </c>
      <c r="F34" s="88" t="s">
        <v>410</v>
      </c>
    </row>
    <row r="35" spans="1:6">
      <c r="A35" s="26">
        <f>'法人一覧(26)'!A35</f>
        <v>32</v>
      </c>
      <c r="B35" s="38" t="str">
        <f>'法人一覧(26)'!B35</f>
        <v>文部科学省</v>
      </c>
      <c r="C35" s="38" t="str">
        <f>'法人一覧(26)'!C35</f>
        <v>大学評価・学位授与機構</v>
      </c>
      <c r="D35" s="60" t="s">
        <v>427</v>
      </c>
      <c r="E35" s="60" t="s">
        <v>427</v>
      </c>
      <c r="F35" s="60" t="s">
        <v>422</v>
      </c>
    </row>
    <row r="36" spans="1:6">
      <c r="A36" s="26">
        <f>'法人一覧(26)'!A36</f>
        <v>33</v>
      </c>
      <c r="B36" s="38" t="str">
        <f>'法人一覧(26)'!B36</f>
        <v>文部科学省</v>
      </c>
      <c r="C36" s="38" t="str">
        <f>'法人一覧(26)'!C36</f>
        <v>国立大学財務・経営センター</v>
      </c>
      <c r="D36" s="60" t="s">
        <v>427</v>
      </c>
      <c r="E36" s="60" t="s">
        <v>427</v>
      </c>
      <c r="F36" s="60" t="s">
        <v>422</v>
      </c>
    </row>
    <row r="37" spans="1:6">
      <c r="A37" s="26">
        <f>'法人一覧(26)'!A37</f>
        <v>34</v>
      </c>
      <c r="B37" s="38" t="str">
        <f>'法人一覧(26)'!B37</f>
        <v>文部科学省</v>
      </c>
      <c r="C37" s="38" t="str">
        <f>'法人一覧(26)'!C37</f>
        <v>日本原子力研究開発機構</v>
      </c>
      <c r="D37" s="60" t="s">
        <v>427</v>
      </c>
      <c r="E37" s="60" t="s">
        <v>427</v>
      </c>
      <c r="F37" s="60" t="s">
        <v>422</v>
      </c>
    </row>
    <row r="38" spans="1:6" ht="46.2" customHeight="1">
      <c r="A38" s="26">
        <f>'法人一覧(26)'!A38</f>
        <v>35</v>
      </c>
      <c r="B38" s="38" t="str">
        <f>'法人一覧(26)'!B38</f>
        <v>厚生労働省</v>
      </c>
      <c r="C38" s="38" t="str">
        <f>'法人一覧(26)'!C38</f>
        <v>国立健康・栄養研究所</v>
      </c>
      <c r="D38" s="60" t="s">
        <v>427</v>
      </c>
      <c r="E38" s="88" t="s">
        <v>404</v>
      </c>
      <c r="F38" s="88" t="s">
        <v>467</v>
      </c>
    </row>
    <row r="39" spans="1:6">
      <c r="A39" s="26">
        <f>'法人一覧(26)'!A39</f>
        <v>36</v>
      </c>
      <c r="B39" s="38" t="str">
        <f>'法人一覧(26)'!B39</f>
        <v>厚生労働省</v>
      </c>
      <c r="C39" s="38" t="str">
        <f>'法人一覧(26)'!C39</f>
        <v>労働安全衛生総合研究所</v>
      </c>
      <c r="D39" s="60" t="s">
        <v>427</v>
      </c>
      <c r="E39" s="60" t="s">
        <v>427</v>
      </c>
      <c r="F39" s="60" t="s">
        <v>422</v>
      </c>
    </row>
    <row r="40" spans="1:6">
      <c r="A40" s="26">
        <f>'法人一覧(26)'!A40</f>
        <v>37</v>
      </c>
      <c r="B40" s="38" t="str">
        <f>'法人一覧(26)'!B40</f>
        <v>厚生労働省</v>
      </c>
      <c r="C40" s="38" t="str">
        <f>'法人一覧(26)'!C40</f>
        <v>勤労者退職金共済機構</v>
      </c>
      <c r="D40" s="60" t="s">
        <v>427</v>
      </c>
      <c r="E40" s="60" t="s">
        <v>427</v>
      </c>
      <c r="F40" s="60" t="s">
        <v>422</v>
      </c>
    </row>
    <row r="41" spans="1:6" ht="34.799999999999997" customHeight="1">
      <c r="A41" s="26">
        <f>'法人一覧(26)'!A41</f>
        <v>38</v>
      </c>
      <c r="B41" s="38" t="str">
        <f>'法人一覧(26)'!B41</f>
        <v>厚生労働省</v>
      </c>
      <c r="C41" s="38" t="str">
        <f>'法人一覧(26)'!C41</f>
        <v>高齢・障害・求職者雇用支援機構</v>
      </c>
      <c r="D41" s="60" t="s">
        <v>427</v>
      </c>
      <c r="E41" s="88" t="s">
        <v>432</v>
      </c>
      <c r="F41" s="60" t="s">
        <v>422</v>
      </c>
    </row>
    <row r="42" spans="1:6">
      <c r="A42" s="26">
        <f>'法人一覧(26)'!A42</f>
        <v>39</v>
      </c>
      <c r="B42" s="38" t="str">
        <f>'法人一覧(26)'!B42</f>
        <v>厚生労働省</v>
      </c>
      <c r="C42" s="38" t="str">
        <f>'法人一覧(26)'!C42</f>
        <v>福祉医療機構</v>
      </c>
      <c r="D42" s="60" t="s">
        <v>427</v>
      </c>
      <c r="E42" s="60" t="s">
        <v>427</v>
      </c>
      <c r="F42" s="60" t="s">
        <v>422</v>
      </c>
    </row>
    <row r="43" spans="1:6">
      <c r="A43" s="26">
        <f>'法人一覧(26)'!A43</f>
        <v>40</v>
      </c>
      <c r="B43" s="38" t="str">
        <f>'法人一覧(26)'!B43</f>
        <v>厚生労働省</v>
      </c>
      <c r="C43" s="38" t="str">
        <f>'法人一覧(26)'!C43</f>
        <v>国立重度知的障害者総合施設のぞみの園</v>
      </c>
      <c r="D43" s="60" t="s">
        <v>427</v>
      </c>
      <c r="E43" s="60" t="s">
        <v>427</v>
      </c>
      <c r="F43" s="60" t="s">
        <v>422</v>
      </c>
    </row>
    <row r="44" spans="1:6" ht="91.8" customHeight="1">
      <c r="A44" s="26">
        <f>'法人一覧(26)'!A44</f>
        <v>41</v>
      </c>
      <c r="B44" s="38" t="str">
        <f>'法人一覧(26)'!B44</f>
        <v>厚生労働省</v>
      </c>
      <c r="C44" s="38" t="str">
        <f>'法人一覧(26)'!C44</f>
        <v>労働政策研究・研修機構</v>
      </c>
      <c r="D44" s="60" t="s">
        <v>427</v>
      </c>
      <c r="E44" s="88" t="s">
        <v>433</v>
      </c>
      <c r="F44" s="88" t="s">
        <v>431</v>
      </c>
    </row>
    <row r="45" spans="1:6" ht="58.8" customHeight="1">
      <c r="A45" s="26">
        <f>'法人一覧(26)'!A45</f>
        <v>42</v>
      </c>
      <c r="B45" s="38" t="str">
        <f>'法人一覧(26)'!B45</f>
        <v>厚生労働省</v>
      </c>
      <c r="C45" s="38" t="str">
        <f>'法人一覧(26)'!C45</f>
        <v>労働者健康福祉機構</v>
      </c>
      <c r="D45" s="60" t="s">
        <v>427</v>
      </c>
      <c r="E45" s="88" t="s">
        <v>411</v>
      </c>
      <c r="F45" s="88" t="s">
        <v>582</v>
      </c>
    </row>
    <row r="46" spans="1:6">
      <c r="A46" s="26">
        <f>'法人一覧(26)'!A46</f>
        <v>43</v>
      </c>
      <c r="B46" s="38" t="str">
        <f>'法人一覧(26)'!B46</f>
        <v>厚生労働省</v>
      </c>
      <c r="C46" s="38" t="str">
        <f>'法人一覧(26)'!C46</f>
        <v>国立病院機構</v>
      </c>
      <c r="D46" s="60" t="s">
        <v>236</v>
      </c>
      <c r="E46" s="60" t="s">
        <v>427</v>
      </c>
      <c r="F46" s="60" t="s">
        <v>427</v>
      </c>
    </row>
    <row r="47" spans="1:6">
      <c r="A47" s="26">
        <f>'法人一覧(26)'!A47</f>
        <v>44</v>
      </c>
      <c r="B47" s="38" t="str">
        <f>'法人一覧(26)'!B47</f>
        <v>厚生労働省</v>
      </c>
      <c r="C47" s="38" t="str">
        <f>'法人一覧(26)'!C47</f>
        <v>医薬品医療機器総合機構</v>
      </c>
      <c r="D47" s="60" t="s">
        <v>427</v>
      </c>
      <c r="E47" s="60" t="s">
        <v>427</v>
      </c>
      <c r="F47" s="60" t="s">
        <v>422</v>
      </c>
    </row>
    <row r="48" spans="1:6">
      <c r="A48" s="26">
        <f>'法人一覧(26)'!A48</f>
        <v>45</v>
      </c>
      <c r="B48" s="38" t="str">
        <f>'法人一覧(26)'!B48</f>
        <v>厚生労働省</v>
      </c>
      <c r="C48" s="38" t="str">
        <f>'法人一覧(26)'!C48</f>
        <v>医薬基盤研究所</v>
      </c>
      <c r="D48" s="60" t="s">
        <v>427</v>
      </c>
      <c r="E48" s="60" t="s">
        <v>427</v>
      </c>
      <c r="F48" s="60" t="s">
        <v>422</v>
      </c>
    </row>
    <row r="49" spans="1:6">
      <c r="A49" s="26">
        <f>'法人一覧(26)'!A49</f>
        <v>46</v>
      </c>
      <c r="B49" s="38" t="str">
        <f>'法人一覧(26)'!B49</f>
        <v>厚生労働省</v>
      </c>
      <c r="C49" s="38" t="str">
        <f>'法人一覧(26)'!C49</f>
        <v>地域医療機能推進機構</v>
      </c>
      <c r="D49" s="60" t="s">
        <v>427</v>
      </c>
      <c r="E49" s="60" t="s">
        <v>427</v>
      </c>
      <c r="F49" s="60" t="s">
        <v>427</v>
      </c>
    </row>
    <row r="50" spans="1:6">
      <c r="A50" s="26">
        <f>'法人一覧(26)'!A50</f>
        <v>47</v>
      </c>
      <c r="B50" s="38" t="str">
        <f>'法人一覧(26)'!B50</f>
        <v>厚生労働省</v>
      </c>
      <c r="C50" s="38" t="str">
        <f>'法人一覧(26)'!C50</f>
        <v>年金積立金管理運用</v>
      </c>
      <c r="D50" s="60" t="s">
        <v>427</v>
      </c>
      <c r="E50" s="60" t="s">
        <v>427</v>
      </c>
      <c r="F50" s="60" t="s">
        <v>427</v>
      </c>
    </row>
    <row r="51" spans="1:6">
      <c r="A51" s="26">
        <f>'法人一覧(26)'!A51</f>
        <v>48</v>
      </c>
      <c r="B51" s="38" t="str">
        <f>'法人一覧(26)'!B51</f>
        <v>厚生労働省</v>
      </c>
      <c r="C51" s="38" t="str">
        <f>'法人一覧(26)'!C51</f>
        <v>国立がん研究センター</v>
      </c>
      <c r="D51" s="60" t="s">
        <v>422</v>
      </c>
      <c r="E51" s="60" t="s">
        <v>427</v>
      </c>
      <c r="F51" s="60" t="s">
        <v>427</v>
      </c>
    </row>
    <row r="52" spans="1:6">
      <c r="A52" s="26">
        <f>'法人一覧(26)'!A52</f>
        <v>49</v>
      </c>
      <c r="B52" s="38" t="str">
        <f>'法人一覧(26)'!B52</f>
        <v>厚生労働省</v>
      </c>
      <c r="C52" s="38" t="str">
        <f>'法人一覧(26)'!C52</f>
        <v>国立循環器病研究センター</v>
      </c>
      <c r="D52" s="60" t="s">
        <v>422</v>
      </c>
      <c r="E52" s="60" t="s">
        <v>427</v>
      </c>
      <c r="F52" s="60" t="s">
        <v>427</v>
      </c>
    </row>
    <row r="53" spans="1:6">
      <c r="A53" s="26">
        <f>'法人一覧(26)'!A53</f>
        <v>50</v>
      </c>
      <c r="B53" s="38" t="str">
        <f>'法人一覧(26)'!B53</f>
        <v>厚生労働省</v>
      </c>
      <c r="C53" s="38" t="str">
        <f>'法人一覧(26)'!C53</f>
        <v>国立精神・神経医療研究センター</v>
      </c>
      <c r="D53" s="60" t="s">
        <v>422</v>
      </c>
      <c r="E53" s="60" t="s">
        <v>427</v>
      </c>
      <c r="F53" s="60" t="s">
        <v>427</v>
      </c>
    </row>
    <row r="54" spans="1:6">
      <c r="A54" s="26">
        <f>'法人一覧(26)'!A54</f>
        <v>51</v>
      </c>
      <c r="B54" s="38" t="str">
        <f>'法人一覧(26)'!B54</f>
        <v>厚生労働省</v>
      </c>
      <c r="C54" s="38" t="str">
        <f>'法人一覧(26)'!C54</f>
        <v>国立国際医療研究センター</v>
      </c>
      <c r="D54" s="60" t="s">
        <v>422</v>
      </c>
      <c r="E54" s="60" t="s">
        <v>427</v>
      </c>
      <c r="F54" s="60" t="s">
        <v>427</v>
      </c>
    </row>
    <row r="55" spans="1:6">
      <c r="A55" s="26">
        <f>'法人一覧(26)'!A55</f>
        <v>52</v>
      </c>
      <c r="B55" s="38" t="str">
        <f>'法人一覧(26)'!B55</f>
        <v>厚生労働省</v>
      </c>
      <c r="C55" s="38" t="str">
        <f>'法人一覧(26)'!C55</f>
        <v>国立成育医療研究センター</v>
      </c>
      <c r="D55" s="60" t="s">
        <v>236</v>
      </c>
      <c r="E55" s="60" t="s">
        <v>427</v>
      </c>
      <c r="F55" s="60" t="s">
        <v>427</v>
      </c>
    </row>
    <row r="56" spans="1:6">
      <c r="A56" s="26">
        <f>'法人一覧(26)'!A56</f>
        <v>53</v>
      </c>
      <c r="B56" s="38" t="str">
        <f>'法人一覧(26)'!B56</f>
        <v>厚生労働省</v>
      </c>
      <c r="C56" s="38" t="str">
        <f>'法人一覧(26)'!C56</f>
        <v>国立長寿医療研究センター</v>
      </c>
      <c r="D56" s="60" t="s">
        <v>236</v>
      </c>
      <c r="E56" s="60" t="s">
        <v>427</v>
      </c>
      <c r="F56" s="60" t="s">
        <v>427</v>
      </c>
    </row>
    <row r="57" spans="1:6">
      <c r="A57" s="26">
        <f>'法人一覧(26)'!A57</f>
        <v>54</v>
      </c>
      <c r="B57" s="38" t="str">
        <f>'法人一覧(26)'!B57</f>
        <v>農林水産省</v>
      </c>
      <c r="C57" s="38" t="str">
        <f>'法人一覧(26)'!C57</f>
        <v>農林水産消費安全技術センター</v>
      </c>
      <c r="D57" s="103" t="s">
        <v>237</v>
      </c>
      <c r="E57" s="103" t="s">
        <v>237</v>
      </c>
      <c r="F57" s="103" t="s">
        <v>236</v>
      </c>
    </row>
    <row r="58" spans="1:6">
      <c r="A58" s="26">
        <f>'法人一覧(26)'!A58</f>
        <v>55</v>
      </c>
      <c r="B58" s="38" t="str">
        <f>'法人一覧(26)'!B58</f>
        <v>農林水産省</v>
      </c>
      <c r="C58" s="38" t="str">
        <f>'法人一覧(26)'!C58</f>
        <v>種苗管理センター</v>
      </c>
      <c r="D58" s="64" t="s">
        <v>237</v>
      </c>
      <c r="E58" s="64" t="s">
        <v>237</v>
      </c>
      <c r="F58" s="64" t="s">
        <v>236</v>
      </c>
    </row>
    <row r="59" spans="1:6">
      <c r="A59" s="26">
        <f>'法人一覧(26)'!A59</f>
        <v>56</v>
      </c>
      <c r="B59" s="38" t="str">
        <f>'法人一覧(26)'!B59</f>
        <v>農林水産省</v>
      </c>
      <c r="C59" s="38" t="str">
        <f>'法人一覧(26)'!C59</f>
        <v>家畜改良センター</v>
      </c>
      <c r="D59" s="48" t="s">
        <v>237</v>
      </c>
      <c r="E59" s="48" t="s">
        <v>237</v>
      </c>
      <c r="F59" s="48" t="s">
        <v>236</v>
      </c>
    </row>
    <row r="60" spans="1:6">
      <c r="A60" s="26">
        <f>'法人一覧(26)'!A60</f>
        <v>57</v>
      </c>
      <c r="B60" s="38" t="str">
        <f>'法人一覧(26)'!B60</f>
        <v>農林水産省</v>
      </c>
      <c r="C60" s="38" t="str">
        <f>'法人一覧(26)'!C60</f>
        <v>水産大学校</v>
      </c>
      <c r="D60" s="64" t="s">
        <v>237</v>
      </c>
      <c r="E60" s="64" t="s">
        <v>237</v>
      </c>
      <c r="F60" s="64" t="s">
        <v>236</v>
      </c>
    </row>
    <row r="61" spans="1:6">
      <c r="A61" s="26">
        <f>'法人一覧(26)'!A61</f>
        <v>58</v>
      </c>
      <c r="B61" s="38" t="str">
        <f>'法人一覧(26)'!B61</f>
        <v>農林水産省</v>
      </c>
      <c r="C61" s="38" t="str">
        <f>'法人一覧(26)'!C61</f>
        <v>農業・食品産業技術総合研究機構</v>
      </c>
      <c r="D61" s="64" t="s">
        <v>237</v>
      </c>
      <c r="E61" s="64" t="s">
        <v>237</v>
      </c>
      <c r="F61" s="64" t="s">
        <v>236</v>
      </c>
    </row>
    <row r="62" spans="1:6">
      <c r="A62" s="26">
        <f>'法人一覧(26)'!A62</f>
        <v>59</v>
      </c>
      <c r="B62" s="38" t="str">
        <f>'法人一覧(26)'!B62</f>
        <v>農林水産省</v>
      </c>
      <c r="C62" s="38" t="str">
        <f>'法人一覧(26)'!C62</f>
        <v>農業生物資源研究所</v>
      </c>
      <c r="D62" s="64" t="s">
        <v>237</v>
      </c>
      <c r="E62" s="64" t="s">
        <v>237</v>
      </c>
      <c r="F62" s="64" t="s">
        <v>236</v>
      </c>
    </row>
    <row r="63" spans="1:6">
      <c r="A63" s="26">
        <f>'法人一覧(26)'!A63</f>
        <v>60</v>
      </c>
      <c r="B63" s="38" t="str">
        <f>'法人一覧(26)'!B63</f>
        <v>農林水産省</v>
      </c>
      <c r="C63" s="38" t="str">
        <f>'法人一覧(26)'!C63</f>
        <v>農業環境技術研究所</v>
      </c>
      <c r="D63" s="64" t="s">
        <v>237</v>
      </c>
      <c r="E63" s="64" t="s">
        <v>237</v>
      </c>
      <c r="F63" s="64" t="s">
        <v>236</v>
      </c>
    </row>
    <row r="64" spans="1:6">
      <c r="A64" s="26">
        <f>'法人一覧(26)'!A64</f>
        <v>61</v>
      </c>
      <c r="B64" s="38" t="str">
        <f>'法人一覧(26)'!B64</f>
        <v>農林水産省</v>
      </c>
      <c r="C64" s="38" t="str">
        <f>'法人一覧(26)'!C64</f>
        <v>国際農林水産業研究センター</v>
      </c>
      <c r="D64" s="49" t="s">
        <v>237</v>
      </c>
      <c r="E64" s="49" t="s">
        <v>237</v>
      </c>
      <c r="F64" s="49" t="s">
        <v>236</v>
      </c>
    </row>
    <row r="65" spans="1:6">
      <c r="A65" s="26">
        <f>'法人一覧(26)'!A65</f>
        <v>62</v>
      </c>
      <c r="B65" s="38" t="str">
        <f>'法人一覧(26)'!B65</f>
        <v>農林水産省</v>
      </c>
      <c r="C65" s="38" t="str">
        <f>'法人一覧(26)'!C65</f>
        <v>森林総合研究所</v>
      </c>
      <c r="D65" s="55" t="s">
        <v>237</v>
      </c>
      <c r="E65" s="55" t="s">
        <v>237</v>
      </c>
      <c r="F65" s="55" t="s">
        <v>236</v>
      </c>
    </row>
    <row r="66" spans="1:6">
      <c r="A66" s="26">
        <f>'法人一覧(26)'!A66</f>
        <v>63</v>
      </c>
      <c r="B66" s="38" t="str">
        <f>'法人一覧(26)'!B66</f>
        <v>農林水産省</v>
      </c>
      <c r="C66" s="38" t="str">
        <f>'法人一覧(26)'!C66</f>
        <v>水産総合研究センター</v>
      </c>
      <c r="D66" s="64" t="s">
        <v>237</v>
      </c>
      <c r="E66" s="64" t="s">
        <v>237</v>
      </c>
      <c r="F66" s="64" t="s">
        <v>236</v>
      </c>
    </row>
    <row r="67" spans="1:6">
      <c r="A67" s="26">
        <f>'法人一覧(26)'!A67</f>
        <v>64</v>
      </c>
      <c r="B67" s="38" t="str">
        <f>'法人一覧(26)'!B67</f>
        <v>農林水産省</v>
      </c>
      <c r="C67" s="38" t="str">
        <f>'法人一覧(26)'!C67</f>
        <v>農畜産業振興機構</v>
      </c>
      <c r="D67" s="50" t="s">
        <v>237</v>
      </c>
      <c r="E67" s="50" t="s">
        <v>237</v>
      </c>
      <c r="F67" s="50" t="s">
        <v>236</v>
      </c>
    </row>
    <row r="68" spans="1:6">
      <c r="A68" s="26">
        <f>'法人一覧(26)'!A68</f>
        <v>65</v>
      </c>
      <c r="B68" s="38" t="str">
        <f>'法人一覧(26)'!B68</f>
        <v>農林水産省</v>
      </c>
      <c r="C68" s="38" t="str">
        <f>'法人一覧(26)'!C68</f>
        <v>農業者年金基金</v>
      </c>
      <c r="D68" s="50" t="s">
        <v>237</v>
      </c>
      <c r="E68" s="50" t="s">
        <v>237</v>
      </c>
      <c r="F68" s="50" t="s">
        <v>236</v>
      </c>
    </row>
    <row r="69" spans="1:6">
      <c r="A69" s="26">
        <f>'法人一覧(26)'!A69</f>
        <v>66</v>
      </c>
      <c r="B69" s="38" t="str">
        <f>'法人一覧(26)'!B69</f>
        <v>農林水産省</v>
      </c>
      <c r="C69" s="38" t="str">
        <f>'法人一覧(26)'!C69</f>
        <v>農林漁業信用基金</v>
      </c>
      <c r="D69" s="50" t="s">
        <v>237</v>
      </c>
      <c r="E69" s="50" t="s">
        <v>237</v>
      </c>
      <c r="F69" s="50" t="s">
        <v>237</v>
      </c>
    </row>
    <row r="70" spans="1:6" ht="36.6" customHeight="1">
      <c r="A70" s="26">
        <f>'法人一覧(26)'!A70</f>
        <v>67</v>
      </c>
      <c r="B70" s="38" t="str">
        <f>'法人一覧(26)'!B70</f>
        <v>経済産業省</v>
      </c>
      <c r="C70" s="38" t="str">
        <f>'法人一覧(26)'!C70</f>
        <v>経済産業研究所</v>
      </c>
      <c r="D70" s="51" t="s">
        <v>267</v>
      </c>
      <c r="E70" s="51" t="s">
        <v>268</v>
      </c>
      <c r="F70" s="50" t="s">
        <v>237</v>
      </c>
    </row>
    <row r="71" spans="1:6">
      <c r="A71" s="26">
        <f>'法人一覧(26)'!A71</f>
        <v>68</v>
      </c>
      <c r="B71" s="38" t="str">
        <f>'法人一覧(26)'!B71</f>
        <v>経済産業省</v>
      </c>
      <c r="C71" s="38" t="str">
        <f>'法人一覧(26)'!C71</f>
        <v>工業所有権情報・研修館</v>
      </c>
      <c r="D71" s="56" t="s">
        <v>288</v>
      </c>
      <c r="E71" s="56" t="s">
        <v>288</v>
      </c>
      <c r="F71" s="56" t="s">
        <v>289</v>
      </c>
    </row>
    <row r="72" spans="1:6">
      <c r="A72" s="26">
        <f>'法人一覧(26)'!A72</f>
        <v>69</v>
      </c>
      <c r="B72" s="38" t="str">
        <f>'法人一覧(26)'!B72</f>
        <v>経済産業省</v>
      </c>
      <c r="C72" s="38" t="str">
        <f>'法人一覧(26)'!C72</f>
        <v>日本貿易保険</v>
      </c>
      <c r="D72" s="53" t="s">
        <v>237</v>
      </c>
      <c r="E72" s="53" t="s">
        <v>237</v>
      </c>
      <c r="F72" s="53" t="s">
        <v>237</v>
      </c>
    </row>
    <row r="73" spans="1:6">
      <c r="A73" s="26">
        <f>'法人一覧(26)'!A73</f>
        <v>70</v>
      </c>
      <c r="B73" s="38" t="str">
        <f>'法人一覧(26)'!B73</f>
        <v>経済産業省</v>
      </c>
      <c r="C73" s="38" t="str">
        <f>'法人一覧(26)'!C73</f>
        <v>産業技術総合研究所</v>
      </c>
      <c r="D73" s="53" t="s">
        <v>237</v>
      </c>
      <c r="E73" s="53" t="s">
        <v>237</v>
      </c>
      <c r="F73" s="53" t="s">
        <v>271</v>
      </c>
    </row>
    <row r="74" spans="1:6">
      <c r="A74" s="26">
        <f>'法人一覧(26)'!A74</f>
        <v>71</v>
      </c>
      <c r="B74" s="38" t="str">
        <f>'法人一覧(26)'!B74</f>
        <v>経済産業省</v>
      </c>
      <c r="C74" s="38" t="str">
        <f>'法人一覧(26)'!C74</f>
        <v>製品評価技術基盤機構</v>
      </c>
      <c r="D74" s="53" t="s">
        <v>237</v>
      </c>
      <c r="E74" s="53" t="s">
        <v>237</v>
      </c>
      <c r="F74" s="53" t="s">
        <v>271</v>
      </c>
    </row>
    <row r="75" spans="1:6">
      <c r="A75" s="26">
        <f>'法人一覧(26)'!A75</f>
        <v>72</v>
      </c>
      <c r="B75" s="38" t="str">
        <f>'法人一覧(26)'!B75</f>
        <v>経済産業省</v>
      </c>
      <c r="C75" s="38" t="str">
        <f>'法人一覧(26)'!C75</f>
        <v>新エネルギー・産業技術総合開発機構</v>
      </c>
      <c r="D75" s="55" t="s">
        <v>237</v>
      </c>
      <c r="E75" s="55" t="s">
        <v>237</v>
      </c>
      <c r="F75" s="55" t="s">
        <v>236</v>
      </c>
    </row>
    <row r="76" spans="1:6">
      <c r="A76" s="26">
        <f>'法人一覧(26)'!A76</f>
        <v>73</v>
      </c>
      <c r="B76" s="38" t="str">
        <f>'法人一覧(26)'!B76</f>
        <v>経済産業省</v>
      </c>
      <c r="C76" s="38" t="str">
        <f>'法人一覧(26)'!C76</f>
        <v>日本貿易振興機構</v>
      </c>
      <c r="D76" s="55" t="s">
        <v>237</v>
      </c>
      <c r="E76" s="55" t="s">
        <v>237</v>
      </c>
      <c r="F76" s="55" t="s">
        <v>236</v>
      </c>
    </row>
    <row r="77" spans="1:6">
      <c r="A77" s="26">
        <f>'法人一覧(26)'!A77</f>
        <v>74</v>
      </c>
      <c r="B77" s="38" t="str">
        <f>'法人一覧(26)'!B77</f>
        <v>経済産業省</v>
      </c>
      <c r="C77" s="38" t="str">
        <f>'法人一覧(26)'!C77</f>
        <v>情報処理推進機構</v>
      </c>
      <c r="D77" s="55" t="s">
        <v>237</v>
      </c>
      <c r="E77" s="55" t="s">
        <v>237</v>
      </c>
      <c r="F77" s="55" t="s">
        <v>236</v>
      </c>
    </row>
    <row r="78" spans="1:6">
      <c r="A78" s="26">
        <f>'法人一覧(26)'!A78</f>
        <v>75</v>
      </c>
      <c r="B78" s="38" t="str">
        <f>'法人一覧(26)'!B78</f>
        <v>経済産業省</v>
      </c>
      <c r="C78" s="38" t="str">
        <f>'法人一覧(26)'!C78</f>
        <v>石油天然ガス・金属鉱物資源機構</v>
      </c>
      <c r="D78" s="64" t="s">
        <v>237</v>
      </c>
      <c r="E78" s="64" t="s">
        <v>237</v>
      </c>
      <c r="F78" s="64" t="s">
        <v>236</v>
      </c>
    </row>
    <row r="79" spans="1:6">
      <c r="A79" s="26">
        <f>'法人一覧(26)'!A79</f>
        <v>76</v>
      </c>
      <c r="B79" s="38" t="str">
        <f>'法人一覧(26)'!B79</f>
        <v>経済産業省</v>
      </c>
      <c r="C79" s="38" t="str">
        <f>'法人一覧(26)'!C79</f>
        <v>中小企業基盤整備機構</v>
      </c>
      <c r="D79" s="64" t="s">
        <v>237</v>
      </c>
      <c r="E79" s="64" t="s">
        <v>237</v>
      </c>
      <c r="F79" s="64" t="s">
        <v>236</v>
      </c>
    </row>
    <row r="80" spans="1:6">
      <c r="A80" s="26">
        <f>'法人一覧(26)'!A80</f>
        <v>77</v>
      </c>
      <c r="B80" s="38" t="str">
        <f>'法人一覧(26)'!B80</f>
        <v>国土交通省</v>
      </c>
      <c r="C80" s="38" t="str">
        <f>'法人一覧(26)'!C80</f>
        <v>土木研究所</v>
      </c>
      <c r="D80" s="80" t="s">
        <v>311</v>
      </c>
      <c r="E80" s="80" t="s">
        <v>311</v>
      </c>
      <c r="F80" s="80" t="s">
        <v>339</v>
      </c>
    </row>
    <row r="81" spans="1:6">
      <c r="A81" s="26">
        <f>'法人一覧(26)'!A81</f>
        <v>78</v>
      </c>
      <c r="B81" s="38" t="str">
        <f>'法人一覧(26)'!B81</f>
        <v>国土交通省</v>
      </c>
      <c r="C81" s="38" t="str">
        <f>'法人一覧(26)'!C81</f>
        <v>建築研究所</v>
      </c>
      <c r="D81" s="80" t="s">
        <v>311</v>
      </c>
      <c r="E81" s="80" t="s">
        <v>343</v>
      </c>
      <c r="F81" s="80" t="s">
        <v>344</v>
      </c>
    </row>
    <row r="82" spans="1:6">
      <c r="A82" s="26">
        <f>'法人一覧(26)'!A82</f>
        <v>79</v>
      </c>
      <c r="B82" s="38" t="str">
        <f>'法人一覧(26)'!B82</f>
        <v>国土交通省</v>
      </c>
      <c r="C82" s="38" t="str">
        <f>'法人一覧(26)'!C82</f>
        <v>交通安全環境研究所</v>
      </c>
      <c r="D82" s="80" t="s">
        <v>345</v>
      </c>
      <c r="E82" s="80" t="s">
        <v>345</v>
      </c>
      <c r="F82" s="80" t="s">
        <v>346</v>
      </c>
    </row>
    <row r="83" spans="1:6">
      <c r="A83" s="26">
        <f>'法人一覧(26)'!A83</f>
        <v>80</v>
      </c>
      <c r="B83" s="38" t="str">
        <f>'法人一覧(26)'!B83</f>
        <v>国土交通省</v>
      </c>
      <c r="C83" s="38" t="str">
        <f>'法人一覧(26)'!C83</f>
        <v>海上技術安全研究所</v>
      </c>
      <c r="D83" s="80" t="s">
        <v>345</v>
      </c>
      <c r="E83" s="80" t="s">
        <v>345</v>
      </c>
      <c r="F83" s="80" t="s">
        <v>346</v>
      </c>
    </row>
    <row r="84" spans="1:6">
      <c r="A84" s="26">
        <f>'法人一覧(26)'!A84</f>
        <v>81</v>
      </c>
      <c r="B84" s="38" t="str">
        <f>'法人一覧(26)'!B84</f>
        <v>国土交通省</v>
      </c>
      <c r="C84" s="38" t="str">
        <f>'法人一覧(26)'!C84</f>
        <v>港湾空港技術研究所</v>
      </c>
      <c r="D84" s="80" t="s">
        <v>345</v>
      </c>
      <c r="E84" s="80" t="s">
        <v>345</v>
      </c>
      <c r="F84" s="80" t="s">
        <v>236</v>
      </c>
    </row>
    <row r="85" spans="1:6">
      <c r="A85" s="26">
        <f>'法人一覧(26)'!A85</f>
        <v>82</v>
      </c>
      <c r="B85" s="38" t="str">
        <f>'法人一覧(26)'!B85</f>
        <v>国土交通省</v>
      </c>
      <c r="C85" s="38" t="str">
        <f>'法人一覧(26)'!C85</f>
        <v>電子航法研究所</v>
      </c>
      <c r="D85" s="80" t="s">
        <v>345</v>
      </c>
      <c r="E85" s="80" t="s">
        <v>233</v>
      </c>
      <c r="F85" s="80" t="s">
        <v>346</v>
      </c>
    </row>
    <row r="86" spans="1:6" ht="46.8" customHeight="1">
      <c r="A86" s="26">
        <f>'法人一覧(26)'!A86</f>
        <v>83</v>
      </c>
      <c r="B86" s="38" t="str">
        <f>'法人一覧(26)'!B86</f>
        <v>国土交通省</v>
      </c>
      <c r="C86" s="38" t="str">
        <f>'法人一覧(26)'!C86</f>
        <v>航海訓練所</v>
      </c>
      <c r="D86" s="81" t="s">
        <v>340</v>
      </c>
      <c r="E86" s="81" t="s">
        <v>341</v>
      </c>
      <c r="F86" s="81" t="s">
        <v>347</v>
      </c>
    </row>
    <row r="87" spans="1:6">
      <c r="A87" s="26">
        <f>'法人一覧(26)'!A87</f>
        <v>84</v>
      </c>
      <c r="B87" s="38" t="str">
        <f>'法人一覧(26)'!B87</f>
        <v>国土交通省</v>
      </c>
      <c r="C87" s="38" t="str">
        <f>'法人一覧(26)'!C87</f>
        <v>海技教育機構</v>
      </c>
      <c r="D87" s="80" t="s">
        <v>233</v>
      </c>
      <c r="E87" s="80" t="s">
        <v>345</v>
      </c>
      <c r="F87" s="80" t="s">
        <v>346</v>
      </c>
    </row>
    <row r="88" spans="1:6">
      <c r="A88" s="26">
        <f>'法人一覧(26)'!A88</f>
        <v>85</v>
      </c>
      <c r="B88" s="38" t="str">
        <f>'法人一覧(26)'!B88</f>
        <v>国土交通省</v>
      </c>
      <c r="C88" s="38" t="str">
        <f>'法人一覧(26)'!C88</f>
        <v>航空大学校</v>
      </c>
      <c r="D88" s="66" t="s">
        <v>343</v>
      </c>
      <c r="E88" s="66" t="s">
        <v>343</v>
      </c>
      <c r="F88" s="66" t="s">
        <v>346</v>
      </c>
    </row>
    <row r="89" spans="1:6">
      <c r="A89" s="26">
        <f>'法人一覧(26)'!A89</f>
        <v>86</v>
      </c>
      <c r="B89" s="38" t="str">
        <f>'法人一覧(26)'!B89</f>
        <v>国土交通省</v>
      </c>
      <c r="C89" s="38" t="str">
        <f>'法人一覧(26)'!C89</f>
        <v>自動車検査</v>
      </c>
      <c r="D89" s="80" t="s">
        <v>345</v>
      </c>
      <c r="E89" s="80" t="s">
        <v>233</v>
      </c>
      <c r="F89" s="80" t="s">
        <v>346</v>
      </c>
    </row>
    <row r="90" spans="1:6">
      <c r="A90" s="26">
        <f>'法人一覧(26)'!A90</f>
        <v>87</v>
      </c>
      <c r="B90" s="38" t="str">
        <f>'法人一覧(26)'!B90</f>
        <v>国土交通省</v>
      </c>
      <c r="C90" s="38" t="str">
        <f>'法人一覧(26)'!C90</f>
        <v>鉄道建設・運輸施設整備支援機構</v>
      </c>
      <c r="D90" s="80" t="s">
        <v>237</v>
      </c>
      <c r="E90" s="80" t="s">
        <v>343</v>
      </c>
      <c r="F90" s="80" t="s">
        <v>338</v>
      </c>
    </row>
    <row r="91" spans="1:6">
      <c r="A91" s="26">
        <f>'法人一覧(26)'!A91</f>
        <v>88</v>
      </c>
      <c r="B91" s="38" t="str">
        <f>'法人一覧(26)'!B91</f>
        <v>国土交通省</v>
      </c>
      <c r="C91" s="38" t="str">
        <f>'法人一覧(26)'!C91</f>
        <v>国際観光振興機構</v>
      </c>
      <c r="D91" s="80" t="s">
        <v>345</v>
      </c>
      <c r="E91" s="80" t="s">
        <v>345</v>
      </c>
      <c r="F91" s="80" t="s">
        <v>346</v>
      </c>
    </row>
    <row r="92" spans="1:6">
      <c r="A92" s="26">
        <f>'法人一覧(26)'!A92</f>
        <v>89</v>
      </c>
      <c r="B92" s="38" t="str">
        <f>'法人一覧(26)'!B92</f>
        <v>国土交通省</v>
      </c>
      <c r="C92" s="38" t="str">
        <f>'法人一覧(26)'!C92</f>
        <v>水資源機構</v>
      </c>
      <c r="D92" s="80" t="s">
        <v>343</v>
      </c>
      <c r="E92" s="80" t="s">
        <v>343</v>
      </c>
      <c r="F92" s="80" t="s">
        <v>343</v>
      </c>
    </row>
    <row r="93" spans="1:6">
      <c r="A93" s="26">
        <f>'法人一覧(26)'!A93</f>
        <v>90</v>
      </c>
      <c r="B93" s="38" t="str">
        <f>'法人一覧(26)'!B93</f>
        <v>国土交通省</v>
      </c>
      <c r="C93" s="38" t="str">
        <f>'法人一覧(26)'!C93</f>
        <v>自動車事故対策機構</v>
      </c>
      <c r="D93" s="80" t="s">
        <v>343</v>
      </c>
      <c r="E93" s="80" t="s">
        <v>343</v>
      </c>
      <c r="F93" s="80" t="s">
        <v>236</v>
      </c>
    </row>
    <row r="94" spans="1:6">
      <c r="A94" s="26">
        <f>'法人一覧(26)'!A94</f>
        <v>91</v>
      </c>
      <c r="B94" s="38" t="str">
        <f>'法人一覧(26)'!B94</f>
        <v>国土交通省</v>
      </c>
      <c r="C94" s="38" t="str">
        <f>'法人一覧(26)'!C94</f>
        <v>空港周辺整備機構</v>
      </c>
      <c r="D94" s="80" t="s">
        <v>343</v>
      </c>
      <c r="E94" s="80" t="s">
        <v>237</v>
      </c>
      <c r="F94" s="80" t="s">
        <v>311</v>
      </c>
    </row>
    <row r="95" spans="1:6">
      <c r="A95" s="26">
        <f>'法人一覧(26)'!A95</f>
        <v>92</v>
      </c>
      <c r="B95" s="38" t="str">
        <f>'法人一覧(26)'!B95</f>
        <v>国土交通省</v>
      </c>
      <c r="C95" s="38" t="str">
        <f>'法人一覧(26)'!C95</f>
        <v>都市再生機構</v>
      </c>
      <c r="D95" s="80" t="s">
        <v>311</v>
      </c>
      <c r="E95" s="80" t="s">
        <v>311</v>
      </c>
      <c r="F95" s="80" t="s">
        <v>311</v>
      </c>
    </row>
    <row r="96" spans="1:6">
      <c r="A96" s="26">
        <f>'法人一覧(26)'!A96</f>
        <v>93</v>
      </c>
      <c r="B96" s="38" t="str">
        <f>'法人一覧(26)'!B96</f>
        <v>国土交通省</v>
      </c>
      <c r="C96" s="38" t="str">
        <f>'法人一覧(26)'!C96</f>
        <v>奄美群島振興開発基金</v>
      </c>
      <c r="D96" s="66" t="s">
        <v>311</v>
      </c>
      <c r="E96" s="66" t="s">
        <v>311</v>
      </c>
      <c r="F96" s="66" t="s">
        <v>311</v>
      </c>
    </row>
    <row r="97" spans="1:6">
      <c r="A97" s="26">
        <f>'法人一覧(26)'!A97</f>
        <v>94</v>
      </c>
      <c r="B97" s="38" t="str">
        <f>'法人一覧(26)'!B97</f>
        <v>国土交通省</v>
      </c>
      <c r="C97" s="38" t="str">
        <f>'法人一覧(26)'!C97</f>
        <v>日本高速道路保有・債務返済機構</v>
      </c>
      <c r="D97" s="80" t="s">
        <v>311</v>
      </c>
      <c r="E97" s="80" t="s">
        <v>311</v>
      </c>
      <c r="F97" s="80" t="s">
        <v>311</v>
      </c>
    </row>
    <row r="98" spans="1:6">
      <c r="A98" s="26">
        <f>'法人一覧(26)'!A98</f>
        <v>95</v>
      </c>
      <c r="B98" s="38" t="str">
        <f>'法人一覧(26)'!B98</f>
        <v>国土交通省</v>
      </c>
      <c r="C98" s="38" t="str">
        <f>'法人一覧(26)'!C98</f>
        <v>住宅金融支援機構</v>
      </c>
      <c r="D98" s="66" t="s">
        <v>311</v>
      </c>
      <c r="E98" s="66" t="s">
        <v>311</v>
      </c>
      <c r="F98" s="66" t="s">
        <v>311</v>
      </c>
    </row>
    <row r="99" spans="1:6">
      <c r="A99" s="26">
        <f>'法人一覧(26)'!A99</f>
        <v>96</v>
      </c>
      <c r="B99" s="38" t="str">
        <f>'法人一覧(26)'!B99</f>
        <v>環境省</v>
      </c>
      <c r="C99" s="38" t="str">
        <f>'法人一覧(26)'!C99</f>
        <v>国立環境研究所</v>
      </c>
      <c r="D99" s="62" t="s">
        <v>296</v>
      </c>
      <c r="E99" s="62" t="s">
        <v>296</v>
      </c>
      <c r="F99" s="62" t="s">
        <v>297</v>
      </c>
    </row>
    <row r="100" spans="1:6">
      <c r="A100" s="26">
        <f>'法人一覧(26)'!A100</f>
        <v>97</v>
      </c>
      <c r="B100" s="38" t="str">
        <f>'法人一覧(26)'!B100</f>
        <v>環境省</v>
      </c>
      <c r="C100" s="38" t="str">
        <f>'法人一覧(26)'!C100</f>
        <v>環境再生保全機構</v>
      </c>
      <c r="D100" s="56" t="s">
        <v>288</v>
      </c>
      <c r="E100" s="56" t="s">
        <v>288</v>
      </c>
      <c r="F100" s="56" t="s">
        <v>289</v>
      </c>
    </row>
    <row r="101" spans="1:6" ht="61.2" customHeight="1">
      <c r="A101" s="26">
        <f>'法人一覧(26)'!A101</f>
        <v>98</v>
      </c>
      <c r="B101" s="38" t="str">
        <f>'法人一覧(26)'!B101</f>
        <v>防衛省</v>
      </c>
      <c r="C101" s="38" t="str">
        <f>'法人一覧(26)'!C101</f>
        <v>駐留軍等労働者労務管理機構</v>
      </c>
      <c r="D101" s="63" t="s">
        <v>301</v>
      </c>
      <c r="E101" s="63" t="s">
        <v>302</v>
      </c>
      <c r="F101" s="62" t="s">
        <v>296</v>
      </c>
    </row>
    <row r="102" spans="1:6" s="37" customFormat="1">
      <c r="A102" s="40"/>
      <c r="B102" s="42"/>
      <c r="C102" s="42"/>
      <c r="D102" s="40"/>
      <c r="E102" s="40"/>
      <c r="F102" s="40"/>
    </row>
    <row r="103" spans="1:6">
      <c r="B103" s="1" t="s">
        <v>597</v>
      </c>
    </row>
  </sheetData>
  <mergeCells count="4">
    <mergeCell ref="B2:B3"/>
    <mergeCell ref="C2:C3"/>
    <mergeCell ref="D2:F2"/>
    <mergeCell ref="A2:A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104"/>
  <sheetViews>
    <sheetView workbookViewId="0">
      <pane ySplit="3" topLeftCell="A57" activePane="bottomLeft" state="frozen"/>
      <selection pane="bottomLeft" activeCell="E73" sqref="E73"/>
    </sheetView>
  </sheetViews>
  <sheetFormatPr defaultRowHeight="13.2"/>
  <cols>
    <col min="1" max="1" width="4.44140625" customWidth="1"/>
    <col min="2" max="2" width="17.33203125" bestFit="1" customWidth="1"/>
    <col min="3" max="3" width="37.88671875" bestFit="1" customWidth="1"/>
    <col min="5" max="5" width="11.6640625" customWidth="1"/>
  </cols>
  <sheetData>
    <row r="1" spans="1:3">
      <c r="A1" s="144" t="s">
        <v>196</v>
      </c>
      <c r="C1" s="145" t="s">
        <v>198</v>
      </c>
    </row>
    <row r="2" spans="1:3">
      <c r="A2" s="161" t="s">
        <v>195</v>
      </c>
      <c r="B2" s="161" t="s">
        <v>0</v>
      </c>
      <c r="C2" s="161" t="s">
        <v>1</v>
      </c>
    </row>
    <row r="3" spans="1:3">
      <c r="A3" s="162"/>
      <c r="B3" s="162"/>
      <c r="C3" s="162"/>
    </row>
    <row r="4" spans="1:3">
      <c r="A4" s="21">
        <v>1</v>
      </c>
      <c r="B4" s="22" t="s">
        <v>85</v>
      </c>
      <c r="C4" s="15" t="s">
        <v>86</v>
      </c>
    </row>
    <row r="5" spans="1:3">
      <c r="A5" s="21">
        <v>2</v>
      </c>
      <c r="B5" s="22" t="s">
        <v>85</v>
      </c>
      <c r="C5" s="16" t="s">
        <v>87</v>
      </c>
    </row>
    <row r="6" spans="1:3">
      <c r="A6" s="21">
        <v>3</v>
      </c>
      <c r="B6" s="22" t="s">
        <v>88</v>
      </c>
      <c r="C6" s="16" t="s">
        <v>89</v>
      </c>
    </row>
    <row r="7" spans="1:3">
      <c r="A7" s="21">
        <v>4</v>
      </c>
      <c r="B7" s="22" t="s">
        <v>90</v>
      </c>
      <c r="C7" s="17" t="s">
        <v>91</v>
      </c>
    </row>
    <row r="8" spans="1:3">
      <c r="A8" s="21">
        <v>5</v>
      </c>
      <c r="B8" s="22" t="s">
        <v>90</v>
      </c>
      <c r="C8" s="16" t="s">
        <v>92</v>
      </c>
    </row>
    <row r="9" spans="1:3">
      <c r="A9" s="21">
        <v>6</v>
      </c>
      <c r="B9" s="22" t="s">
        <v>90</v>
      </c>
      <c r="C9" s="16" t="s">
        <v>93</v>
      </c>
    </row>
    <row r="10" spans="1:3">
      <c r="A10" s="21">
        <v>7</v>
      </c>
      <c r="B10" s="22" t="s">
        <v>94</v>
      </c>
      <c r="C10" s="16" t="s">
        <v>95</v>
      </c>
    </row>
    <row r="11" spans="1:3">
      <c r="A11" s="21">
        <v>8</v>
      </c>
      <c r="B11" s="22" t="s">
        <v>94</v>
      </c>
      <c r="C11" s="16" t="s">
        <v>96</v>
      </c>
    </row>
    <row r="12" spans="1:3">
      <c r="A12" s="21">
        <v>9</v>
      </c>
      <c r="B12" s="17" t="s">
        <v>97</v>
      </c>
      <c r="C12" s="17" t="s">
        <v>98</v>
      </c>
    </row>
    <row r="13" spans="1:3">
      <c r="A13" s="21">
        <v>10</v>
      </c>
      <c r="B13" s="17" t="s">
        <v>97</v>
      </c>
      <c r="C13" s="17" t="s">
        <v>99</v>
      </c>
    </row>
    <row r="14" spans="1:3">
      <c r="A14" s="21">
        <v>11</v>
      </c>
      <c r="B14" s="17" t="s">
        <v>97</v>
      </c>
      <c r="C14" s="16" t="s">
        <v>100</v>
      </c>
    </row>
    <row r="15" spans="1:3">
      <c r="A15" s="21">
        <v>12</v>
      </c>
      <c r="B15" s="17" t="s">
        <v>97</v>
      </c>
      <c r="C15" s="16" t="s">
        <v>199</v>
      </c>
    </row>
    <row r="16" spans="1:3">
      <c r="A16" s="21">
        <v>13</v>
      </c>
      <c r="B16" s="17" t="s">
        <v>101</v>
      </c>
      <c r="C16" s="16" t="s">
        <v>102</v>
      </c>
    </row>
    <row r="17" spans="1:3">
      <c r="A17" s="21">
        <v>14</v>
      </c>
      <c r="B17" s="17" t="s">
        <v>101</v>
      </c>
      <c r="C17" s="16" t="s">
        <v>103</v>
      </c>
    </row>
    <row r="18" spans="1:3">
      <c r="A18" s="21">
        <v>15</v>
      </c>
      <c r="B18" s="17" t="s">
        <v>101</v>
      </c>
      <c r="C18" s="16" t="s">
        <v>104</v>
      </c>
    </row>
    <row r="19" spans="1:3">
      <c r="A19" s="21">
        <v>16</v>
      </c>
      <c r="B19" s="17" t="s">
        <v>101</v>
      </c>
      <c r="C19" s="16" t="s">
        <v>105</v>
      </c>
    </row>
    <row r="20" spans="1:3">
      <c r="A20" s="21">
        <v>17</v>
      </c>
      <c r="B20" s="17" t="s">
        <v>101</v>
      </c>
      <c r="C20" s="17" t="s">
        <v>106</v>
      </c>
    </row>
    <row r="21" spans="1:3">
      <c r="A21" s="21">
        <v>18</v>
      </c>
      <c r="B21" s="17" t="s">
        <v>101</v>
      </c>
      <c r="C21" s="16" t="s">
        <v>107</v>
      </c>
    </row>
    <row r="22" spans="1:3">
      <c r="A22" s="21">
        <v>19</v>
      </c>
      <c r="B22" s="17" t="s">
        <v>101</v>
      </c>
      <c r="C22" s="16" t="s">
        <v>108</v>
      </c>
    </row>
    <row r="23" spans="1:3">
      <c r="A23" s="21">
        <v>20</v>
      </c>
      <c r="B23" s="17" t="s">
        <v>101</v>
      </c>
      <c r="C23" s="16" t="s">
        <v>109</v>
      </c>
    </row>
    <row r="24" spans="1:3">
      <c r="A24" s="21">
        <v>21</v>
      </c>
      <c r="B24" s="17" t="s">
        <v>101</v>
      </c>
      <c r="C24" s="16" t="s">
        <v>110</v>
      </c>
    </row>
    <row r="25" spans="1:3">
      <c r="A25" s="21">
        <v>22</v>
      </c>
      <c r="B25" s="17" t="s">
        <v>101</v>
      </c>
      <c r="C25" s="16" t="s">
        <v>111</v>
      </c>
    </row>
    <row r="26" spans="1:3">
      <c r="A26" s="21">
        <v>23</v>
      </c>
      <c r="B26" s="17" t="s">
        <v>101</v>
      </c>
      <c r="C26" s="16" t="s">
        <v>112</v>
      </c>
    </row>
    <row r="27" spans="1:3">
      <c r="A27" s="21">
        <v>24</v>
      </c>
      <c r="B27" s="17" t="s">
        <v>101</v>
      </c>
      <c r="C27" s="17" t="s">
        <v>113</v>
      </c>
    </row>
    <row r="28" spans="1:3">
      <c r="A28" s="21">
        <v>25</v>
      </c>
      <c r="B28" s="17" t="s">
        <v>101</v>
      </c>
      <c r="C28" s="16" t="s">
        <v>114</v>
      </c>
    </row>
    <row r="29" spans="1:3">
      <c r="A29" s="21">
        <v>26</v>
      </c>
      <c r="B29" s="17" t="s">
        <v>101</v>
      </c>
      <c r="C29" s="17" t="s">
        <v>115</v>
      </c>
    </row>
    <row r="30" spans="1:3">
      <c r="A30" s="21">
        <v>27</v>
      </c>
      <c r="B30" s="17" t="s">
        <v>101</v>
      </c>
      <c r="C30" s="16" t="s">
        <v>116</v>
      </c>
    </row>
    <row r="31" spans="1:3">
      <c r="A31" s="21">
        <v>28</v>
      </c>
      <c r="B31" s="17" t="s">
        <v>101</v>
      </c>
      <c r="C31" s="17" t="s">
        <v>117</v>
      </c>
    </row>
    <row r="32" spans="1:3">
      <c r="A32" s="21">
        <v>29</v>
      </c>
      <c r="B32" s="17" t="s">
        <v>101</v>
      </c>
      <c r="C32" s="17" t="s">
        <v>118</v>
      </c>
    </row>
    <row r="33" spans="1:3">
      <c r="A33" s="21">
        <v>30</v>
      </c>
      <c r="B33" s="17" t="s">
        <v>101</v>
      </c>
      <c r="C33" s="16" t="s">
        <v>119</v>
      </c>
    </row>
    <row r="34" spans="1:3">
      <c r="A34" s="21">
        <v>31</v>
      </c>
      <c r="B34" s="17" t="s">
        <v>101</v>
      </c>
      <c r="C34" s="16" t="s">
        <v>120</v>
      </c>
    </row>
    <row r="35" spans="1:3">
      <c r="A35" s="21">
        <v>32</v>
      </c>
      <c r="B35" s="17" t="s">
        <v>101</v>
      </c>
      <c r="C35" s="17" t="s">
        <v>121</v>
      </c>
    </row>
    <row r="36" spans="1:3">
      <c r="A36" s="21">
        <v>33</v>
      </c>
      <c r="B36" s="17" t="s">
        <v>101</v>
      </c>
      <c r="C36" s="16" t="s">
        <v>122</v>
      </c>
    </row>
    <row r="37" spans="1:3">
      <c r="A37" s="21">
        <v>34</v>
      </c>
      <c r="B37" s="17" t="s">
        <v>101</v>
      </c>
      <c r="C37" s="17" t="s">
        <v>123</v>
      </c>
    </row>
    <row r="38" spans="1:3">
      <c r="A38" s="21">
        <v>35</v>
      </c>
      <c r="B38" s="17" t="s">
        <v>101</v>
      </c>
      <c r="C38" s="16" t="s">
        <v>124</v>
      </c>
    </row>
    <row r="39" spans="1:3">
      <c r="A39" s="21">
        <v>36</v>
      </c>
      <c r="B39" s="17" t="s">
        <v>125</v>
      </c>
      <c r="C39" s="17" t="s">
        <v>126</v>
      </c>
    </row>
    <row r="40" spans="1:3">
      <c r="A40" s="21">
        <v>37</v>
      </c>
      <c r="B40" s="17" t="s">
        <v>125</v>
      </c>
      <c r="C40" s="18" t="s">
        <v>127</v>
      </c>
    </row>
    <row r="41" spans="1:3">
      <c r="A41" s="21">
        <v>38</v>
      </c>
      <c r="B41" s="17" t="s">
        <v>125</v>
      </c>
      <c r="C41" s="16" t="s">
        <v>128</v>
      </c>
    </row>
    <row r="42" spans="1:3">
      <c r="A42" s="21">
        <v>39</v>
      </c>
      <c r="B42" s="17" t="s">
        <v>125</v>
      </c>
      <c r="C42" s="16" t="s">
        <v>129</v>
      </c>
    </row>
    <row r="43" spans="1:3">
      <c r="A43" s="21">
        <v>40</v>
      </c>
      <c r="B43" s="17" t="s">
        <v>125</v>
      </c>
      <c r="C43" s="19" t="s">
        <v>130</v>
      </c>
    </row>
    <row r="44" spans="1:3">
      <c r="A44" s="21">
        <v>41</v>
      </c>
      <c r="B44" s="17" t="s">
        <v>125</v>
      </c>
      <c r="C44" s="19" t="s">
        <v>131</v>
      </c>
    </row>
    <row r="45" spans="1:3">
      <c r="A45" s="21">
        <v>42</v>
      </c>
      <c r="B45" s="17" t="s">
        <v>125</v>
      </c>
      <c r="C45" s="19" t="s">
        <v>132</v>
      </c>
    </row>
    <row r="46" spans="1:3">
      <c r="A46" s="21">
        <v>43</v>
      </c>
      <c r="B46" s="17" t="s">
        <v>125</v>
      </c>
      <c r="C46" s="19" t="s">
        <v>133</v>
      </c>
    </row>
    <row r="47" spans="1:3">
      <c r="A47" s="21">
        <v>44</v>
      </c>
      <c r="B47" s="17" t="s">
        <v>125</v>
      </c>
      <c r="C47" s="19" t="s">
        <v>134</v>
      </c>
    </row>
    <row r="48" spans="1:3">
      <c r="A48" s="21">
        <v>45</v>
      </c>
      <c r="B48" s="17" t="s">
        <v>125</v>
      </c>
      <c r="C48" s="19" t="s">
        <v>135</v>
      </c>
    </row>
    <row r="49" spans="1:3">
      <c r="A49" s="21">
        <v>46</v>
      </c>
      <c r="B49" s="17" t="s">
        <v>125</v>
      </c>
      <c r="C49" s="19" t="s">
        <v>136</v>
      </c>
    </row>
    <row r="50" spans="1:3">
      <c r="A50" s="21">
        <v>47</v>
      </c>
      <c r="B50" s="17" t="s">
        <v>125</v>
      </c>
      <c r="C50" s="19" t="s">
        <v>434</v>
      </c>
    </row>
    <row r="51" spans="1:3">
      <c r="A51" s="21">
        <v>48</v>
      </c>
      <c r="B51" s="17" t="s">
        <v>125</v>
      </c>
      <c r="C51" s="19" t="s">
        <v>138</v>
      </c>
    </row>
    <row r="52" spans="1:3">
      <c r="A52" s="21">
        <v>49</v>
      </c>
      <c r="B52" s="17" t="s">
        <v>125</v>
      </c>
      <c r="C52" s="19" t="s">
        <v>139</v>
      </c>
    </row>
    <row r="53" spans="1:3">
      <c r="A53" s="21">
        <v>50</v>
      </c>
      <c r="B53" s="17" t="s">
        <v>125</v>
      </c>
      <c r="C53" s="19" t="s">
        <v>140</v>
      </c>
    </row>
    <row r="54" spans="1:3">
      <c r="A54" s="21">
        <v>51</v>
      </c>
      <c r="B54" s="17" t="s">
        <v>125</v>
      </c>
      <c r="C54" s="19" t="s">
        <v>141</v>
      </c>
    </row>
    <row r="55" spans="1:3">
      <c r="A55" s="21">
        <v>52</v>
      </c>
      <c r="B55" s="17" t="s">
        <v>125</v>
      </c>
      <c r="C55" s="19" t="s">
        <v>142</v>
      </c>
    </row>
    <row r="56" spans="1:3">
      <c r="A56" s="21">
        <v>53</v>
      </c>
      <c r="B56" s="17" t="s">
        <v>125</v>
      </c>
      <c r="C56" s="19" t="s">
        <v>143</v>
      </c>
    </row>
    <row r="57" spans="1:3">
      <c r="A57" s="21">
        <v>54</v>
      </c>
      <c r="B57" s="17" t="s">
        <v>125</v>
      </c>
      <c r="C57" s="20" t="s">
        <v>144</v>
      </c>
    </row>
    <row r="58" spans="1:3">
      <c r="A58" s="21">
        <v>55</v>
      </c>
      <c r="B58" s="17" t="s">
        <v>145</v>
      </c>
      <c r="C58" s="19" t="s">
        <v>146</v>
      </c>
    </row>
    <row r="59" spans="1:3">
      <c r="A59" s="21">
        <v>56</v>
      </c>
      <c r="B59" s="17" t="s">
        <v>145</v>
      </c>
      <c r="C59" s="19" t="s">
        <v>147</v>
      </c>
    </row>
    <row r="60" spans="1:3">
      <c r="A60" s="21">
        <v>57</v>
      </c>
      <c r="B60" s="17" t="s">
        <v>145</v>
      </c>
      <c r="C60" s="19" t="s">
        <v>148</v>
      </c>
    </row>
    <row r="61" spans="1:3">
      <c r="A61" s="21">
        <v>58</v>
      </c>
      <c r="B61" s="17" t="s">
        <v>145</v>
      </c>
      <c r="C61" s="19" t="s">
        <v>149</v>
      </c>
    </row>
    <row r="62" spans="1:3">
      <c r="A62" s="21">
        <v>59</v>
      </c>
      <c r="B62" s="17" t="s">
        <v>145</v>
      </c>
      <c r="C62" s="19" t="s">
        <v>150</v>
      </c>
    </row>
    <row r="63" spans="1:3">
      <c r="A63" s="21">
        <v>60</v>
      </c>
      <c r="B63" s="17" t="s">
        <v>145</v>
      </c>
      <c r="C63" s="19" t="s">
        <v>151</v>
      </c>
    </row>
    <row r="64" spans="1:3">
      <c r="A64" s="21">
        <v>61</v>
      </c>
      <c r="B64" s="17" t="s">
        <v>145</v>
      </c>
      <c r="C64" s="19" t="s">
        <v>152</v>
      </c>
    </row>
    <row r="65" spans="1:3">
      <c r="A65" s="21">
        <v>62</v>
      </c>
      <c r="B65" s="17" t="s">
        <v>145</v>
      </c>
      <c r="C65" s="19" t="s">
        <v>153</v>
      </c>
    </row>
    <row r="66" spans="1:3">
      <c r="A66" s="21">
        <v>63</v>
      </c>
      <c r="B66" s="17" t="s">
        <v>145</v>
      </c>
      <c r="C66" s="19" t="s">
        <v>154</v>
      </c>
    </row>
    <row r="67" spans="1:3">
      <c r="A67" s="21">
        <v>64</v>
      </c>
      <c r="B67" s="17" t="s">
        <v>145</v>
      </c>
      <c r="C67" s="19" t="s">
        <v>155</v>
      </c>
    </row>
    <row r="68" spans="1:3">
      <c r="A68" s="21">
        <v>65</v>
      </c>
      <c r="B68" s="17" t="s">
        <v>145</v>
      </c>
      <c r="C68" s="19" t="s">
        <v>156</v>
      </c>
    </row>
    <row r="69" spans="1:3">
      <c r="A69" s="21">
        <v>66</v>
      </c>
      <c r="B69" s="17" t="s">
        <v>145</v>
      </c>
      <c r="C69" s="19" t="s">
        <v>157</v>
      </c>
    </row>
    <row r="70" spans="1:3">
      <c r="A70" s="21">
        <v>67</v>
      </c>
      <c r="B70" s="17" t="s">
        <v>145</v>
      </c>
      <c r="C70" s="19" t="s">
        <v>158</v>
      </c>
    </row>
    <row r="71" spans="1:3">
      <c r="A71" s="21">
        <v>68</v>
      </c>
      <c r="B71" s="17" t="s">
        <v>159</v>
      </c>
      <c r="C71" s="19" t="s">
        <v>160</v>
      </c>
    </row>
    <row r="72" spans="1:3">
      <c r="A72" s="21">
        <v>69</v>
      </c>
      <c r="B72" s="17" t="s">
        <v>159</v>
      </c>
      <c r="C72" s="19" t="s">
        <v>161</v>
      </c>
    </row>
    <row r="73" spans="1:3">
      <c r="A73" s="21">
        <v>70</v>
      </c>
      <c r="B73" s="17" t="s">
        <v>159</v>
      </c>
      <c r="C73" s="19" t="s">
        <v>162</v>
      </c>
    </row>
    <row r="74" spans="1:3">
      <c r="A74" s="21">
        <v>71</v>
      </c>
      <c r="B74" s="17" t="s">
        <v>159</v>
      </c>
      <c r="C74" s="19" t="s">
        <v>163</v>
      </c>
    </row>
    <row r="75" spans="1:3">
      <c r="A75" s="21">
        <v>72</v>
      </c>
      <c r="B75" s="17" t="s">
        <v>159</v>
      </c>
      <c r="C75" s="19" t="s">
        <v>164</v>
      </c>
    </row>
    <row r="76" spans="1:3">
      <c r="A76" s="21">
        <v>73</v>
      </c>
      <c r="B76" s="17" t="s">
        <v>159</v>
      </c>
      <c r="C76" s="19" t="s">
        <v>165</v>
      </c>
    </row>
    <row r="77" spans="1:3">
      <c r="A77" s="21">
        <v>74</v>
      </c>
      <c r="B77" s="17" t="s">
        <v>159</v>
      </c>
      <c r="C77" s="19" t="s">
        <v>166</v>
      </c>
    </row>
    <row r="78" spans="1:3">
      <c r="A78" s="21">
        <v>75</v>
      </c>
      <c r="B78" s="17" t="s">
        <v>159</v>
      </c>
      <c r="C78" s="19" t="s">
        <v>167</v>
      </c>
    </row>
    <row r="79" spans="1:3">
      <c r="A79" s="21">
        <v>76</v>
      </c>
      <c r="B79" s="17" t="s">
        <v>159</v>
      </c>
      <c r="C79" s="19" t="s">
        <v>168</v>
      </c>
    </row>
    <row r="80" spans="1:3">
      <c r="A80" s="21">
        <v>77</v>
      </c>
      <c r="B80" s="17" t="s">
        <v>159</v>
      </c>
      <c r="C80" s="19" t="s">
        <v>169</v>
      </c>
    </row>
    <row r="81" spans="1:3">
      <c r="A81" s="21">
        <v>78</v>
      </c>
      <c r="B81" s="17" t="s">
        <v>170</v>
      </c>
      <c r="C81" s="19" t="s">
        <v>171</v>
      </c>
    </row>
    <row r="82" spans="1:3">
      <c r="A82" s="21">
        <v>79</v>
      </c>
      <c r="B82" s="17" t="s">
        <v>170</v>
      </c>
      <c r="C82" s="19" t="s">
        <v>172</v>
      </c>
    </row>
    <row r="83" spans="1:3">
      <c r="A83" s="21">
        <v>80</v>
      </c>
      <c r="B83" s="17" t="s">
        <v>170</v>
      </c>
      <c r="C83" s="19" t="s">
        <v>173</v>
      </c>
    </row>
    <row r="84" spans="1:3">
      <c r="A84" s="21">
        <v>81</v>
      </c>
      <c r="B84" s="17" t="s">
        <v>170</v>
      </c>
      <c r="C84" s="19" t="s">
        <v>174</v>
      </c>
    </row>
    <row r="85" spans="1:3">
      <c r="A85" s="21">
        <v>82</v>
      </c>
      <c r="B85" s="17" t="s">
        <v>170</v>
      </c>
      <c r="C85" s="19" t="s">
        <v>175</v>
      </c>
    </row>
    <row r="86" spans="1:3">
      <c r="A86" s="21">
        <v>83</v>
      </c>
      <c r="B86" s="17" t="s">
        <v>170</v>
      </c>
      <c r="C86" s="19" t="s">
        <v>176</v>
      </c>
    </row>
    <row r="87" spans="1:3">
      <c r="A87" s="21">
        <v>84</v>
      </c>
      <c r="B87" s="17" t="s">
        <v>170</v>
      </c>
      <c r="C87" s="19" t="s">
        <v>177</v>
      </c>
    </row>
    <row r="88" spans="1:3">
      <c r="A88" s="21">
        <v>85</v>
      </c>
      <c r="B88" s="17" t="s">
        <v>170</v>
      </c>
      <c r="C88" s="19" t="s">
        <v>178</v>
      </c>
    </row>
    <row r="89" spans="1:3">
      <c r="A89" s="21">
        <v>86</v>
      </c>
      <c r="B89" s="17" t="s">
        <v>170</v>
      </c>
      <c r="C89" s="19" t="s">
        <v>179</v>
      </c>
    </row>
    <row r="90" spans="1:3">
      <c r="A90" s="21">
        <v>87</v>
      </c>
      <c r="B90" s="17" t="s">
        <v>170</v>
      </c>
      <c r="C90" s="19" t="s">
        <v>180</v>
      </c>
    </row>
    <row r="91" spans="1:3">
      <c r="A91" s="21">
        <v>88</v>
      </c>
      <c r="B91" s="17" t="s">
        <v>170</v>
      </c>
      <c r="C91" s="19" t="s">
        <v>181</v>
      </c>
    </row>
    <row r="92" spans="1:3">
      <c r="A92" s="21">
        <v>89</v>
      </c>
      <c r="B92" s="17" t="s">
        <v>170</v>
      </c>
      <c r="C92" s="19" t="s">
        <v>182</v>
      </c>
    </row>
    <row r="93" spans="1:3">
      <c r="A93" s="21">
        <v>90</v>
      </c>
      <c r="B93" s="17" t="s">
        <v>170</v>
      </c>
      <c r="C93" s="19" t="s">
        <v>183</v>
      </c>
    </row>
    <row r="94" spans="1:3">
      <c r="A94" s="21">
        <v>91</v>
      </c>
      <c r="B94" s="17" t="s">
        <v>170</v>
      </c>
      <c r="C94" s="19" t="s">
        <v>184</v>
      </c>
    </row>
    <row r="95" spans="1:3">
      <c r="A95" s="21">
        <v>92</v>
      </c>
      <c r="B95" s="17" t="s">
        <v>170</v>
      </c>
      <c r="C95" s="19" t="s">
        <v>185</v>
      </c>
    </row>
    <row r="96" spans="1:3">
      <c r="A96" s="21">
        <v>93</v>
      </c>
      <c r="B96" s="17" t="s">
        <v>170</v>
      </c>
      <c r="C96" s="19" t="s">
        <v>200</v>
      </c>
    </row>
    <row r="97" spans="1:3">
      <c r="A97" s="21">
        <v>94</v>
      </c>
      <c r="B97" s="17" t="s">
        <v>170</v>
      </c>
      <c r="C97" s="19" t="s">
        <v>186</v>
      </c>
    </row>
    <row r="98" spans="1:3">
      <c r="A98" s="21">
        <v>95</v>
      </c>
      <c r="B98" s="17" t="s">
        <v>170</v>
      </c>
      <c r="C98" s="19" t="s">
        <v>187</v>
      </c>
    </row>
    <row r="99" spans="1:3">
      <c r="A99" s="21">
        <v>96</v>
      </c>
      <c r="B99" s="17" t="s">
        <v>170</v>
      </c>
      <c r="C99" s="19" t="s">
        <v>188</v>
      </c>
    </row>
    <row r="100" spans="1:3">
      <c r="A100" s="21">
        <v>97</v>
      </c>
      <c r="B100" s="17" t="s">
        <v>170</v>
      </c>
      <c r="C100" s="19" t="s">
        <v>189</v>
      </c>
    </row>
    <row r="101" spans="1:3">
      <c r="A101" s="21">
        <v>98</v>
      </c>
      <c r="B101" s="17" t="s">
        <v>190</v>
      </c>
      <c r="C101" s="19" t="s">
        <v>191</v>
      </c>
    </row>
    <row r="102" spans="1:3" ht="14.4" customHeight="1">
      <c r="A102" s="21">
        <v>99</v>
      </c>
      <c r="B102" s="17" t="s">
        <v>190</v>
      </c>
      <c r="C102" s="19" t="s">
        <v>192</v>
      </c>
    </row>
    <row r="103" spans="1:3" ht="14.4" customHeight="1">
      <c r="A103" s="21">
        <v>100</v>
      </c>
      <c r="B103" s="17" t="s">
        <v>202</v>
      </c>
      <c r="C103" s="19" t="s">
        <v>201</v>
      </c>
    </row>
    <row r="104" spans="1:3">
      <c r="A104" s="21">
        <v>101</v>
      </c>
      <c r="B104" s="17" t="s">
        <v>193</v>
      </c>
      <c r="C104" s="19" t="s">
        <v>194</v>
      </c>
    </row>
  </sheetData>
  <mergeCells count="3">
    <mergeCell ref="A2:A3"/>
    <mergeCell ref="B2:B3"/>
    <mergeCell ref="C2:C3"/>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abSelected="1" zoomScale="90" zoomScaleNormal="90" workbookViewId="0">
      <pane xSplit="3" ySplit="3" topLeftCell="D82" activePane="bottomRight" state="frozen"/>
      <selection activeCell="B2" sqref="B2:B3"/>
      <selection pane="topRight" activeCell="B2" sqref="B2:B3"/>
      <selection pane="bottomLeft" activeCell="B2" sqref="B2:B3"/>
      <selection pane="bottomRight" activeCell="B110" sqref="B110"/>
    </sheetView>
  </sheetViews>
  <sheetFormatPr defaultColWidth="8.88671875" defaultRowHeight="13.2"/>
  <cols>
    <col min="1" max="1" width="5" style="37" bestFit="1" customWidth="1"/>
    <col min="2" max="2" width="23.6640625" style="1" customWidth="1"/>
    <col min="3" max="3" width="49.88671875" style="1" customWidth="1"/>
    <col min="4" max="6" width="10.88671875" style="1" customWidth="1"/>
    <col min="7" max="16384" width="8.88671875" style="1"/>
  </cols>
  <sheetData>
    <row r="1" spans="1:6" ht="19.95" customHeight="1">
      <c r="B1" s="144" t="s">
        <v>632</v>
      </c>
    </row>
    <row r="2" spans="1:6">
      <c r="A2" s="161" t="s">
        <v>195</v>
      </c>
      <c r="B2" s="161" t="s">
        <v>0</v>
      </c>
      <c r="C2" s="161" t="s">
        <v>1</v>
      </c>
      <c r="D2" s="164" t="s">
        <v>257</v>
      </c>
      <c r="E2" s="165"/>
      <c r="F2" s="166"/>
    </row>
    <row r="3" spans="1:6" ht="30.6" customHeight="1">
      <c r="A3" s="162"/>
      <c r="B3" s="162"/>
      <c r="C3" s="162"/>
      <c r="D3" s="46" t="s">
        <v>239</v>
      </c>
      <c r="E3" s="46" t="s">
        <v>240</v>
      </c>
      <c r="F3" s="47" t="s">
        <v>83</v>
      </c>
    </row>
    <row r="4" spans="1:6" s="37" customFormat="1" ht="13.2" customHeight="1">
      <c r="A4" s="26">
        <f>'法人一覧(25)'!A4</f>
        <v>1</v>
      </c>
      <c r="B4" s="38" t="str">
        <f>'法人一覧(25)'!B4</f>
        <v>内閣府</v>
      </c>
      <c r="C4" s="38" t="str">
        <f>'法人一覧(25)'!C4</f>
        <v>国立公文書館</v>
      </c>
      <c r="D4" s="157" t="s">
        <v>669</v>
      </c>
      <c r="E4" s="157" t="s">
        <v>669</v>
      </c>
      <c r="F4" s="157" t="s">
        <v>669</v>
      </c>
    </row>
    <row r="5" spans="1:6" s="37" customFormat="1" ht="13.2" customHeight="1">
      <c r="A5" s="26">
        <f>'法人一覧(25)'!A5</f>
        <v>2</v>
      </c>
      <c r="B5" s="38" t="str">
        <f>'法人一覧(25)'!B5</f>
        <v>内閣府</v>
      </c>
      <c r="C5" s="38" t="str">
        <f>'法人一覧(25)'!C5</f>
        <v>北方領土問題対策協会</v>
      </c>
      <c r="D5" s="157" t="s">
        <v>669</v>
      </c>
      <c r="E5" s="157" t="s">
        <v>669</v>
      </c>
      <c r="F5" s="157">
        <v>1</v>
      </c>
    </row>
    <row r="6" spans="1:6" s="37" customFormat="1" ht="13.2" customHeight="1">
      <c r="A6" s="26">
        <f>'法人一覧(25)'!A6</f>
        <v>3</v>
      </c>
      <c r="B6" s="38" t="str">
        <f>'法人一覧(25)'!B6</f>
        <v>消費者庁</v>
      </c>
      <c r="C6" s="38" t="str">
        <f>'法人一覧(25)'!C6</f>
        <v>国民生活センター</v>
      </c>
      <c r="D6" s="157" t="s">
        <v>669</v>
      </c>
      <c r="E6" s="157" t="s">
        <v>669</v>
      </c>
      <c r="F6" s="157" t="s">
        <v>669</v>
      </c>
    </row>
    <row r="7" spans="1:6" s="37" customFormat="1" ht="13.2" customHeight="1">
      <c r="A7" s="26">
        <f>'法人一覧(25)'!A7</f>
        <v>4</v>
      </c>
      <c r="B7" s="38" t="str">
        <f>'法人一覧(25)'!B7</f>
        <v>総務省</v>
      </c>
      <c r="C7" s="38" t="str">
        <f>'法人一覧(25)'!C7</f>
        <v>情報通信研究機構</v>
      </c>
      <c r="D7" s="157" t="s">
        <v>669</v>
      </c>
      <c r="E7" s="157" t="s">
        <v>669</v>
      </c>
      <c r="F7" s="157" t="s">
        <v>669</v>
      </c>
    </row>
    <row r="8" spans="1:6" s="37" customFormat="1" ht="13.2" customHeight="1">
      <c r="A8" s="26">
        <f>'法人一覧(25)'!A8</f>
        <v>5</v>
      </c>
      <c r="B8" s="38" t="str">
        <f>'法人一覧(25)'!B8</f>
        <v>総務省</v>
      </c>
      <c r="C8" s="38" t="str">
        <f>'法人一覧(25)'!C8</f>
        <v>統計センター</v>
      </c>
      <c r="D8" s="157" t="s">
        <v>669</v>
      </c>
      <c r="E8" s="157" t="s">
        <v>669</v>
      </c>
      <c r="F8" s="157" t="s">
        <v>669</v>
      </c>
    </row>
    <row r="9" spans="1:6" s="37" customFormat="1" ht="13.2" customHeight="1">
      <c r="A9" s="26">
        <f>'法人一覧(25)'!A9</f>
        <v>6</v>
      </c>
      <c r="B9" s="38" t="str">
        <f>'法人一覧(25)'!B9</f>
        <v>総務省</v>
      </c>
      <c r="C9" s="38" t="str">
        <f>'法人一覧(25)'!C9</f>
        <v>郵便貯金・簡易生命保険管理機構</v>
      </c>
      <c r="D9" s="157" t="s">
        <v>669</v>
      </c>
      <c r="E9" s="157" t="s">
        <v>669</v>
      </c>
      <c r="F9" s="157" t="s">
        <v>669</v>
      </c>
    </row>
    <row r="10" spans="1:6" s="37" customFormat="1" ht="13.2" customHeight="1">
      <c r="A10" s="26">
        <f>'法人一覧(25)'!A10</f>
        <v>7</v>
      </c>
      <c r="B10" s="38" t="str">
        <f>'法人一覧(25)'!B10</f>
        <v>外務省</v>
      </c>
      <c r="C10" s="38" t="str">
        <f>'法人一覧(25)'!C10</f>
        <v>国際協力機構</v>
      </c>
      <c r="D10" s="157" t="s">
        <v>669</v>
      </c>
      <c r="E10" s="157">
        <v>10</v>
      </c>
      <c r="F10" s="157">
        <v>4</v>
      </c>
    </row>
    <row r="11" spans="1:6" s="37" customFormat="1" ht="13.2" customHeight="1">
      <c r="A11" s="26">
        <f>'法人一覧(25)'!A11</f>
        <v>8</v>
      </c>
      <c r="B11" s="38" t="str">
        <f>'法人一覧(25)'!B11</f>
        <v>外務省</v>
      </c>
      <c r="C11" s="38" t="str">
        <f>'法人一覧(25)'!C11</f>
        <v>国際交流基金</v>
      </c>
      <c r="D11" s="157" t="s">
        <v>669</v>
      </c>
      <c r="E11" s="157" t="s">
        <v>669</v>
      </c>
      <c r="F11" s="157" t="s">
        <v>669</v>
      </c>
    </row>
    <row r="12" spans="1:6" s="37" customFormat="1" ht="13.2" customHeight="1">
      <c r="A12" s="26">
        <f>'法人一覧(25)'!A12</f>
        <v>9</v>
      </c>
      <c r="B12" s="38" t="str">
        <f>'法人一覧(25)'!B12</f>
        <v>財務省</v>
      </c>
      <c r="C12" s="38" t="str">
        <f>'法人一覧(25)'!C12</f>
        <v>酒類総合研究所</v>
      </c>
      <c r="D12" s="157" t="s">
        <v>669</v>
      </c>
      <c r="E12" s="157" t="s">
        <v>669</v>
      </c>
      <c r="F12" s="157" t="s">
        <v>669</v>
      </c>
    </row>
    <row r="13" spans="1:6" s="37" customFormat="1" ht="13.2" customHeight="1">
      <c r="A13" s="26">
        <f>'法人一覧(25)'!A13</f>
        <v>10</v>
      </c>
      <c r="B13" s="38" t="str">
        <f>'法人一覧(25)'!B13</f>
        <v>財務省</v>
      </c>
      <c r="C13" s="38" t="str">
        <f>'法人一覧(25)'!C13</f>
        <v>造幣局</v>
      </c>
      <c r="D13" s="157" t="s">
        <v>669</v>
      </c>
      <c r="E13" s="157" t="s">
        <v>669</v>
      </c>
      <c r="F13" s="157" t="s">
        <v>669</v>
      </c>
    </row>
    <row r="14" spans="1:6" s="37" customFormat="1" ht="13.2" customHeight="1">
      <c r="A14" s="26">
        <f>'法人一覧(25)'!A14</f>
        <v>11</v>
      </c>
      <c r="B14" s="38" t="str">
        <f>'法人一覧(25)'!B14</f>
        <v>財務省</v>
      </c>
      <c r="C14" s="38" t="str">
        <f>'法人一覧(25)'!C14</f>
        <v>国立印刷局</v>
      </c>
      <c r="D14" s="157" t="s">
        <v>669</v>
      </c>
      <c r="E14" s="157" t="s">
        <v>669</v>
      </c>
      <c r="F14" s="157" t="s">
        <v>669</v>
      </c>
    </row>
    <row r="15" spans="1:6" s="37" customFormat="1" ht="13.2" customHeight="1">
      <c r="A15" s="26">
        <f>'法人一覧(25)'!A15</f>
        <v>12</v>
      </c>
      <c r="B15" s="38" t="str">
        <f>'法人一覧(25)'!B15</f>
        <v>財務省</v>
      </c>
      <c r="C15" s="38" t="str">
        <f>'法人一覧(25)'!C15</f>
        <v>日本万国博覧会記念機構</v>
      </c>
      <c r="D15" s="157" t="s">
        <v>669</v>
      </c>
      <c r="E15" s="157" t="s">
        <v>669</v>
      </c>
      <c r="F15" s="157" t="s">
        <v>669</v>
      </c>
    </row>
    <row r="16" spans="1:6" s="37" customFormat="1" ht="13.2" customHeight="1">
      <c r="A16" s="26">
        <f>'法人一覧(25)'!A16</f>
        <v>13</v>
      </c>
      <c r="B16" s="38" t="str">
        <f>'法人一覧(25)'!B16</f>
        <v>文部科学省</v>
      </c>
      <c r="C16" s="38" t="str">
        <f>'法人一覧(25)'!C16</f>
        <v>国立特別支援教育総合研究所</v>
      </c>
      <c r="D16" s="157" t="s">
        <v>669</v>
      </c>
      <c r="E16" s="157" t="s">
        <v>669</v>
      </c>
      <c r="F16" s="157" t="s">
        <v>669</v>
      </c>
    </row>
    <row r="17" spans="1:6" s="37" customFormat="1" ht="13.2" customHeight="1">
      <c r="A17" s="26">
        <f>'法人一覧(25)'!A17</f>
        <v>14</v>
      </c>
      <c r="B17" s="38" t="str">
        <f>'法人一覧(25)'!B17</f>
        <v>文部科学省</v>
      </c>
      <c r="C17" s="38" t="str">
        <f>'法人一覧(25)'!C17</f>
        <v>大学入試センター</v>
      </c>
      <c r="D17" s="157" t="s">
        <v>669</v>
      </c>
      <c r="E17" s="157" t="s">
        <v>669</v>
      </c>
      <c r="F17" s="157" t="s">
        <v>669</v>
      </c>
    </row>
    <row r="18" spans="1:6" s="37" customFormat="1" ht="13.2" customHeight="1">
      <c r="A18" s="26">
        <f>'法人一覧(25)'!A18</f>
        <v>15</v>
      </c>
      <c r="B18" s="38" t="str">
        <f>'法人一覧(25)'!B18</f>
        <v>文部科学省</v>
      </c>
      <c r="C18" s="38" t="str">
        <f>'法人一覧(25)'!C18</f>
        <v>国立青少年教育振興機構</v>
      </c>
      <c r="D18" s="157" t="s">
        <v>669</v>
      </c>
      <c r="E18" s="157" t="s">
        <v>669</v>
      </c>
      <c r="F18" s="60">
        <v>1</v>
      </c>
    </row>
    <row r="19" spans="1:6" s="37" customFormat="1" ht="13.2" customHeight="1">
      <c r="A19" s="26">
        <f>'法人一覧(25)'!A19</f>
        <v>16</v>
      </c>
      <c r="B19" s="38" t="str">
        <f>'法人一覧(25)'!B19</f>
        <v>文部科学省</v>
      </c>
      <c r="C19" s="38" t="str">
        <f>'法人一覧(25)'!C19</f>
        <v>国立女性教育会館</v>
      </c>
      <c r="D19" s="157" t="s">
        <v>669</v>
      </c>
      <c r="E19" s="157" t="s">
        <v>669</v>
      </c>
      <c r="F19" s="157" t="s">
        <v>669</v>
      </c>
    </row>
    <row r="20" spans="1:6" s="37" customFormat="1" ht="13.2" customHeight="1">
      <c r="A20" s="26">
        <f>'法人一覧(25)'!A20</f>
        <v>17</v>
      </c>
      <c r="B20" s="38" t="str">
        <f>'法人一覧(25)'!B20</f>
        <v>文部科学省</v>
      </c>
      <c r="C20" s="38" t="str">
        <f>'法人一覧(25)'!C20</f>
        <v>国立科学博物館</v>
      </c>
      <c r="D20" s="157" t="s">
        <v>669</v>
      </c>
      <c r="E20" s="157" t="s">
        <v>669</v>
      </c>
      <c r="F20" s="157" t="s">
        <v>669</v>
      </c>
    </row>
    <row r="21" spans="1:6" s="37" customFormat="1" ht="13.2" customHeight="1">
      <c r="A21" s="26">
        <f>'法人一覧(25)'!A21</f>
        <v>18</v>
      </c>
      <c r="B21" s="38" t="str">
        <f>'法人一覧(25)'!B21</f>
        <v>文部科学省</v>
      </c>
      <c r="C21" s="38" t="str">
        <f>'法人一覧(25)'!C21</f>
        <v>物質・材料研究機構</v>
      </c>
      <c r="D21" s="157" t="s">
        <v>669</v>
      </c>
      <c r="E21" s="157" t="s">
        <v>669</v>
      </c>
      <c r="F21" s="157" t="s">
        <v>669</v>
      </c>
    </row>
    <row r="22" spans="1:6" s="37" customFormat="1" ht="13.2" customHeight="1">
      <c r="A22" s="26">
        <f>'法人一覧(25)'!A22</f>
        <v>19</v>
      </c>
      <c r="B22" s="38" t="str">
        <f>'法人一覧(25)'!B22</f>
        <v>文部科学省</v>
      </c>
      <c r="C22" s="38" t="str">
        <f>'法人一覧(25)'!C22</f>
        <v>防災科学技術研究所</v>
      </c>
      <c r="D22" s="157" t="s">
        <v>669</v>
      </c>
      <c r="E22" s="157" t="s">
        <v>669</v>
      </c>
      <c r="F22" s="60">
        <v>1</v>
      </c>
    </row>
    <row r="23" spans="1:6" s="37" customFormat="1" ht="13.2" customHeight="1">
      <c r="A23" s="26">
        <f>'法人一覧(25)'!A23</f>
        <v>20</v>
      </c>
      <c r="B23" s="38" t="str">
        <f>'法人一覧(25)'!B23</f>
        <v>文部科学省</v>
      </c>
      <c r="C23" s="38" t="str">
        <f>'法人一覧(25)'!C23</f>
        <v>放射線医学総合研究所</v>
      </c>
      <c r="D23" s="157" t="s">
        <v>669</v>
      </c>
      <c r="E23" s="157" t="s">
        <v>669</v>
      </c>
      <c r="F23" s="157" t="s">
        <v>669</v>
      </c>
    </row>
    <row r="24" spans="1:6" s="37" customFormat="1" ht="13.2" customHeight="1">
      <c r="A24" s="26">
        <f>'法人一覧(25)'!A24</f>
        <v>21</v>
      </c>
      <c r="B24" s="38" t="str">
        <f>'法人一覧(25)'!B24</f>
        <v>文部科学省</v>
      </c>
      <c r="C24" s="38" t="str">
        <f>'法人一覧(25)'!C24</f>
        <v>国立美術館</v>
      </c>
      <c r="D24" s="157" t="s">
        <v>669</v>
      </c>
      <c r="E24" s="157" t="s">
        <v>669</v>
      </c>
      <c r="F24" s="157" t="s">
        <v>669</v>
      </c>
    </row>
    <row r="25" spans="1:6" s="37" customFormat="1" ht="13.2" customHeight="1">
      <c r="A25" s="26">
        <f>'法人一覧(25)'!A25</f>
        <v>22</v>
      </c>
      <c r="B25" s="38" t="str">
        <f>'法人一覧(25)'!B25</f>
        <v>文部科学省</v>
      </c>
      <c r="C25" s="38" t="str">
        <f>'法人一覧(25)'!C25</f>
        <v>国立文化財機構</v>
      </c>
      <c r="D25" s="157" t="s">
        <v>669</v>
      </c>
      <c r="E25" s="157" t="s">
        <v>669</v>
      </c>
      <c r="F25" s="157" t="s">
        <v>669</v>
      </c>
    </row>
    <row r="26" spans="1:6" s="37" customFormat="1" ht="13.2" customHeight="1">
      <c r="A26" s="26">
        <f>'法人一覧(25)'!A26</f>
        <v>23</v>
      </c>
      <c r="B26" s="38" t="str">
        <f>'法人一覧(25)'!B26</f>
        <v>文部科学省</v>
      </c>
      <c r="C26" s="38" t="str">
        <f>'法人一覧(25)'!C26</f>
        <v>教員研修センター</v>
      </c>
      <c r="D26" s="157" t="s">
        <v>669</v>
      </c>
      <c r="E26" s="157" t="s">
        <v>669</v>
      </c>
      <c r="F26" s="157" t="s">
        <v>669</v>
      </c>
    </row>
    <row r="27" spans="1:6" s="37" customFormat="1" ht="13.2" customHeight="1">
      <c r="A27" s="26">
        <f>'法人一覧(25)'!A27</f>
        <v>24</v>
      </c>
      <c r="B27" s="38" t="str">
        <f>'法人一覧(25)'!B27</f>
        <v>文部科学省</v>
      </c>
      <c r="C27" s="38" t="str">
        <f>'法人一覧(25)'!C27</f>
        <v>科学技術振興機構</v>
      </c>
      <c r="D27" s="157" t="s">
        <v>669</v>
      </c>
      <c r="E27" s="157" t="s">
        <v>669</v>
      </c>
      <c r="F27" s="60">
        <v>3</v>
      </c>
    </row>
    <row r="28" spans="1:6" s="37" customFormat="1" ht="13.2" customHeight="1">
      <c r="A28" s="26">
        <f>'法人一覧(25)'!A28</f>
        <v>25</v>
      </c>
      <c r="B28" s="38" t="str">
        <f>'法人一覧(25)'!B28</f>
        <v>文部科学省</v>
      </c>
      <c r="C28" s="38" t="str">
        <f>'法人一覧(25)'!C28</f>
        <v>日本学術振興会</v>
      </c>
      <c r="D28" s="157" t="s">
        <v>669</v>
      </c>
      <c r="E28" s="157" t="s">
        <v>669</v>
      </c>
      <c r="F28" s="157" t="s">
        <v>669</v>
      </c>
    </row>
    <row r="29" spans="1:6" s="37" customFormat="1" ht="13.2" customHeight="1">
      <c r="A29" s="26">
        <f>'法人一覧(25)'!A29</f>
        <v>26</v>
      </c>
      <c r="B29" s="38" t="str">
        <f>'法人一覧(25)'!B29</f>
        <v>文部科学省</v>
      </c>
      <c r="C29" s="38" t="str">
        <f>'法人一覧(25)'!C29</f>
        <v>理化学研究所</v>
      </c>
      <c r="D29" s="157" t="s">
        <v>669</v>
      </c>
      <c r="E29" s="157" t="s">
        <v>669</v>
      </c>
      <c r="F29" s="60">
        <v>1</v>
      </c>
    </row>
    <row r="30" spans="1:6" s="37" customFormat="1" ht="13.2" customHeight="1">
      <c r="A30" s="26">
        <f>'法人一覧(25)'!A30</f>
        <v>27</v>
      </c>
      <c r="B30" s="38" t="str">
        <f>'法人一覧(25)'!B30</f>
        <v>文部科学省</v>
      </c>
      <c r="C30" s="38" t="str">
        <f>'法人一覧(25)'!C30</f>
        <v>宇宙航空研究開発機構</v>
      </c>
      <c r="D30" s="157" t="s">
        <v>669</v>
      </c>
      <c r="E30" s="157" t="s">
        <v>669</v>
      </c>
      <c r="F30" s="60">
        <v>5</v>
      </c>
    </row>
    <row r="31" spans="1:6" s="37" customFormat="1" ht="13.2" customHeight="1">
      <c r="A31" s="26">
        <f>'法人一覧(25)'!A31</f>
        <v>28</v>
      </c>
      <c r="B31" s="38" t="str">
        <f>'法人一覧(25)'!B31</f>
        <v>文部科学省</v>
      </c>
      <c r="C31" s="38" t="str">
        <f>'法人一覧(25)'!C31</f>
        <v>日本スポーツ振興センター</v>
      </c>
      <c r="D31" s="157" t="s">
        <v>669</v>
      </c>
      <c r="E31" s="157" t="s">
        <v>669</v>
      </c>
      <c r="F31" s="157" t="s">
        <v>669</v>
      </c>
    </row>
    <row r="32" spans="1:6" s="37" customFormat="1" ht="13.2" customHeight="1">
      <c r="A32" s="26">
        <f>'法人一覧(25)'!A32</f>
        <v>29</v>
      </c>
      <c r="B32" s="38" t="str">
        <f>'法人一覧(25)'!B32</f>
        <v>文部科学省</v>
      </c>
      <c r="C32" s="38" t="str">
        <f>'法人一覧(25)'!C32</f>
        <v>日本芸術文化振興会</v>
      </c>
      <c r="D32" s="157" t="s">
        <v>669</v>
      </c>
      <c r="E32" s="157" t="s">
        <v>669</v>
      </c>
      <c r="F32" s="60">
        <v>3</v>
      </c>
    </row>
    <row r="33" spans="1:6" s="37" customFormat="1" ht="13.2" customHeight="1">
      <c r="A33" s="26">
        <f>'法人一覧(25)'!A33</f>
        <v>30</v>
      </c>
      <c r="B33" s="38" t="str">
        <f>'法人一覧(25)'!B33</f>
        <v>文部科学省</v>
      </c>
      <c r="C33" s="38" t="str">
        <f>'法人一覧(25)'!C33</f>
        <v>日本学生支援機構</v>
      </c>
      <c r="D33" s="157" t="s">
        <v>669</v>
      </c>
      <c r="E33" s="157" t="s">
        <v>669</v>
      </c>
      <c r="F33" s="157" t="s">
        <v>669</v>
      </c>
    </row>
    <row r="34" spans="1:6" s="37" customFormat="1" ht="13.2" customHeight="1">
      <c r="A34" s="26">
        <f>'法人一覧(25)'!A34</f>
        <v>31</v>
      </c>
      <c r="B34" s="38" t="str">
        <f>'法人一覧(25)'!B34</f>
        <v>文部科学省</v>
      </c>
      <c r="C34" s="38" t="str">
        <f>'法人一覧(25)'!C34</f>
        <v>海洋研究開発機構</v>
      </c>
      <c r="D34" s="157" t="s">
        <v>669</v>
      </c>
      <c r="E34" s="157" t="s">
        <v>669</v>
      </c>
      <c r="F34" s="60">
        <v>1</v>
      </c>
    </row>
    <row r="35" spans="1:6" s="37" customFormat="1" ht="13.2" customHeight="1">
      <c r="A35" s="26">
        <f>'法人一覧(25)'!A35</f>
        <v>32</v>
      </c>
      <c r="B35" s="38" t="str">
        <f>'法人一覧(25)'!B35</f>
        <v>文部科学省</v>
      </c>
      <c r="C35" s="38" t="str">
        <f>'法人一覧(25)'!C35</f>
        <v>国立高等専門学校機構</v>
      </c>
      <c r="D35" s="157" t="s">
        <v>669</v>
      </c>
      <c r="E35" s="157" t="s">
        <v>669</v>
      </c>
      <c r="F35" s="60">
        <v>1</v>
      </c>
    </row>
    <row r="36" spans="1:6" s="37" customFormat="1" ht="13.2" customHeight="1">
      <c r="A36" s="26">
        <f>'法人一覧(25)'!A36</f>
        <v>33</v>
      </c>
      <c r="B36" s="38" t="str">
        <f>'法人一覧(25)'!B36</f>
        <v>文部科学省</v>
      </c>
      <c r="C36" s="38" t="str">
        <f>'法人一覧(25)'!C36</f>
        <v>大学評価・学位授与機構</v>
      </c>
      <c r="D36" s="157" t="s">
        <v>669</v>
      </c>
      <c r="E36" s="157" t="s">
        <v>669</v>
      </c>
      <c r="F36" s="157" t="s">
        <v>669</v>
      </c>
    </row>
    <row r="37" spans="1:6" s="37" customFormat="1" ht="13.2" customHeight="1">
      <c r="A37" s="26">
        <f>'法人一覧(25)'!A37</f>
        <v>34</v>
      </c>
      <c r="B37" s="38" t="str">
        <f>'法人一覧(25)'!B37</f>
        <v>文部科学省</v>
      </c>
      <c r="C37" s="38" t="str">
        <f>'法人一覧(25)'!C37</f>
        <v>国立大学財務・経営センター</v>
      </c>
      <c r="D37" s="157" t="s">
        <v>669</v>
      </c>
      <c r="E37" s="157" t="s">
        <v>669</v>
      </c>
      <c r="F37" s="157" t="s">
        <v>669</v>
      </c>
    </row>
    <row r="38" spans="1:6" s="37" customFormat="1" ht="13.2" customHeight="1">
      <c r="A38" s="26">
        <f>'法人一覧(25)'!A38</f>
        <v>35</v>
      </c>
      <c r="B38" s="38" t="str">
        <f>'法人一覧(25)'!B38</f>
        <v>文部科学省</v>
      </c>
      <c r="C38" s="38" t="str">
        <f>'法人一覧(25)'!C38</f>
        <v>日本原子力研究開発機構</v>
      </c>
      <c r="D38" s="157" t="s">
        <v>669</v>
      </c>
      <c r="E38" s="157" t="s">
        <v>669</v>
      </c>
      <c r="F38" s="60">
        <v>6</v>
      </c>
    </row>
    <row r="39" spans="1:6" s="37" customFormat="1" ht="13.2" customHeight="1">
      <c r="A39" s="26">
        <f>'法人一覧(25)'!A39</f>
        <v>36</v>
      </c>
      <c r="B39" s="38" t="str">
        <f>'法人一覧(25)'!B39</f>
        <v>厚生労働省</v>
      </c>
      <c r="C39" s="38" t="str">
        <f>'法人一覧(25)'!C39</f>
        <v>国立健康・栄養研究所</v>
      </c>
      <c r="D39" s="157" t="s">
        <v>669</v>
      </c>
      <c r="E39" s="157" t="s">
        <v>669</v>
      </c>
      <c r="F39" s="157" t="s">
        <v>669</v>
      </c>
    </row>
    <row r="40" spans="1:6" s="37" customFormat="1" ht="13.2" customHeight="1">
      <c r="A40" s="26">
        <f>'法人一覧(25)'!A40</f>
        <v>37</v>
      </c>
      <c r="B40" s="38" t="str">
        <f>'法人一覧(25)'!B40</f>
        <v>厚生労働省</v>
      </c>
      <c r="C40" s="38" t="str">
        <f>'法人一覧(25)'!C40</f>
        <v>労働安全衛生総合研究所</v>
      </c>
      <c r="D40" s="157" t="s">
        <v>669</v>
      </c>
      <c r="E40" s="157" t="s">
        <v>669</v>
      </c>
      <c r="F40" s="157" t="s">
        <v>669</v>
      </c>
    </row>
    <row r="41" spans="1:6" s="37" customFormat="1" ht="13.2" customHeight="1">
      <c r="A41" s="26">
        <f>'法人一覧(25)'!A41</f>
        <v>38</v>
      </c>
      <c r="B41" s="38" t="str">
        <f>'法人一覧(25)'!B41</f>
        <v>厚生労働省</v>
      </c>
      <c r="C41" s="38" t="str">
        <f>'法人一覧(25)'!C41</f>
        <v>勤労者退職金共済機構</v>
      </c>
      <c r="D41" s="157" t="s">
        <v>669</v>
      </c>
      <c r="E41" s="157" t="s">
        <v>669</v>
      </c>
      <c r="F41" s="157" t="s">
        <v>669</v>
      </c>
    </row>
    <row r="42" spans="1:6" s="37" customFormat="1" ht="13.2" customHeight="1">
      <c r="A42" s="26">
        <f>'法人一覧(25)'!A42</f>
        <v>39</v>
      </c>
      <c r="B42" s="38" t="str">
        <f>'法人一覧(25)'!B42</f>
        <v>厚生労働省</v>
      </c>
      <c r="C42" s="38" t="str">
        <f>'法人一覧(25)'!C42</f>
        <v>高齢・障害・求職者雇用支援機構</v>
      </c>
      <c r="D42" s="157" t="s">
        <v>669</v>
      </c>
      <c r="E42" s="157" t="s">
        <v>669</v>
      </c>
      <c r="F42" s="60">
        <v>3</v>
      </c>
    </row>
    <row r="43" spans="1:6" s="37" customFormat="1" ht="13.2" customHeight="1">
      <c r="A43" s="26">
        <f>'法人一覧(25)'!A43</f>
        <v>40</v>
      </c>
      <c r="B43" s="38" t="str">
        <f>'法人一覧(25)'!B43</f>
        <v>厚生労働省</v>
      </c>
      <c r="C43" s="38" t="str">
        <f>'法人一覧(25)'!C43</f>
        <v>福祉医療機構</v>
      </c>
      <c r="D43" s="157" t="s">
        <v>669</v>
      </c>
      <c r="E43" s="157" t="s">
        <v>669</v>
      </c>
      <c r="F43" s="157" t="s">
        <v>669</v>
      </c>
    </row>
    <row r="44" spans="1:6" s="37" customFormat="1" ht="13.2" customHeight="1">
      <c r="A44" s="26">
        <f>'法人一覧(25)'!A44</f>
        <v>41</v>
      </c>
      <c r="B44" s="38" t="str">
        <f>'法人一覧(25)'!B44</f>
        <v>厚生労働省</v>
      </c>
      <c r="C44" s="38" t="str">
        <f>'法人一覧(25)'!C44</f>
        <v>国立重度知的障害者総合施設のぞみの園</v>
      </c>
      <c r="D44" s="157" t="s">
        <v>669</v>
      </c>
      <c r="E44" s="157" t="s">
        <v>669</v>
      </c>
      <c r="F44" s="157" t="s">
        <v>669</v>
      </c>
    </row>
    <row r="45" spans="1:6" s="37" customFormat="1" ht="13.2" customHeight="1">
      <c r="A45" s="26">
        <f>'法人一覧(25)'!A45</f>
        <v>42</v>
      </c>
      <c r="B45" s="38" t="str">
        <f>'法人一覧(25)'!B45</f>
        <v>厚生労働省</v>
      </c>
      <c r="C45" s="38" t="str">
        <f>'法人一覧(25)'!C45</f>
        <v>労働政策研究・研修機構</v>
      </c>
      <c r="D45" s="157" t="s">
        <v>669</v>
      </c>
      <c r="E45" s="157" t="s">
        <v>669</v>
      </c>
      <c r="F45" s="157" t="s">
        <v>669</v>
      </c>
    </row>
    <row r="46" spans="1:6" s="37" customFormat="1" ht="13.2" customHeight="1">
      <c r="A46" s="26">
        <f>'法人一覧(25)'!A46</f>
        <v>43</v>
      </c>
      <c r="B46" s="38" t="str">
        <f>'法人一覧(25)'!B46</f>
        <v>厚生労働省</v>
      </c>
      <c r="C46" s="38" t="str">
        <f>'法人一覧(25)'!C46</f>
        <v>労働者健康福祉機構</v>
      </c>
      <c r="D46" s="157" t="s">
        <v>669</v>
      </c>
      <c r="E46" s="157" t="s">
        <v>669</v>
      </c>
      <c r="F46" s="60">
        <v>1</v>
      </c>
    </row>
    <row r="47" spans="1:6" s="37" customFormat="1" ht="13.2" customHeight="1">
      <c r="A47" s="26">
        <f>'法人一覧(25)'!A47</f>
        <v>44</v>
      </c>
      <c r="B47" s="38" t="str">
        <f>'法人一覧(25)'!B47</f>
        <v>厚生労働省</v>
      </c>
      <c r="C47" s="38" t="str">
        <f>'法人一覧(25)'!C47</f>
        <v>国立病院機構</v>
      </c>
      <c r="D47" s="157" t="s">
        <v>669</v>
      </c>
      <c r="E47" s="157" t="s">
        <v>669</v>
      </c>
      <c r="F47" s="157" t="s">
        <v>669</v>
      </c>
    </row>
    <row r="48" spans="1:6" s="37" customFormat="1" ht="13.2" customHeight="1">
      <c r="A48" s="26">
        <f>'法人一覧(25)'!A48</f>
        <v>45</v>
      </c>
      <c r="B48" s="38" t="str">
        <f>'法人一覧(25)'!B48</f>
        <v>厚生労働省</v>
      </c>
      <c r="C48" s="38" t="str">
        <f>'法人一覧(25)'!C48</f>
        <v>医薬品医療機器総合機構</v>
      </c>
      <c r="D48" s="157" t="s">
        <v>669</v>
      </c>
      <c r="E48" s="157" t="s">
        <v>669</v>
      </c>
      <c r="F48" s="157" t="s">
        <v>669</v>
      </c>
    </row>
    <row r="49" spans="1:6" s="37" customFormat="1" ht="13.2" customHeight="1">
      <c r="A49" s="26">
        <f>'法人一覧(25)'!A49</f>
        <v>46</v>
      </c>
      <c r="B49" s="38" t="str">
        <f>'法人一覧(25)'!B49</f>
        <v>厚生労働省</v>
      </c>
      <c r="C49" s="38" t="str">
        <f>'法人一覧(25)'!C49</f>
        <v>医薬基盤研究所</v>
      </c>
      <c r="D49" s="157" t="s">
        <v>669</v>
      </c>
      <c r="E49" s="157" t="s">
        <v>669</v>
      </c>
      <c r="F49" s="60">
        <v>1</v>
      </c>
    </row>
    <row r="50" spans="1:6" s="37" customFormat="1" ht="13.2" customHeight="1">
      <c r="A50" s="26">
        <f>'法人一覧(25)'!A50</f>
        <v>47</v>
      </c>
      <c r="B50" s="38" t="str">
        <f>'法人一覧(25)'!B50</f>
        <v>厚生労働省</v>
      </c>
      <c r="C50" s="38" t="str">
        <f>'法人一覧(25)'!C50</f>
        <v>年金・健康保険福祉施設整理機構</v>
      </c>
      <c r="D50" s="157" t="s">
        <v>669</v>
      </c>
      <c r="E50" s="157" t="s">
        <v>669</v>
      </c>
      <c r="F50" s="157" t="s">
        <v>669</v>
      </c>
    </row>
    <row r="51" spans="1:6" s="37" customFormat="1" ht="13.2" customHeight="1">
      <c r="A51" s="26">
        <f>'法人一覧(25)'!A51</f>
        <v>48</v>
      </c>
      <c r="B51" s="38" t="str">
        <f>'法人一覧(25)'!B51</f>
        <v>厚生労働省</v>
      </c>
      <c r="C51" s="38" t="str">
        <f>'法人一覧(25)'!C51</f>
        <v>年金積立金管理運用</v>
      </c>
      <c r="D51" s="157" t="s">
        <v>669</v>
      </c>
      <c r="E51" s="157" t="s">
        <v>669</v>
      </c>
      <c r="F51" s="157" t="s">
        <v>669</v>
      </c>
    </row>
    <row r="52" spans="1:6" s="37" customFormat="1" ht="13.2" customHeight="1">
      <c r="A52" s="26">
        <f>'法人一覧(25)'!A52</f>
        <v>49</v>
      </c>
      <c r="B52" s="38" t="str">
        <f>'法人一覧(25)'!B52</f>
        <v>厚生労働省</v>
      </c>
      <c r="C52" s="38" t="str">
        <f>'法人一覧(25)'!C52</f>
        <v>国立がん研究センター</v>
      </c>
      <c r="D52" s="157" t="s">
        <v>669</v>
      </c>
      <c r="E52" s="157" t="s">
        <v>669</v>
      </c>
      <c r="F52" s="60">
        <v>2</v>
      </c>
    </row>
    <row r="53" spans="1:6" s="37" customFormat="1" ht="13.2" customHeight="1">
      <c r="A53" s="26">
        <f>'法人一覧(25)'!A53</f>
        <v>50</v>
      </c>
      <c r="B53" s="38" t="str">
        <f>'法人一覧(25)'!B53</f>
        <v>厚生労働省</v>
      </c>
      <c r="C53" s="38" t="str">
        <f>'法人一覧(25)'!C53</f>
        <v>国立循環器病研究センター</v>
      </c>
      <c r="D53" s="157" t="s">
        <v>669</v>
      </c>
      <c r="E53" s="157" t="s">
        <v>669</v>
      </c>
      <c r="F53" s="157" t="s">
        <v>669</v>
      </c>
    </row>
    <row r="54" spans="1:6" s="37" customFormat="1" ht="13.2" customHeight="1">
      <c r="A54" s="26">
        <f>'法人一覧(25)'!A54</f>
        <v>51</v>
      </c>
      <c r="B54" s="38" t="str">
        <f>'法人一覧(25)'!B54</f>
        <v>厚生労働省</v>
      </c>
      <c r="C54" s="38" t="str">
        <f>'法人一覧(25)'!C54</f>
        <v>国立精神・神経医療研究センター</v>
      </c>
      <c r="D54" s="157" t="s">
        <v>669</v>
      </c>
      <c r="E54" s="157" t="s">
        <v>669</v>
      </c>
      <c r="F54" s="157" t="s">
        <v>669</v>
      </c>
    </row>
    <row r="55" spans="1:6" s="37" customFormat="1" ht="13.2" customHeight="1">
      <c r="A55" s="26">
        <f>'法人一覧(25)'!A55</f>
        <v>52</v>
      </c>
      <c r="B55" s="38" t="str">
        <f>'法人一覧(25)'!B55</f>
        <v>厚生労働省</v>
      </c>
      <c r="C55" s="38" t="str">
        <f>'法人一覧(25)'!C55</f>
        <v>国立国際医療研究センター</v>
      </c>
      <c r="D55" s="157" t="s">
        <v>669</v>
      </c>
      <c r="E55" s="157" t="s">
        <v>669</v>
      </c>
      <c r="F55" s="157" t="s">
        <v>669</v>
      </c>
    </row>
    <row r="56" spans="1:6" s="37" customFormat="1" ht="13.2" customHeight="1">
      <c r="A56" s="26">
        <f>'法人一覧(25)'!A56</f>
        <v>53</v>
      </c>
      <c r="B56" s="38" t="str">
        <f>'法人一覧(25)'!B56</f>
        <v>厚生労働省</v>
      </c>
      <c r="C56" s="38" t="str">
        <f>'法人一覧(25)'!C56</f>
        <v>国立成育医療研究センター</v>
      </c>
      <c r="D56" s="157" t="s">
        <v>669</v>
      </c>
      <c r="E56" s="157" t="s">
        <v>669</v>
      </c>
      <c r="F56" s="157" t="s">
        <v>669</v>
      </c>
    </row>
    <row r="57" spans="1:6" s="37" customFormat="1" ht="13.2" customHeight="1">
      <c r="A57" s="26">
        <f>'法人一覧(25)'!A57</f>
        <v>54</v>
      </c>
      <c r="B57" s="38" t="str">
        <f>'法人一覧(25)'!B57</f>
        <v>厚生労働省</v>
      </c>
      <c r="C57" s="38" t="str">
        <f>'法人一覧(25)'!C57</f>
        <v>国立長寿医療研究センター</v>
      </c>
      <c r="D57" s="157" t="s">
        <v>669</v>
      </c>
      <c r="E57" s="157" t="s">
        <v>669</v>
      </c>
      <c r="F57" s="157" t="s">
        <v>669</v>
      </c>
    </row>
    <row r="58" spans="1:6" s="37" customFormat="1" ht="13.2" customHeight="1">
      <c r="A58" s="26">
        <f>'法人一覧(25)'!A58</f>
        <v>55</v>
      </c>
      <c r="B58" s="38" t="str">
        <f>'法人一覧(25)'!B58</f>
        <v>農林水産省</v>
      </c>
      <c r="C58" s="38" t="str">
        <f>'法人一覧(25)'!C58</f>
        <v>農林水産消費安全技術センター</v>
      </c>
      <c r="D58" s="157" t="s">
        <v>669</v>
      </c>
      <c r="E58" s="157" t="s">
        <v>669</v>
      </c>
      <c r="F58" s="157" t="s">
        <v>669</v>
      </c>
    </row>
    <row r="59" spans="1:6" s="37" customFormat="1" ht="13.2" customHeight="1">
      <c r="A59" s="26">
        <f>'法人一覧(25)'!A59</f>
        <v>56</v>
      </c>
      <c r="B59" s="38" t="str">
        <f>'法人一覧(25)'!B59</f>
        <v>農林水産省</v>
      </c>
      <c r="C59" s="38" t="str">
        <f>'法人一覧(25)'!C59</f>
        <v>種苗管理センター</v>
      </c>
      <c r="D59" s="157" t="s">
        <v>669</v>
      </c>
      <c r="E59" s="157" t="s">
        <v>669</v>
      </c>
      <c r="F59" s="157" t="s">
        <v>669</v>
      </c>
    </row>
    <row r="60" spans="1:6" s="37" customFormat="1" ht="13.2" customHeight="1">
      <c r="A60" s="26">
        <f>'法人一覧(25)'!A60</f>
        <v>57</v>
      </c>
      <c r="B60" s="38" t="str">
        <f>'法人一覧(25)'!B60</f>
        <v>農林水産省</v>
      </c>
      <c r="C60" s="38" t="str">
        <f>'法人一覧(25)'!C60</f>
        <v>家畜改良センター</v>
      </c>
      <c r="D60" s="157" t="s">
        <v>669</v>
      </c>
      <c r="E60" s="157" t="s">
        <v>669</v>
      </c>
      <c r="F60" s="157" t="s">
        <v>669</v>
      </c>
    </row>
    <row r="61" spans="1:6" s="37" customFormat="1" ht="13.2" customHeight="1">
      <c r="A61" s="26">
        <f>'法人一覧(25)'!A61</f>
        <v>58</v>
      </c>
      <c r="B61" s="38" t="str">
        <f>'法人一覧(25)'!B61</f>
        <v>農林水産省</v>
      </c>
      <c r="C61" s="38" t="str">
        <f>'法人一覧(25)'!C61</f>
        <v>水産大学校</v>
      </c>
      <c r="D61" s="157" t="s">
        <v>669</v>
      </c>
      <c r="E61" s="157" t="s">
        <v>669</v>
      </c>
      <c r="F61" s="157" t="s">
        <v>669</v>
      </c>
    </row>
    <row r="62" spans="1:6" s="37" customFormat="1" ht="13.2" customHeight="1">
      <c r="A62" s="26">
        <f>'法人一覧(25)'!A62</f>
        <v>59</v>
      </c>
      <c r="B62" s="38" t="str">
        <f>'法人一覧(25)'!B62</f>
        <v>農林水産省</v>
      </c>
      <c r="C62" s="38" t="str">
        <f>'法人一覧(25)'!C62</f>
        <v>農業・食品産業技術総合研究機構</v>
      </c>
      <c r="D62" s="157">
        <v>5</v>
      </c>
      <c r="E62" s="157" t="s">
        <v>669</v>
      </c>
      <c r="F62" s="157" t="s">
        <v>669</v>
      </c>
    </row>
    <row r="63" spans="1:6" s="37" customFormat="1" ht="13.2" customHeight="1">
      <c r="A63" s="26">
        <f>'法人一覧(25)'!A63</f>
        <v>60</v>
      </c>
      <c r="B63" s="38" t="str">
        <f>'法人一覧(25)'!B63</f>
        <v>農林水産省</v>
      </c>
      <c r="C63" s="38" t="str">
        <f>'法人一覧(25)'!C63</f>
        <v>農業生物資源研究所</v>
      </c>
      <c r="D63" s="157" t="s">
        <v>669</v>
      </c>
      <c r="E63" s="157" t="s">
        <v>669</v>
      </c>
      <c r="F63" s="157" t="s">
        <v>669</v>
      </c>
    </row>
    <row r="64" spans="1:6" s="37" customFormat="1" ht="13.2" customHeight="1">
      <c r="A64" s="26">
        <f>'法人一覧(25)'!A64</f>
        <v>61</v>
      </c>
      <c r="B64" s="38" t="str">
        <f>'法人一覧(25)'!B64</f>
        <v>農林水産省</v>
      </c>
      <c r="C64" s="38" t="str">
        <f>'法人一覧(25)'!C64</f>
        <v>農業環境技術研究所</v>
      </c>
      <c r="D64" s="157" t="s">
        <v>669</v>
      </c>
      <c r="E64" s="157" t="s">
        <v>669</v>
      </c>
      <c r="F64" s="157" t="s">
        <v>669</v>
      </c>
    </row>
    <row r="65" spans="1:6" s="37" customFormat="1" ht="13.2" customHeight="1">
      <c r="A65" s="26">
        <f>'法人一覧(25)'!A65</f>
        <v>62</v>
      </c>
      <c r="B65" s="38" t="str">
        <f>'法人一覧(25)'!B65</f>
        <v>農林水産省</v>
      </c>
      <c r="C65" s="38" t="str">
        <f>'法人一覧(25)'!C65</f>
        <v>国際農林水産業研究センター</v>
      </c>
      <c r="D65" s="157" t="s">
        <v>669</v>
      </c>
      <c r="E65" s="157" t="s">
        <v>669</v>
      </c>
      <c r="F65" s="157" t="s">
        <v>669</v>
      </c>
    </row>
    <row r="66" spans="1:6" s="37" customFormat="1" ht="13.2" customHeight="1">
      <c r="A66" s="26">
        <f>'法人一覧(25)'!A66</f>
        <v>63</v>
      </c>
      <c r="B66" s="38" t="str">
        <f>'法人一覧(25)'!B66</f>
        <v>農林水産省</v>
      </c>
      <c r="C66" s="38" t="str">
        <f>'法人一覧(25)'!C66</f>
        <v>森林総合研究所</v>
      </c>
      <c r="D66" s="157" t="s">
        <v>669</v>
      </c>
      <c r="E66" s="157" t="s">
        <v>669</v>
      </c>
      <c r="F66" s="157" t="s">
        <v>669</v>
      </c>
    </row>
    <row r="67" spans="1:6" s="37" customFormat="1" ht="13.2" customHeight="1">
      <c r="A67" s="26">
        <f>'法人一覧(25)'!A67</f>
        <v>64</v>
      </c>
      <c r="B67" s="38" t="str">
        <f>'法人一覧(25)'!B67</f>
        <v>農林水産省</v>
      </c>
      <c r="C67" s="38" t="str">
        <f>'法人一覧(25)'!C67</f>
        <v>水産総合研究センター</v>
      </c>
      <c r="D67" s="157" t="s">
        <v>669</v>
      </c>
      <c r="E67" s="157" t="s">
        <v>669</v>
      </c>
      <c r="F67" s="157">
        <v>1</v>
      </c>
    </row>
    <row r="68" spans="1:6" s="37" customFormat="1" ht="13.2" customHeight="1">
      <c r="A68" s="26">
        <f>'法人一覧(25)'!A68</f>
        <v>65</v>
      </c>
      <c r="B68" s="38" t="str">
        <f>'法人一覧(25)'!B68</f>
        <v>農林水産省</v>
      </c>
      <c r="C68" s="38" t="str">
        <f>'法人一覧(25)'!C68</f>
        <v>農畜産業振興機構</v>
      </c>
      <c r="D68" s="157" t="s">
        <v>669</v>
      </c>
      <c r="E68" s="157">
        <v>19</v>
      </c>
      <c r="F68" s="157">
        <v>6</v>
      </c>
    </row>
    <row r="69" spans="1:6" s="37" customFormat="1" ht="13.2" customHeight="1">
      <c r="A69" s="26">
        <f>'法人一覧(25)'!A69</f>
        <v>66</v>
      </c>
      <c r="B69" s="38" t="str">
        <f>'法人一覧(25)'!B69</f>
        <v>農林水産省</v>
      </c>
      <c r="C69" s="38" t="str">
        <f>'法人一覧(25)'!C69</f>
        <v>農業者年金基金</v>
      </c>
      <c r="D69" s="157" t="s">
        <v>669</v>
      </c>
      <c r="E69" s="157" t="s">
        <v>669</v>
      </c>
      <c r="F69" s="157" t="s">
        <v>669</v>
      </c>
    </row>
    <row r="70" spans="1:6" s="37" customFormat="1" ht="13.2" customHeight="1">
      <c r="A70" s="26">
        <f>'法人一覧(25)'!A70</f>
        <v>67</v>
      </c>
      <c r="B70" s="38" t="str">
        <f>'法人一覧(25)'!B70</f>
        <v>農林水産省</v>
      </c>
      <c r="C70" s="38" t="str">
        <f>'法人一覧(25)'!C70</f>
        <v>農林漁業信用基金</v>
      </c>
      <c r="D70" s="157" t="s">
        <v>669</v>
      </c>
      <c r="E70" s="157" t="s">
        <v>669</v>
      </c>
      <c r="F70" s="157" t="s">
        <v>669</v>
      </c>
    </row>
    <row r="71" spans="1:6" s="37" customFormat="1" ht="13.2" customHeight="1">
      <c r="A71" s="26">
        <f>'法人一覧(25)'!A71</f>
        <v>68</v>
      </c>
      <c r="B71" s="38" t="str">
        <f>'法人一覧(25)'!B71</f>
        <v>経済産業省</v>
      </c>
      <c r="C71" s="38" t="str">
        <f>'法人一覧(25)'!C71</f>
        <v>経済産業研究所</v>
      </c>
      <c r="D71" s="157" t="s">
        <v>669</v>
      </c>
      <c r="E71" s="157" t="s">
        <v>669</v>
      </c>
      <c r="F71" s="157" t="s">
        <v>669</v>
      </c>
    </row>
    <row r="72" spans="1:6" s="37" customFormat="1" ht="13.2" customHeight="1">
      <c r="A72" s="26">
        <f>'法人一覧(25)'!A72</f>
        <v>69</v>
      </c>
      <c r="B72" s="38" t="str">
        <f>'法人一覧(25)'!B72</f>
        <v>経済産業省</v>
      </c>
      <c r="C72" s="38" t="str">
        <f>'法人一覧(25)'!C72</f>
        <v>工業所有権情報・研修館</v>
      </c>
      <c r="D72" s="157" t="s">
        <v>669</v>
      </c>
      <c r="E72" s="157" t="s">
        <v>669</v>
      </c>
      <c r="F72" s="157">
        <v>1</v>
      </c>
    </row>
    <row r="73" spans="1:6" s="37" customFormat="1" ht="13.2" customHeight="1">
      <c r="A73" s="26">
        <f>'法人一覧(25)'!A73</f>
        <v>70</v>
      </c>
      <c r="B73" s="38" t="str">
        <f>'法人一覧(25)'!B73</f>
        <v>経済産業省</v>
      </c>
      <c r="C73" s="38" t="str">
        <f>'法人一覧(25)'!C73</f>
        <v>日本貿易保険</v>
      </c>
      <c r="D73" s="157" t="s">
        <v>669</v>
      </c>
      <c r="E73" s="157" t="s">
        <v>669</v>
      </c>
      <c r="F73" s="157" t="s">
        <v>669</v>
      </c>
    </row>
    <row r="74" spans="1:6" s="37" customFormat="1" ht="13.2" customHeight="1">
      <c r="A74" s="26">
        <f>'法人一覧(25)'!A74</f>
        <v>71</v>
      </c>
      <c r="B74" s="38" t="str">
        <f>'法人一覧(25)'!B74</f>
        <v>経済産業省</v>
      </c>
      <c r="C74" s="38" t="str">
        <f>'法人一覧(25)'!C74</f>
        <v>産業技術総合研究所</v>
      </c>
      <c r="D74" s="157" t="s">
        <v>669</v>
      </c>
      <c r="E74" s="157" t="s">
        <v>669</v>
      </c>
      <c r="F74" s="157" t="s">
        <v>669</v>
      </c>
    </row>
    <row r="75" spans="1:6" s="37" customFormat="1" ht="13.2" customHeight="1">
      <c r="A75" s="26">
        <f>'法人一覧(25)'!A75</f>
        <v>72</v>
      </c>
      <c r="B75" s="38" t="str">
        <f>'法人一覧(25)'!B75</f>
        <v>経済産業省</v>
      </c>
      <c r="C75" s="38" t="str">
        <f>'法人一覧(25)'!C75</f>
        <v>製品評価技術基盤機構</v>
      </c>
      <c r="D75" s="157" t="s">
        <v>669</v>
      </c>
      <c r="E75" s="157" t="s">
        <v>669</v>
      </c>
      <c r="F75" s="157" t="s">
        <v>669</v>
      </c>
    </row>
    <row r="76" spans="1:6" s="37" customFormat="1" ht="13.2" customHeight="1">
      <c r="A76" s="26">
        <f>'法人一覧(25)'!A76</f>
        <v>73</v>
      </c>
      <c r="B76" s="38" t="str">
        <f>'法人一覧(25)'!B76</f>
        <v>経済産業省</v>
      </c>
      <c r="C76" s="38" t="str">
        <f>'法人一覧(25)'!C76</f>
        <v>新エネルギー・産業技術総合開発機構</v>
      </c>
      <c r="D76" s="157" t="s">
        <v>669</v>
      </c>
      <c r="E76" s="157" t="s">
        <v>669</v>
      </c>
      <c r="F76" s="60">
        <v>21</v>
      </c>
    </row>
    <row r="77" spans="1:6" s="37" customFormat="1" ht="13.2" customHeight="1">
      <c r="A77" s="26">
        <f>'法人一覧(25)'!A77</f>
        <v>74</v>
      </c>
      <c r="B77" s="38" t="str">
        <f>'法人一覧(25)'!B77</f>
        <v>経済産業省</v>
      </c>
      <c r="C77" s="38" t="str">
        <f>'法人一覧(25)'!C77</f>
        <v>日本貿易振興機構</v>
      </c>
      <c r="D77" s="157" t="s">
        <v>669</v>
      </c>
      <c r="E77" s="157" t="s">
        <v>669</v>
      </c>
      <c r="F77" s="157" t="s">
        <v>669</v>
      </c>
    </row>
    <row r="78" spans="1:6" s="37" customFormat="1" ht="13.2" customHeight="1">
      <c r="A78" s="26">
        <f>'法人一覧(25)'!A78</f>
        <v>75</v>
      </c>
      <c r="B78" s="38" t="str">
        <f>'法人一覧(25)'!B78</f>
        <v>経済産業省</v>
      </c>
      <c r="C78" s="38" t="str">
        <f>'法人一覧(25)'!C78</f>
        <v>情報処理推進機構</v>
      </c>
      <c r="D78" s="60">
        <v>12</v>
      </c>
      <c r="E78" s="157" t="s">
        <v>669</v>
      </c>
      <c r="F78" s="157" t="s">
        <v>669</v>
      </c>
    </row>
    <row r="79" spans="1:6" s="37" customFormat="1" ht="13.2" customHeight="1">
      <c r="A79" s="26">
        <f>'法人一覧(25)'!A79</f>
        <v>76</v>
      </c>
      <c r="B79" s="38" t="str">
        <f>'法人一覧(25)'!B79</f>
        <v>経済産業省</v>
      </c>
      <c r="C79" s="38" t="str">
        <f>'法人一覧(25)'!C79</f>
        <v>石油天然ガス・金属鉱物資源機構</v>
      </c>
      <c r="D79" s="157">
        <v>4</v>
      </c>
      <c r="E79" s="157">
        <v>49</v>
      </c>
      <c r="F79" s="157">
        <v>2</v>
      </c>
    </row>
    <row r="80" spans="1:6" s="37" customFormat="1" ht="13.2" customHeight="1">
      <c r="A80" s="26">
        <f>'法人一覧(25)'!A80</f>
        <v>77</v>
      </c>
      <c r="B80" s="38" t="str">
        <f>'法人一覧(25)'!B80</f>
        <v>経済産業省</v>
      </c>
      <c r="C80" s="38" t="str">
        <f>'法人一覧(25)'!C80</f>
        <v>中小企業基盤整備機構</v>
      </c>
      <c r="D80" s="157">
        <v>3</v>
      </c>
      <c r="E80" s="157">
        <v>78</v>
      </c>
      <c r="F80" s="157">
        <v>1</v>
      </c>
    </row>
    <row r="81" spans="1:6" s="37" customFormat="1" ht="13.2" customHeight="1">
      <c r="A81" s="26">
        <f>'法人一覧(25)'!A81</f>
        <v>78</v>
      </c>
      <c r="B81" s="38" t="str">
        <f>'法人一覧(25)'!B81</f>
        <v>国土交通省</v>
      </c>
      <c r="C81" s="38" t="str">
        <f>'法人一覧(25)'!C81</f>
        <v>土木研究所</v>
      </c>
      <c r="D81" s="157" t="s">
        <v>669</v>
      </c>
      <c r="E81" s="157" t="s">
        <v>669</v>
      </c>
      <c r="F81" s="157" t="s">
        <v>669</v>
      </c>
    </row>
    <row r="82" spans="1:6" s="37" customFormat="1" ht="13.2" customHeight="1">
      <c r="A82" s="26">
        <f>'法人一覧(25)'!A82</f>
        <v>79</v>
      </c>
      <c r="B82" s="38" t="str">
        <f>'法人一覧(25)'!B82</f>
        <v>国土交通省</v>
      </c>
      <c r="C82" s="38" t="str">
        <f>'法人一覧(25)'!C82</f>
        <v>建築研究所</v>
      </c>
      <c r="D82" s="157" t="s">
        <v>669</v>
      </c>
      <c r="E82" s="157" t="s">
        <v>669</v>
      </c>
      <c r="F82" s="157" t="s">
        <v>669</v>
      </c>
    </row>
    <row r="83" spans="1:6" s="37" customFormat="1" ht="13.2" customHeight="1">
      <c r="A83" s="26">
        <f>'法人一覧(25)'!A83</f>
        <v>80</v>
      </c>
      <c r="B83" s="38" t="str">
        <f>'法人一覧(25)'!B83</f>
        <v>国土交通省</v>
      </c>
      <c r="C83" s="38" t="str">
        <f>'法人一覧(25)'!C83</f>
        <v>交通安全環境研究所</v>
      </c>
      <c r="D83" s="157" t="s">
        <v>669</v>
      </c>
      <c r="E83" s="157" t="s">
        <v>669</v>
      </c>
      <c r="F83" s="157" t="s">
        <v>669</v>
      </c>
    </row>
    <row r="84" spans="1:6" s="37" customFormat="1" ht="13.2" customHeight="1">
      <c r="A84" s="26">
        <f>'法人一覧(25)'!A84</f>
        <v>81</v>
      </c>
      <c r="B84" s="38" t="str">
        <f>'法人一覧(25)'!B84</f>
        <v>国土交通省</v>
      </c>
      <c r="C84" s="38" t="str">
        <f>'法人一覧(25)'!C84</f>
        <v>海上技術安全研究所</v>
      </c>
      <c r="D84" s="157" t="s">
        <v>669</v>
      </c>
      <c r="E84" s="157" t="s">
        <v>669</v>
      </c>
      <c r="F84" s="157" t="s">
        <v>669</v>
      </c>
    </row>
    <row r="85" spans="1:6" s="37" customFormat="1" ht="13.2" customHeight="1">
      <c r="A85" s="26">
        <f>'法人一覧(25)'!A85</f>
        <v>82</v>
      </c>
      <c r="B85" s="38" t="str">
        <f>'法人一覧(25)'!B85</f>
        <v>国土交通省</v>
      </c>
      <c r="C85" s="38" t="str">
        <f>'法人一覧(25)'!C85</f>
        <v>港湾空港技術研究所</v>
      </c>
      <c r="D85" s="157" t="s">
        <v>669</v>
      </c>
      <c r="E85" s="157" t="s">
        <v>669</v>
      </c>
      <c r="F85" s="157" t="s">
        <v>669</v>
      </c>
    </row>
    <row r="86" spans="1:6" s="37" customFormat="1" ht="13.2" customHeight="1">
      <c r="A86" s="26">
        <f>'法人一覧(25)'!A86</f>
        <v>83</v>
      </c>
      <c r="B86" s="38" t="str">
        <f>'法人一覧(25)'!B86</f>
        <v>国土交通省</v>
      </c>
      <c r="C86" s="38" t="str">
        <f>'法人一覧(25)'!C86</f>
        <v>電子航法研究所</v>
      </c>
      <c r="D86" s="157" t="s">
        <v>669</v>
      </c>
      <c r="E86" s="157" t="s">
        <v>669</v>
      </c>
      <c r="F86" s="157" t="s">
        <v>669</v>
      </c>
    </row>
    <row r="87" spans="1:6" s="37" customFormat="1" ht="13.2" customHeight="1">
      <c r="A87" s="26">
        <f>'法人一覧(25)'!A87</f>
        <v>84</v>
      </c>
      <c r="B87" s="38" t="str">
        <f>'法人一覧(25)'!B87</f>
        <v>国土交通省</v>
      </c>
      <c r="C87" s="38" t="str">
        <f>'法人一覧(25)'!C87</f>
        <v>航海訓練所</v>
      </c>
      <c r="D87" s="157" t="s">
        <v>669</v>
      </c>
      <c r="E87" s="157" t="s">
        <v>669</v>
      </c>
      <c r="F87" s="157" t="s">
        <v>669</v>
      </c>
    </row>
    <row r="88" spans="1:6" s="37" customFormat="1" ht="13.2" customHeight="1">
      <c r="A88" s="26">
        <f>'法人一覧(25)'!A88</f>
        <v>85</v>
      </c>
      <c r="B88" s="38" t="str">
        <f>'法人一覧(25)'!B88</f>
        <v>国土交通省</v>
      </c>
      <c r="C88" s="38" t="str">
        <f>'法人一覧(25)'!C88</f>
        <v>海技教育機構</v>
      </c>
      <c r="D88" s="157" t="s">
        <v>669</v>
      </c>
      <c r="E88" s="157" t="s">
        <v>669</v>
      </c>
      <c r="F88" s="157" t="s">
        <v>669</v>
      </c>
    </row>
    <row r="89" spans="1:6" s="37" customFormat="1" ht="13.2" customHeight="1">
      <c r="A89" s="26">
        <f>'法人一覧(25)'!A89</f>
        <v>86</v>
      </c>
      <c r="B89" s="38" t="str">
        <f>'法人一覧(25)'!B89</f>
        <v>国土交通省</v>
      </c>
      <c r="C89" s="38" t="str">
        <f>'法人一覧(25)'!C89</f>
        <v>航空大学校</v>
      </c>
      <c r="D89" s="157" t="s">
        <v>669</v>
      </c>
      <c r="E89" s="157" t="s">
        <v>669</v>
      </c>
      <c r="F89" s="157" t="s">
        <v>669</v>
      </c>
    </row>
    <row r="90" spans="1:6" s="37" customFormat="1" ht="13.2" customHeight="1">
      <c r="A90" s="26">
        <f>'法人一覧(25)'!A90</f>
        <v>87</v>
      </c>
      <c r="B90" s="38" t="str">
        <f>'法人一覧(25)'!B90</f>
        <v>国土交通省</v>
      </c>
      <c r="C90" s="38" t="str">
        <f>'法人一覧(25)'!C90</f>
        <v>自動車検査</v>
      </c>
      <c r="D90" s="157" t="s">
        <v>669</v>
      </c>
      <c r="E90" s="157" t="s">
        <v>669</v>
      </c>
      <c r="F90" s="157" t="s">
        <v>669</v>
      </c>
    </row>
    <row r="91" spans="1:6" s="37" customFormat="1" ht="13.2" customHeight="1">
      <c r="A91" s="26">
        <f>'法人一覧(25)'!A91</f>
        <v>88</v>
      </c>
      <c r="B91" s="38" t="str">
        <f>'法人一覧(25)'!B91</f>
        <v>国土交通省</v>
      </c>
      <c r="C91" s="38" t="str">
        <f>'法人一覧(25)'!C91</f>
        <v>鉄道建設・運輸施設整備支援機構</v>
      </c>
      <c r="D91" s="157" t="s">
        <v>669</v>
      </c>
      <c r="E91" s="157" t="s">
        <v>669</v>
      </c>
      <c r="F91" s="157">
        <v>1</v>
      </c>
    </row>
    <row r="92" spans="1:6" s="37" customFormat="1" ht="13.2" customHeight="1">
      <c r="A92" s="26">
        <f>'法人一覧(25)'!A92</f>
        <v>89</v>
      </c>
      <c r="B92" s="38" t="str">
        <f>'法人一覧(25)'!B92</f>
        <v>国土交通省</v>
      </c>
      <c r="C92" s="38" t="str">
        <f>'法人一覧(25)'!C92</f>
        <v>国際観光振興機構</v>
      </c>
      <c r="D92" s="157" t="s">
        <v>669</v>
      </c>
      <c r="E92" s="157" t="s">
        <v>669</v>
      </c>
      <c r="F92" s="157" t="s">
        <v>669</v>
      </c>
    </row>
    <row r="93" spans="1:6" s="37" customFormat="1" ht="13.2" customHeight="1">
      <c r="A93" s="26">
        <f>'法人一覧(25)'!A93</f>
        <v>90</v>
      </c>
      <c r="B93" s="38" t="str">
        <f>'法人一覧(25)'!B93</f>
        <v>国土交通省</v>
      </c>
      <c r="C93" s="38" t="str">
        <f>'法人一覧(25)'!C93</f>
        <v>水資源機構</v>
      </c>
      <c r="D93" s="157" t="s">
        <v>669</v>
      </c>
      <c r="E93" s="157" t="s">
        <v>669</v>
      </c>
      <c r="F93" s="157">
        <v>1</v>
      </c>
    </row>
    <row r="94" spans="1:6" ht="13.2" customHeight="1">
      <c r="A94" s="26">
        <f>'法人一覧(25)'!A94</f>
        <v>91</v>
      </c>
      <c r="B94" s="38" t="str">
        <f>'法人一覧(25)'!B94</f>
        <v>国土交通省</v>
      </c>
      <c r="C94" s="38" t="str">
        <f>'法人一覧(25)'!C94</f>
        <v>自動車事故対策機構</v>
      </c>
      <c r="D94" s="157" t="s">
        <v>669</v>
      </c>
      <c r="E94" s="157" t="s">
        <v>669</v>
      </c>
      <c r="F94" s="157" t="s">
        <v>669</v>
      </c>
    </row>
    <row r="95" spans="1:6" ht="13.2" customHeight="1">
      <c r="A95" s="26">
        <f>'法人一覧(25)'!A95</f>
        <v>92</v>
      </c>
      <c r="B95" s="38" t="str">
        <f>'法人一覧(25)'!B95</f>
        <v>国土交通省</v>
      </c>
      <c r="C95" s="38" t="str">
        <f>'法人一覧(25)'!C95</f>
        <v>空港周辺整備機構</v>
      </c>
      <c r="D95" s="157" t="s">
        <v>669</v>
      </c>
      <c r="E95" s="157" t="s">
        <v>669</v>
      </c>
      <c r="F95" s="157" t="s">
        <v>669</v>
      </c>
    </row>
    <row r="96" spans="1:6" ht="13.2" customHeight="1">
      <c r="A96" s="26">
        <f>'法人一覧(25)'!A96</f>
        <v>93</v>
      </c>
      <c r="B96" s="38" t="str">
        <f>'法人一覧(25)'!B96</f>
        <v>国土交通省</v>
      </c>
      <c r="C96" s="38" t="str">
        <f>'法人一覧(25)'!C96</f>
        <v>海上災害防止センター</v>
      </c>
      <c r="D96" s="157" t="s">
        <v>669</v>
      </c>
      <c r="E96" s="157" t="s">
        <v>669</v>
      </c>
      <c r="F96" s="157" t="s">
        <v>669</v>
      </c>
    </row>
    <row r="97" spans="1:6" ht="13.2" customHeight="1">
      <c r="A97" s="26">
        <f>'法人一覧(25)'!A97</f>
        <v>94</v>
      </c>
      <c r="B97" s="38" t="str">
        <f>'法人一覧(25)'!B97</f>
        <v>国土交通省</v>
      </c>
      <c r="C97" s="38" t="str">
        <f>'法人一覧(25)'!C97</f>
        <v>都市再生機構</v>
      </c>
      <c r="D97" s="80">
        <v>16</v>
      </c>
      <c r="E97" s="80">
        <v>10</v>
      </c>
      <c r="F97" s="80">
        <v>5</v>
      </c>
    </row>
    <row r="98" spans="1:6" ht="13.2" customHeight="1">
      <c r="A98" s="26">
        <f>'法人一覧(25)'!A98</f>
        <v>95</v>
      </c>
      <c r="B98" s="38" t="str">
        <f>'法人一覧(25)'!B98</f>
        <v>国土交通省</v>
      </c>
      <c r="C98" s="38" t="str">
        <f>'法人一覧(25)'!C98</f>
        <v>奄美群島振興開発基金</v>
      </c>
      <c r="D98" s="157" t="s">
        <v>669</v>
      </c>
      <c r="E98" s="157" t="s">
        <v>669</v>
      </c>
      <c r="F98" s="157" t="s">
        <v>669</v>
      </c>
    </row>
    <row r="99" spans="1:6" ht="13.2" customHeight="1">
      <c r="A99" s="26">
        <f>'法人一覧(25)'!A99</f>
        <v>96</v>
      </c>
      <c r="B99" s="38" t="str">
        <f>'法人一覧(25)'!B99</f>
        <v>国土交通省</v>
      </c>
      <c r="C99" s="38" t="str">
        <f>'法人一覧(25)'!C99</f>
        <v>日本高速道路保有・債務返済機構</v>
      </c>
      <c r="D99" s="157" t="s">
        <v>669</v>
      </c>
      <c r="E99" s="157" t="s">
        <v>669</v>
      </c>
      <c r="F99" s="157" t="s">
        <v>669</v>
      </c>
    </row>
    <row r="100" spans="1:6" ht="13.2" customHeight="1">
      <c r="A100" s="26">
        <f>'法人一覧(25)'!A100</f>
        <v>97</v>
      </c>
      <c r="B100" s="38" t="str">
        <f>'法人一覧(25)'!B100</f>
        <v>国土交通省</v>
      </c>
      <c r="C100" s="38" t="str">
        <f>'法人一覧(25)'!C100</f>
        <v>住宅金融支援機構</v>
      </c>
      <c r="D100" s="157">
        <v>2</v>
      </c>
      <c r="E100" s="157" t="s">
        <v>669</v>
      </c>
      <c r="F100" s="157" t="s">
        <v>669</v>
      </c>
    </row>
    <row r="101" spans="1:6" ht="13.2" customHeight="1">
      <c r="A101" s="26">
        <f>'法人一覧(25)'!A101</f>
        <v>98</v>
      </c>
      <c r="B101" s="38" t="str">
        <f>'法人一覧(25)'!B101</f>
        <v>環境省</v>
      </c>
      <c r="C101" s="38" t="str">
        <f>'法人一覧(25)'!C101</f>
        <v>国立環境研究所</v>
      </c>
      <c r="D101" s="157" t="s">
        <v>669</v>
      </c>
      <c r="E101" s="157" t="s">
        <v>669</v>
      </c>
      <c r="F101" s="157">
        <v>2</v>
      </c>
    </row>
    <row r="102" spans="1:6" ht="13.2" customHeight="1">
      <c r="A102" s="26">
        <f>'法人一覧(25)'!A102</f>
        <v>99</v>
      </c>
      <c r="B102" s="38" t="str">
        <f>'法人一覧(25)'!B102</f>
        <v>環境省</v>
      </c>
      <c r="C102" s="38" t="str">
        <f>'法人一覧(25)'!C102</f>
        <v>環境再生保全機構</v>
      </c>
      <c r="D102" s="157" t="s">
        <v>669</v>
      </c>
      <c r="E102" s="157" t="s">
        <v>669</v>
      </c>
      <c r="F102" s="157" t="s">
        <v>669</v>
      </c>
    </row>
    <row r="103" spans="1:6" ht="13.2" customHeight="1">
      <c r="A103" s="26">
        <f>'法人一覧(25)'!A103</f>
        <v>100</v>
      </c>
      <c r="B103" s="38" t="str">
        <f>'法人一覧(25)'!B103</f>
        <v>原子力規制委員会</v>
      </c>
      <c r="C103" s="38" t="str">
        <f>'法人一覧(25)'!C103</f>
        <v>原子力安全基盤機構</v>
      </c>
      <c r="D103" s="157" t="s">
        <v>669</v>
      </c>
      <c r="E103" s="157" t="s">
        <v>669</v>
      </c>
      <c r="F103" s="157" t="s">
        <v>669</v>
      </c>
    </row>
    <row r="104" spans="1:6" ht="13.2" customHeight="1" thickBot="1">
      <c r="A104" s="26">
        <f>'法人一覧(25)'!A104</f>
        <v>101</v>
      </c>
      <c r="B104" s="117" t="str">
        <f>'法人一覧(25)'!B104</f>
        <v>防衛省</v>
      </c>
      <c r="C104" s="117" t="str">
        <f>'法人一覧(25)'!C104</f>
        <v>駐留軍等労働者労務管理機構</v>
      </c>
      <c r="D104" s="116" t="s">
        <v>669</v>
      </c>
      <c r="E104" s="116" t="s">
        <v>669</v>
      </c>
      <c r="F104" s="116" t="s">
        <v>669</v>
      </c>
    </row>
    <row r="105" spans="1:6" s="37" customFormat="1" ht="19.2" customHeight="1" thickTop="1">
      <c r="A105" s="167" t="s">
        <v>583</v>
      </c>
      <c r="B105" s="187"/>
      <c r="C105" s="170"/>
      <c r="D105" s="114">
        <f t="shared" ref="D105:E105" si="0">SUM(D4:D104)</f>
        <v>42</v>
      </c>
      <c r="E105" s="114">
        <f t="shared" si="0"/>
        <v>166</v>
      </c>
      <c r="F105" s="114">
        <f>SUM(F4:F104)</f>
        <v>75</v>
      </c>
    </row>
    <row r="107" spans="1:6">
      <c r="B107" s="179" t="s">
        <v>671</v>
      </c>
      <c r="C107" s="179"/>
      <c r="D107" s="179"/>
      <c r="E107" s="179"/>
      <c r="F107" s="179"/>
    </row>
    <row r="108" spans="1:6">
      <c r="B108" s="179"/>
      <c r="C108" s="179"/>
      <c r="D108" s="179"/>
      <c r="E108" s="179"/>
      <c r="F108" s="179"/>
    </row>
    <row r="109" spans="1:6">
      <c r="B109" s="179"/>
      <c r="C109" s="179"/>
      <c r="D109" s="179"/>
      <c r="E109" s="179"/>
      <c r="F109" s="179"/>
    </row>
  </sheetData>
  <mergeCells count="6">
    <mergeCell ref="B107:F109"/>
    <mergeCell ref="A2:A3"/>
    <mergeCell ref="B2:B3"/>
    <mergeCell ref="C2:C3"/>
    <mergeCell ref="D2:F2"/>
    <mergeCell ref="A105:C105"/>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zoomScale="80" zoomScaleNormal="80" workbookViewId="0">
      <pane xSplit="3" ySplit="3" topLeftCell="D70" activePane="bottomRight" state="frozen"/>
      <selection activeCell="B2" sqref="B2:B3"/>
      <selection pane="topRight" activeCell="B2" sqref="B2:B3"/>
      <selection pane="bottomLeft" activeCell="B2" sqref="B2:B3"/>
      <selection pane="bottomRight" activeCell="B104" sqref="B104:F105"/>
    </sheetView>
  </sheetViews>
  <sheetFormatPr defaultColWidth="8.88671875" defaultRowHeight="13.2"/>
  <cols>
    <col min="1" max="1" width="3.44140625" style="37" bestFit="1" customWidth="1"/>
    <col min="2" max="2" width="20.21875" style="1" customWidth="1"/>
    <col min="3" max="3" width="49.88671875" style="1" customWidth="1"/>
    <col min="4" max="6" width="10.77734375" style="1" customWidth="1"/>
    <col min="7" max="16384" width="8.88671875" style="1"/>
  </cols>
  <sheetData>
    <row r="1" spans="1:6" ht="19.95" customHeight="1">
      <c r="B1" s="144" t="s">
        <v>633</v>
      </c>
    </row>
    <row r="2" spans="1:6">
      <c r="A2" s="161" t="s">
        <v>195</v>
      </c>
      <c r="B2" s="161" t="s">
        <v>0</v>
      </c>
      <c r="C2" s="161" t="s">
        <v>1</v>
      </c>
      <c r="D2" s="164" t="s">
        <v>257</v>
      </c>
      <c r="E2" s="165"/>
      <c r="F2" s="166"/>
    </row>
    <row r="3" spans="1:6" ht="33" customHeight="1">
      <c r="A3" s="162"/>
      <c r="B3" s="162"/>
      <c r="C3" s="162"/>
      <c r="D3" s="46" t="s">
        <v>239</v>
      </c>
      <c r="E3" s="46" t="s">
        <v>240</v>
      </c>
      <c r="F3" s="47" t="s">
        <v>83</v>
      </c>
    </row>
    <row r="4" spans="1:6">
      <c r="A4" s="26">
        <f>'法人一覧(26)'!A4</f>
        <v>1</v>
      </c>
      <c r="B4" s="38" t="str">
        <f>'法人一覧(26)'!B4</f>
        <v>内閣府</v>
      </c>
      <c r="C4" s="38" t="str">
        <f>'法人一覧(26)'!C4</f>
        <v>国立公文書館</v>
      </c>
      <c r="D4" s="86" t="s">
        <v>415</v>
      </c>
      <c r="E4" s="86" t="s">
        <v>415</v>
      </c>
      <c r="F4" s="86" t="s">
        <v>415</v>
      </c>
    </row>
    <row r="5" spans="1:6">
      <c r="A5" s="26">
        <f>'法人一覧(26)'!A5</f>
        <v>2</v>
      </c>
      <c r="B5" s="38" t="str">
        <f>'法人一覧(26)'!B5</f>
        <v>内閣府</v>
      </c>
      <c r="C5" s="38" t="str">
        <f>'法人一覧(26)'!C5</f>
        <v>北方領土問題対策協会</v>
      </c>
      <c r="D5" s="86" t="s">
        <v>415</v>
      </c>
      <c r="E5" s="86" t="s">
        <v>415</v>
      </c>
      <c r="F5" s="26">
        <v>1</v>
      </c>
    </row>
    <row r="6" spans="1:6">
      <c r="A6" s="26">
        <f>'法人一覧(26)'!A6</f>
        <v>3</v>
      </c>
      <c r="B6" s="38" t="str">
        <f>'法人一覧(26)'!B6</f>
        <v>消費者庁</v>
      </c>
      <c r="C6" s="38" t="str">
        <f>'法人一覧(26)'!C6</f>
        <v>国民生活センター</v>
      </c>
      <c r="D6" s="86" t="s">
        <v>415</v>
      </c>
      <c r="E6" s="86" t="s">
        <v>415</v>
      </c>
      <c r="F6" s="26">
        <v>1</v>
      </c>
    </row>
    <row r="7" spans="1:6">
      <c r="A7" s="26">
        <f>'法人一覧(26)'!A7</f>
        <v>4</v>
      </c>
      <c r="B7" s="38" t="str">
        <f>'法人一覧(26)'!B7</f>
        <v>総務省</v>
      </c>
      <c r="C7" s="38" t="str">
        <f>'法人一覧(26)'!C7</f>
        <v>情報通信研究機構</v>
      </c>
      <c r="D7" s="107" t="s">
        <v>415</v>
      </c>
      <c r="E7" s="107" t="s">
        <v>415</v>
      </c>
      <c r="F7" s="86" t="s">
        <v>415</v>
      </c>
    </row>
    <row r="8" spans="1:6">
      <c r="A8" s="26">
        <f>'法人一覧(26)'!A8</f>
        <v>5</v>
      </c>
      <c r="B8" s="38" t="str">
        <f>'法人一覧(26)'!B8</f>
        <v>総務省</v>
      </c>
      <c r="C8" s="38" t="str">
        <f>'法人一覧(26)'!C8</f>
        <v>統計センター</v>
      </c>
      <c r="D8" s="86" t="s">
        <v>415</v>
      </c>
      <c r="E8" s="86" t="s">
        <v>415</v>
      </c>
      <c r="F8" s="86" t="s">
        <v>415</v>
      </c>
    </row>
    <row r="9" spans="1:6">
      <c r="A9" s="26">
        <f>'法人一覧(26)'!A9</f>
        <v>6</v>
      </c>
      <c r="B9" s="38" t="str">
        <f>'法人一覧(26)'!B9</f>
        <v>総務省</v>
      </c>
      <c r="C9" s="38" t="str">
        <f>'法人一覧(26)'!C9</f>
        <v>郵便貯金・簡易生命保険管理機構</v>
      </c>
      <c r="D9" s="86" t="s">
        <v>415</v>
      </c>
      <c r="E9" s="86" t="s">
        <v>415</v>
      </c>
      <c r="F9" s="86" t="s">
        <v>415</v>
      </c>
    </row>
    <row r="10" spans="1:6">
      <c r="A10" s="26">
        <f>'法人一覧(26)'!A10</f>
        <v>7</v>
      </c>
      <c r="B10" s="38" t="str">
        <f>'法人一覧(26)'!B10</f>
        <v>外務省</v>
      </c>
      <c r="C10" s="38" t="str">
        <f>'法人一覧(26)'!C10</f>
        <v>国際協力機構</v>
      </c>
      <c r="D10" s="86" t="s">
        <v>415</v>
      </c>
      <c r="E10" s="61">
        <v>10</v>
      </c>
      <c r="F10" s="61">
        <v>20</v>
      </c>
    </row>
    <row r="11" spans="1:6">
      <c r="A11" s="26">
        <f>'法人一覧(26)'!A11</f>
        <v>8</v>
      </c>
      <c r="B11" s="38" t="str">
        <f>'法人一覧(26)'!B11</f>
        <v>外務省</v>
      </c>
      <c r="C11" s="38" t="str">
        <f>'法人一覧(26)'!C11</f>
        <v>国際交流基金</v>
      </c>
      <c r="D11" s="86" t="s">
        <v>415</v>
      </c>
      <c r="E11" s="86" t="s">
        <v>415</v>
      </c>
      <c r="F11" s="86" t="s">
        <v>415</v>
      </c>
    </row>
    <row r="12" spans="1:6">
      <c r="A12" s="26">
        <f>'法人一覧(26)'!A12</f>
        <v>9</v>
      </c>
      <c r="B12" s="38" t="str">
        <f>'法人一覧(26)'!B12</f>
        <v>財務省</v>
      </c>
      <c r="C12" s="38" t="str">
        <f>'法人一覧(26)'!C12</f>
        <v>酒類総合研究所</v>
      </c>
      <c r="D12" s="86" t="s">
        <v>415</v>
      </c>
      <c r="E12" s="86" t="s">
        <v>415</v>
      </c>
      <c r="F12" s="86" t="s">
        <v>415</v>
      </c>
    </row>
    <row r="13" spans="1:6">
      <c r="A13" s="26">
        <f>'法人一覧(26)'!A13</f>
        <v>10</v>
      </c>
      <c r="B13" s="38" t="str">
        <f>'法人一覧(26)'!B13</f>
        <v>財務省</v>
      </c>
      <c r="C13" s="38" t="str">
        <f>'法人一覧(26)'!C13</f>
        <v>造幣局</v>
      </c>
      <c r="D13" s="86" t="s">
        <v>415</v>
      </c>
      <c r="E13" s="86" t="s">
        <v>415</v>
      </c>
      <c r="F13" s="86" t="s">
        <v>415</v>
      </c>
    </row>
    <row r="14" spans="1:6">
      <c r="A14" s="26">
        <f>'法人一覧(26)'!A14</f>
        <v>11</v>
      </c>
      <c r="B14" s="38" t="str">
        <f>'法人一覧(26)'!B14</f>
        <v>財務省</v>
      </c>
      <c r="C14" s="38" t="str">
        <f>'法人一覧(26)'!C14</f>
        <v>国立印刷局</v>
      </c>
      <c r="D14" s="86" t="s">
        <v>415</v>
      </c>
      <c r="E14" s="86" t="s">
        <v>415</v>
      </c>
      <c r="F14" s="86" t="s">
        <v>415</v>
      </c>
    </row>
    <row r="15" spans="1:6">
      <c r="A15" s="26">
        <f>'法人一覧(26)'!A15</f>
        <v>12</v>
      </c>
      <c r="B15" s="38" t="str">
        <f>'法人一覧(26)'!B15</f>
        <v>文部科学省</v>
      </c>
      <c r="C15" s="38" t="str">
        <f>'法人一覧(26)'!C15</f>
        <v>国立特別支援教育総合研究所</v>
      </c>
      <c r="D15" s="86" t="s">
        <v>415</v>
      </c>
      <c r="E15" s="86" t="s">
        <v>415</v>
      </c>
      <c r="F15" s="86" t="s">
        <v>415</v>
      </c>
    </row>
    <row r="16" spans="1:6">
      <c r="A16" s="26">
        <f>'法人一覧(26)'!A16</f>
        <v>13</v>
      </c>
      <c r="B16" s="38" t="str">
        <f>'法人一覧(26)'!B16</f>
        <v>文部科学省</v>
      </c>
      <c r="C16" s="38" t="str">
        <f>'法人一覧(26)'!C16</f>
        <v>大学入試センター</v>
      </c>
      <c r="D16" s="86" t="s">
        <v>415</v>
      </c>
      <c r="E16" s="86" t="s">
        <v>415</v>
      </c>
      <c r="F16" s="86" t="s">
        <v>415</v>
      </c>
    </row>
    <row r="17" spans="1:6">
      <c r="A17" s="26">
        <f>'法人一覧(26)'!A17</f>
        <v>14</v>
      </c>
      <c r="B17" s="38" t="str">
        <f>'法人一覧(26)'!B17</f>
        <v>文部科学省</v>
      </c>
      <c r="C17" s="38" t="str">
        <f>'法人一覧(26)'!C17</f>
        <v>国立青少年教育振興機構</v>
      </c>
      <c r="D17" s="86" t="s">
        <v>415</v>
      </c>
      <c r="E17" s="86" t="s">
        <v>415</v>
      </c>
      <c r="F17" s="60">
        <v>1</v>
      </c>
    </row>
    <row r="18" spans="1:6">
      <c r="A18" s="26">
        <f>'法人一覧(26)'!A18</f>
        <v>15</v>
      </c>
      <c r="B18" s="38" t="str">
        <f>'法人一覧(26)'!B18</f>
        <v>文部科学省</v>
      </c>
      <c r="C18" s="38" t="str">
        <f>'法人一覧(26)'!C18</f>
        <v>国立女性教育会館</v>
      </c>
      <c r="D18" s="86" t="s">
        <v>415</v>
      </c>
      <c r="E18" s="86" t="s">
        <v>415</v>
      </c>
      <c r="F18" s="86" t="s">
        <v>415</v>
      </c>
    </row>
    <row r="19" spans="1:6">
      <c r="A19" s="26">
        <f>'法人一覧(26)'!A19</f>
        <v>16</v>
      </c>
      <c r="B19" s="38" t="str">
        <f>'法人一覧(26)'!B19</f>
        <v>文部科学省</v>
      </c>
      <c r="C19" s="38" t="str">
        <f>'法人一覧(26)'!C19</f>
        <v>国立科学博物館</v>
      </c>
      <c r="D19" s="86" t="s">
        <v>415</v>
      </c>
      <c r="E19" s="86" t="s">
        <v>415</v>
      </c>
      <c r="F19" s="86" t="s">
        <v>415</v>
      </c>
    </row>
    <row r="20" spans="1:6">
      <c r="A20" s="26">
        <f>'法人一覧(26)'!A20</f>
        <v>17</v>
      </c>
      <c r="B20" s="38" t="str">
        <f>'法人一覧(26)'!B20</f>
        <v>文部科学省</v>
      </c>
      <c r="C20" s="38" t="str">
        <f>'法人一覧(26)'!C20</f>
        <v>物質・材料研究機構</v>
      </c>
      <c r="D20" s="86" t="s">
        <v>415</v>
      </c>
      <c r="E20" s="86" t="s">
        <v>415</v>
      </c>
      <c r="F20" s="86" t="s">
        <v>415</v>
      </c>
    </row>
    <row r="21" spans="1:6">
      <c r="A21" s="26">
        <f>'法人一覧(26)'!A21</f>
        <v>18</v>
      </c>
      <c r="B21" s="38" t="str">
        <f>'法人一覧(26)'!B21</f>
        <v>文部科学省</v>
      </c>
      <c r="C21" s="38" t="str">
        <f>'法人一覧(26)'!C21</f>
        <v>防災科学技術研究所</v>
      </c>
      <c r="D21" s="86" t="s">
        <v>415</v>
      </c>
      <c r="E21" s="86" t="s">
        <v>415</v>
      </c>
      <c r="F21" s="60">
        <v>2</v>
      </c>
    </row>
    <row r="22" spans="1:6">
      <c r="A22" s="26">
        <f>'法人一覧(26)'!A22</f>
        <v>19</v>
      </c>
      <c r="B22" s="38" t="str">
        <f>'法人一覧(26)'!B22</f>
        <v>文部科学省</v>
      </c>
      <c r="C22" s="38" t="str">
        <f>'法人一覧(26)'!C22</f>
        <v>放射線医学総合研究所</v>
      </c>
      <c r="D22" s="86" t="s">
        <v>415</v>
      </c>
      <c r="E22" s="86" t="s">
        <v>415</v>
      </c>
      <c r="F22" s="86" t="s">
        <v>415</v>
      </c>
    </row>
    <row r="23" spans="1:6">
      <c r="A23" s="26">
        <f>'法人一覧(26)'!A23</f>
        <v>20</v>
      </c>
      <c r="B23" s="38" t="str">
        <f>'法人一覧(26)'!B23</f>
        <v>文部科学省</v>
      </c>
      <c r="C23" s="38" t="str">
        <f>'法人一覧(26)'!C23</f>
        <v>国立美術館</v>
      </c>
      <c r="D23" s="86" t="s">
        <v>415</v>
      </c>
      <c r="E23" s="86" t="s">
        <v>415</v>
      </c>
      <c r="F23" s="86" t="s">
        <v>415</v>
      </c>
    </row>
    <row r="24" spans="1:6">
      <c r="A24" s="26">
        <f>'法人一覧(26)'!A24</f>
        <v>21</v>
      </c>
      <c r="B24" s="38" t="str">
        <f>'法人一覧(26)'!B24</f>
        <v>文部科学省</v>
      </c>
      <c r="C24" s="38" t="str">
        <f>'法人一覧(26)'!C24</f>
        <v>国立文化財機構</v>
      </c>
      <c r="D24" s="86" t="s">
        <v>415</v>
      </c>
      <c r="E24" s="86" t="s">
        <v>415</v>
      </c>
      <c r="F24" s="86" t="s">
        <v>415</v>
      </c>
    </row>
    <row r="25" spans="1:6">
      <c r="A25" s="26">
        <f>'法人一覧(26)'!A25</f>
        <v>22</v>
      </c>
      <c r="B25" s="38" t="str">
        <f>'法人一覧(26)'!B25</f>
        <v>文部科学省</v>
      </c>
      <c r="C25" s="38" t="str">
        <f>'法人一覧(26)'!C25</f>
        <v>教員研修センター</v>
      </c>
      <c r="D25" s="86" t="s">
        <v>415</v>
      </c>
      <c r="E25" s="86" t="s">
        <v>415</v>
      </c>
      <c r="F25" s="86" t="s">
        <v>415</v>
      </c>
    </row>
    <row r="26" spans="1:6">
      <c r="A26" s="26">
        <f>'法人一覧(26)'!A26</f>
        <v>23</v>
      </c>
      <c r="B26" s="38" t="str">
        <f>'法人一覧(26)'!B26</f>
        <v>文部科学省</v>
      </c>
      <c r="C26" s="38" t="str">
        <f>'法人一覧(26)'!C26</f>
        <v>科学技術振興機構</v>
      </c>
      <c r="D26" s="86" t="s">
        <v>415</v>
      </c>
      <c r="E26" s="86" t="s">
        <v>415</v>
      </c>
      <c r="F26" s="60">
        <v>3</v>
      </c>
    </row>
    <row r="27" spans="1:6">
      <c r="A27" s="26">
        <f>'法人一覧(26)'!A27</f>
        <v>24</v>
      </c>
      <c r="B27" s="38" t="str">
        <f>'法人一覧(26)'!B27</f>
        <v>文部科学省</v>
      </c>
      <c r="C27" s="38" t="str">
        <f>'法人一覧(26)'!C27</f>
        <v>日本学術振興会</v>
      </c>
      <c r="D27" s="86" t="s">
        <v>415</v>
      </c>
      <c r="E27" s="86" t="s">
        <v>415</v>
      </c>
      <c r="F27" s="86" t="s">
        <v>415</v>
      </c>
    </row>
    <row r="28" spans="1:6">
      <c r="A28" s="26">
        <f>'法人一覧(26)'!A28</f>
        <v>25</v>
      </c>
      <c r="B28" s="38" t="str">
        <f>'法人一覧(26)'!B28</f>
        <v>文部科学省</v>
      </c>
      <c r="C28" s="38" t="str">
        <f>'法人一覧(26)'!C28</f>
        <v>理化学研究所</v>
      </c>
      <c r="D28" s="86" t="s">
        <v>415</v>
      </c>
      <c r="E28" s="86" t="s">
        <v>415</v>
      </c>
      <c r="F28" s="60">
        <v>1</v>
      </c>
    </row>
    <row r="29" spans="1:6">
      <c r="A29" s="26">
        <f>'法人一覧(26)'!A29</f>
        <v>26</v>
      </c>
      <c r="B29" s="38" t="str">
        <f>'法人一覧(26)'!B29</f>
        <v>文部科学省</v>
      </c>
      <c r="C29" s="38" t="str">
        <f>'法人一覧(26)'!C29</f>
        <v>宇宙航空研究開発機構</v>
      </c>
      <c r="D29" s="86" t="s">
        <v>415</v>
      </c>
      <c r="E29" s="86" t="s">
        <v>415</v>
      </c>
      <c r="F29" s="60">
        <v>4</v>
      </c>
    </row>
    <row r="30" spans="1:6">
      <c r="A30" s="26">
        <f>'法人一覧(26)'!A30</f>
        <v>27</v>
      </c>
      <c r="B30" s="38" t="str">
        <f>'法人一覧(26)'!B30</f>
        <v>文部科学省</v>
      </c>
      <c r="C30" s="38" t="str">
        <f>'法人一覧(26)'!C30</f>
        <v>日本スポーツ振興センター</v>
      </c>
      <c r="D30" s="86" t="s">
        <v>415</v>
      </c>
      <c r="E30" s="86" t="s">
        <v>415</v>
      </c>
      <c r="F30" s="86" t="s">
        <v>415</v>
      </c>
    </row>
    <row r="31" spans="1:6">
      <c r="A31" s="26">
        <f>'法人一覧(26)'!A31</f>
        <v>28</v>
      </c>
      <c r="B31" s="38" t="str">
        <f>'法人一覧(26)'!B31</f>
        <v>文部科学省</v>
      </c>
      <c r="C31" s="38" t="str">
        <f>'法人一覧(26)'!C31</f>
        <v>日本芸術文化振興会</v>
      </c>
      <c r="D31" s="86" t="s">
        <v>415</v>
      </c>
      <c r="E31" s="86" t="s">
        <v>415</v>
      </c>
      <c r="F31" s="60">
        <v>3</v>
      </c>
    </row>
    <row r="32" spans="1:6">
      <c r="A32" s="26">
        <f>'法人一覧(26)'!A32</f>
        <v>29</v>
      </c>
      <c r="B32" s="38" t="str">
        <f>'法人一覧(26)'!B32</f>
        <v>文部科学省</v>
      </c>
      <c r="C32" s="38" t="str">
        <f>'法人一覧(26)'!C32</f>
        <v>日本学生支援機構</v>
      </c>
      <c r="D32" s="86" t="s">
        <v>415</v>
      </c>
      <c r="E32" s="86" t="s">
        <v>415</v>
      </c>
      <c r="F32" s="86" t="s">
        <v>415</v>
      </c>
    </row>
    <row r="33" spans="1:6">
      <c r="A33" s="26">
        <f>'法人一覧(26)'!A33</f>
        <v>30</v>
      </c>
      <c r="B33" s="38" t="str">
        <f>'法人一覧(26)'!B33</f>
        <v>文部科学省</v>
      </c>
      <c r="C33" s="38" t="str">
        <f>'法人一覧(26)'!C33</f>
        <v>海洋研究開発機構</v>
      </c>
      <c r="D33" s="86" t="s">
        <v>415</v>
      </c>
      <c r="E33" s="86" t="s">
        <v>415</v>
      </c>
      <c r="F33" s="60">
        <v>2</v>
      </c>
    </row>
    <row r="34" spans="1:6">
      <c r="A34" s="26">
        <f>'法人一覧(26)'!A34</f>
        <v>31</v>
      </c>
      <c r="B34" s="38" t="str">
        <f>'法人一覧(26)'!B34</f>
        <v>文部科学省</v>
      </c>
      <c r="C34" s="38" t="str">
        <f>'法人一覧(26)'!C34</f>
        <v>国立高等専門学校機構</v>
      </c>
      <c r="D34" s="86" t="s">
        <v>415</v>
      </c>
      <c r="E34" s="86" t="s">
        <v>415</v>
      </c>
      <c r="F34" s="60">
        <v>1</v>
      </c>
    </row>
    <row r="35" spans="1:6">
      <c r="A35" s="26">
        <f>'法人一覧(26)'!A35</f>
        <v>32</v>
      </c>
      <c r="B35" s="38" t="str">
        <f>'法人一覧(26)'!B35</f>
        <v>文部科学省</v>
      </c>
      <c r="C35" s="38" t="str">
        <f>'法人一覧(26)'!C35</f>
        <v>大学評価・学位授与機構</v>
      </c>
      <c r="D35" s="86" t="s">
        <v>415</v>
      </c>
      <c r="E35" s="86" t="s">
        <v>415</v>
      </c>
      <c r="F35" s="86" t="s">
        <v>415</v>
      </c>
    </row>
    <row r="36" spans="1:6">
      <c r="A36" s="26">
        <f>'法人一覧(26)'!A36</f>
        <v>33</v>
      </c>
      <c r="B36" s="38" t="str">
        <f>'法人一覧(26)'!B36</f>
        <v>文部科学省</v>
      </c>
      <c r="C36" s="38" t="str">
        <f>'法人一覧(26)'!C36</f>
        <v>国立大学財務・経営センター</v>
      </c>
      <c r="D36" s="86" t="s">
        <v>415</v>
      </c>
      <c r="E36" s="86" t="s">
        <v>415</v>
      </c>
      <c r="F36" s="86" t="s">
        <v>415</v>
      </c>
    </row>
    <row r="37" spans="1:6">
      <c r="A37" s="26">
        <f>'法人一覧(26)'!A37</f>
        <v>34</v>
      </c>
      <c r="B37" s="38" t="str">
        <f>'法人一覧(26)'!B37</f>
        <v>文部科学省</v>
      </c>
      <c r="C37" s="38" t="str">
        <f>'法人一覧(26)'!C37</f>
        <v>日本原子力研究開発機構</v>
      </c>
      <c r="D37" s="86" t="s">
        <v>415</v>
      </c>
      <c r="E37" s="86" t="s">
        <v>415</v>
      </c>
      <c r="F37" s="60">
        <v>6</v>
      </c>
    </row>
    <row r="38" spans="1:6">
      <c r="A38" s="26">
        <f>'法人一覧(26)'!A38</f>
        <v>35</v>
      </c>
      <c r="B38" s="38" t="str">
        <f>'法人一覧(26)'!B38</f>
        <v>厚生労働省</v>
      </c>
      <c r="C38" s="38" t="str">
        <f>'法人一覧(26)'!C38</f>
        <v>国立健康・栄養研究所</v>
      </c>
      <c r="D38" s="86" t="s">
        <v>415</v>
      </c>
      <c r="E38" s="86" t="s">
        <v>415</v>
      </c>
      <c r="F38" s="86" t="s">
        <v>415</v>
      </c>
    </row>
    <row r="39" spans="1:6">
      <c r="A39" s="26">
        <f>'法人一覧(26)'!A39</f>
        <v>36</v>
      </c>
      <c r="B39" s="38" t="str">
        <f>'法人一覧(26)'!B39</f>
        <v>厚生労働省</v>
      </c>
      <c r="C39" s="38" t="str">
        <f>'法人一覧(26)'!C39</f>
        <v>労働安全衛生総合研究所</v>
      </c>
      <c r="D39" s="86" t="s">
        <v>415</v>
      </c>
      <c r="E39" s="86" t="s">
        <v>415</v>
      </c>
      <c r="F39" s="86" t="s">
        <v>415</v>
      </c>
    </row>
    <row r="40" spans="1:6">
      <c r="A40" s="26">
        <f>'法人一覧(26)'!A40</f>
        <v>37</v>
      </c>
      <c r="B40" s="38" t="str">
        <f>'法人一覧(26)'!B40</f>
        <v>厚生労働省</v>
      </c>
      <c r="C40" s="38" t="str">
        <f>'法人一覧(26)'!C40</f>
        <v>勤労者退職金共済機構</v>
      </c>
      <c r="D40" s="86" t="s">
        <v>415</v>
      </c>
      <c r="E40" s="86" t="s">
        <v>415</v>
      </c>
      <c r="F40" s="86" t="s">
        <v>415</v>
      </c>
    </row>
    <row r="41" spans="1:6">
      <c r="A41" s="26">
        <f>'法人一覧(26)'!A41</f>
        <v>38</v>
      </c>
      <c r="B41" s="38" t="str">
        <f>'法人一覧(26)'!B41</f>
        <v>厚生労働省</v>
      </c>
      <c r="C41" s="38" t="str">
        <f>'法人一覧(26)'!C41</f>
        <v>高齢・障害・求職者雇用支援機構</v>
      </c>
      <c r="D41" s="86" t="s">
        <v>415</v>
      </c>
      <c r="E41" s="86" t="s">
        <v>415</v>
      </c>
      <c r="F41" s="60">
        <v>3</v>
      </c>
    </row>
    <row r="42" spans="1:6">
      <c r="A42" s="26">
        <f>'法人一覧(26)'!A42</f>
        <v>39</v>
      </c>
      <c r="B42" s="38" t="str">
        <f>'法人一覧(26)'!B42</f>
        <v>厚生労働省</v>
      </c>
      <c r="C42" s="38" t="str">
        <f>'法人一覧(26)'!C42</f>
        <v>福祉医療機構</v>
      </c>
      <c r="D42" s="86" t="s">
        <v>415</v>
      </c>
      <c r="E42" s="86" t="s">
        <v>415</v>
      </c>
      <c r="F42" s="86" t="s">
        <v>415</v>
      </c>
    </row>
    <row r="43" spans="1:6">
      <c r="A43" s="26">
        <f>'法人一覧(26)'!A43</f>
        <v>40</v>
      </c>
      <c r="B43" s="38" t="str">
        <f>'法人一覧(26)'!B43</f>
        <v>厚生労働省</v>
      </c>
      <c r="C43" s="38" t="str">
        <f>'法人一覧(26)'!C43</f>
        <v>国立重度知的障害者総合施設のぞみの園</v>
      </c>
      <c r="D43" s="86" t="s">
        <v>415</v>
      </c>
      <c r="E43" s="86" t="s">
        <v>415</v>
      </c>
      <c r="F43" s="86" t="s">
        <v>415</v>
      </c>
    </row>
    <row r="44" spans="1:6">
      <c r="A44" s="26">
        <f>'法人一覧(26)'!A44</f>
        <v>41</v>
      </c>
      <c r="B44" s="38" t="str">
        <f>'法人一覧(26)'!B44</f>
        <v>厚生労働省</v>
      </c>
      <c r="C44" s="38" t="str">
        <f>'法人一覧(26)'!C44</f>
        <v>労働政策研究・研修機構</v>
      </c>
      <c r="D44" s="86" t="s">
        <v>415</v>
      </c>
      <c r="E44" s="86" t="s">
        <v>415</v>
      </c>
      <c r="F44" s="86" t="s">
        <v>415</v>
      </c>
    </row>
    <row r="45" spans="1:6">
      <c r="A45" s="26">
        <f>'法人一覧(26)'!A45</f>
        <v>42</v>
      </c>
      <c r="B45" s="38" t="str">
        <f>'法人一覧(26)'!B45</f>
        <v>厚生労働省</v>
      </c>
      <c r="C45" s="38" t="str">
        <f>'法人一覧(26)'!C45</f>
        <v>労働者健康福祉機構</v>
      </c>
      <c r="D45" s="86" t="s">
        <v>415</v>
      </c>
      <c r="E45" s="86" t="s">
        <v>415</v>
      </c>
      <c r="F45" s="60">
        <v>1</v>
      </c>
    </row>
    <row r="46" spans="1:6">
      <c r="A46" s="26">
        <f>'法人一覧(26)'!A46</f>
        <v>43</v>
      </c>
      <c r="B46" s="38" t="str">
        <f>'法人一覧(26)'!B46</f>
        <v>厚生労働省</v>
      </c>
      <c r="C46" s="38" t="str">
        <f>'法人一覧(26)'!C46</f>
        <v>国立病院機構</v>
      </c>
      <c r="D46" s="86" t="s">
        <v>415</v>
      </c>
      <c r="E46" s="86" t="s">
        <v>415</v>
      </c>
      <c r="F46" s="60">
        <v>1</v>
      </c>
    </row>
    <row r="47" spans="1:6">
      <c r="A47" s="26">
        <f>'法人一覧(26)'!A47</f>
        <v>44</v>
      </c>
      <c r="B47" s="38" t="str">
        <f>'法人一覧(26)'!B47</f>
        <v>厚生労働省</v>
      </c>
      <c r="C47" s="38" t="str">
        <f>'法人一覧(26)'!C47</f>
        <v>医薬品医療機器総合機構</v>
      </c>
      <c r="D47" s="86" t="s">
        <v>415</v>
      </c>
      <c r="E47" s="86" t="s">
        <v>415</v>
      </c>
      <c r="F47" s="86" t="s">
        <v>415</v>
      </c>
    </row>
    <row r="48" spans="1:6">
      <c r="A48" s="26">
        <f>'法人一覧(26)'!A48</f>
        <v>45</v>
      </c>
      <c r="B48" s="38" t="str">
        <f>'法人一覧(26)'!B48</f>
        <v>厚生労働省</v>
      </c>
      <c r="C48" s="38" t="str">
        <f>'法人一覧(26)'!C48</f>
        <v>医薬基盤研究所</v>
      </c>
      <c r="D48" s="86" t="s">
        <v>415</v>
      </c>
      <c r="E48" s="86" t="s">
        <v>415</v>
      </c>
      <c r="F48" s="60">
        <v>1</v>
      </c>
    </row>
    <row r="49" spans="1:6">
      <c r="A49" s="26">
        <f>'法人一覧(26)'!A49</f>
        <v>46</v>
      </c>
      <c r="B49" s="38" t="str">
        <f>'法人一覧(26)'!B49</f>
        <v>厚生労働省</v>
      </c>
      <c r="C49" s="38" t="str">
        <f>'法人一覧(26)'!C49</f>
        <v>地域医療機能推進機構</v>
      </c>
      <c r="D49" s="86" t="s">
        <v>415</v>
      </c>
      <c r="E49" s="86" t="s">
        <v>415</v>
      </c>
      <c r="F49" s="88">
        <v>1</v>
      </c>
    </row>
    <row r="50" spans="1:6">
      <c r="A50" s="26">
        <f>'法人一覧(26)'!A50</f>
        <v>47</v>
      </c>
      <c r="B50" s="38" t="str">
        <f>'法人一覧(26)'!B50</f>
        <v>厚生労働省</v>
      </c>
      <c r="C50" s="38" t="str">
        <f>'法人一覧(26)'!C50</f>
        <v>年金積立金管理運用</v>
      </c>
      <c r="D50" s="86" t="s">
        <v>415</v>
      </c>
      <c r="E50" s="86" t="s">
        <v>415</v>
      </c>
      <c r="F50" s="86" t="s">
        <v>415</v>
      </c>
    </row>
    <row r="51" spans="1:6">
      <c r="A51" s="26">
        <f>'法人一覧(26)'!A51</f>
        <v>48</v>
      </c>
      <c r="B51" s="38" t="str">
        <f>'法人一覧(26)'!B51</f>
        <v>厚生労働省</v>
      </c>
      <c r="C51" s="38" t="str">
        <f>'法人一覧(26)'!C51</f>
        <v>国立がん研究センター</v>
      </c>
      <c r="D51" s="86" t="s">
        <v>415</v>
      </c>
      <c r="E51" s="86" t="s">
        <v>415</v>
      </c>
      <c r="F51" s="60">
        <v>2</v>
      </c>
    </row>
    <row r="52" spans="1:6">
      <c r="A52" s="26">
        <f>'法人一覧(26)'!A52</f>
        <v>49</v>
      </c>
      <c r="B52" s="38" t="str">
        <f>'法人一覧(26)'!B52</f>
        <v>厚生労働省</v>
      </c>
      <c r="C52" s="38" t="str">
        <f>'法人一覧(26)'!C52</f>
        <v>国立循環器病研究センター</v>
      </c>
      <c r="D52" s="86" t="s">
        <v>415</v>
      </c>
      <c r="E52" s="86" t="s">
        <v>415</v>
      </c>
      <c r="F52" s="86" t="s">
        <v>415</v>
      </c>
    </row>
    <row r="53" spans="1:6">
      <c r="A53" s="26">
        <f>'法人一覧(26)'!A53</f>
        <v>50</v>
      </c>
      <c r="B53" s="38" t="str">
        <f>'法人一覧(26)'!B53</f>
        <v>厚生労働省</v>
      </c>
      <c r="C53" s="38" t="str">
        <f>'法人一覧(26)'!C53</f>
        <v>国立精神・神経医療研究センター</v>
      </c>
      <c r="D53" s="86" t="s">
        <v>415</v>
      </c>
      <c r="E53" s="86" t="s">
        <v>415</v>
      </c>
      <c r="F53" s="60">
        <v>1</v>
      </c>
    </row>
    <row r="54" spans="1:6">
      <c r="A54" s="26">
        <f>'法人一覧(26)'!A54</f>
        <v>51</v>
      </c>
      <c r="B54" s="38" t="str">
        <f>'法人一覧(26)'!B54</f>
        <v>厚生労働省</v>
      </c>
      <c r="C54" s="38" t="str">
        <f>'法人一覧(26)'!C54</f>
        <v>国立国際医療研究センター</v>
      </c>
      <c r="D54" s="86" t="s">
        <v>415</v>
      </c>
      <c r="E54" s="86" t="s">
        <v>415</v>
      </c>
      <c r="F54" s="86" t="s">
        <v>415</v>
      </c>
    </row>
    <row r="55" spans="1:6">
      <c r="A55" s="26">
        <f>'法人一覧(26)'!A55</f>
        <v>52</v>
      </c>
      <c r="B55" s="38" t="str">
        <f>'法人一覧(26)'!B55</f>
        <v>厚生労働省</v>
      </c>
      <c r="C55" s="38" t="str">
        <f>'法人一覧(26)'!C55</f>
        <v>国立成育医療研究センター</v>
      </c>
      <c r="D55" s="86" t="s">
        <v>415</v>
      </c>
      <c r="E55" s="86" t="s">
        <v>415</v>
      </c>
      <c r="F55" s="86" t="s">
        <v>415</v>
      </c>
    </row>
    <row r="56" spans="1:6">
      <c r="A56" s="26">
        <f>'法人一覧(26)'!A56</f>
        <v>53</v>
      </c>
      <c r="B56" s="38" t="str">
        <f>'法人一覧(26)'!B56</f>
        <v>厚生労働省</v>
      </c>
      <c r="C56" s="38" t="str">
        <f>'法人一覧(26)'!C56</f>
        <v>国立長寿医療研究センター</v>
      </c>
      <c r="D56" s="86" t="s">
        <v>415</v>
      </c>
      <c r="E56" s="86" t="s">
        <v>415</v>
      </c>
      <c r="F56" s="86" t="s">
        <v>415</v>
      </c>
    </row>
    <row r="57" spans="1:6">
      <c r="A57" s="26">
        <f>'法人一覧(26)'!A57</f>
        <v>54</v>
      </c>
      <c r="B57" s="38" t="str">
        <f>'法人一覧(26)'!B57</f>
        <v>農林水産省</v>
      </c>
      <c r="C57" s="38" t="str">
        <f>'法人一覧(26)'!C57</f>
        <v>農林水産消費安全技術センター</v>
      </c>
      <c r="D57" s="86" t="s">
        <v>415</v>
      </c>
      <c r="E57" s="86" t="s">
        <v>415</v>
      </c>
      <c r="F57" s="86" t="s">
        <v>415</v>
      </c>
    </row>
    <row r="58" spans="1:6">
      <c r="A58" s="26">
        <f>'法人一覧(26)'!A58</f>
        <v>55</v>
      </c>
      <c r="B58" s="38" t="str">
        <f>'法人一覧(26)'!B58</f>
        <v>農林水産省</v>
      </c>
      <c r="C58" s="38" t="str">
        <f>'法人一覧(26)'!C58</f>
        <v>種苗管理センター</v>
      </c>
      <c r="D58" s="86" t="s">
        <v>415</v>
      </c>
      <c r="E58" s="86" t="s">
        <v>415</v>
      </c>
      <c r="F58" s="86" t="s">
        <v>415</v>
      </c>
    </row>
    <row r="59" spans="1:6">
      <c r="A59" s="26">
        <f>'法人一覧(26)'!A59</f>
        <v>56</v>
      </c>
      <c r="B59" s="38" t="str">
        <f>'法人一覧(26)'!B59</f>
        <v>農林水産省</v>
      </c>
      <c r="C59" s="38" t="str">
        <f>'法人一覧(26)'!C59</f>
        <v>家畜改良センター</v>
      </c>
      <c r="D59" s="86" t="s">
        <v>415</v>
      </c>
      <c r="E59" s="86" t="s">
        <v>415</v>
      </c>
      <c r="F59" s="86" t="s">
        <v>415</v>
      </c>
    </row>
    <row r="60" spans="1:6">
      <c r="A60" s="26">
        <f>'法人一覧(26)'!A60</f>
        <v>57</v>
      </c>
      <c r="B60" s="38" t="str">
        <f>'法人一覧(26)'!B60</f>
        <v>農林水産省</v>
      </c>
      <c r="C60" s="38" t="str">
        <f>'法人一覧(26)'!C60</f>
        <v>水産大学校</v>
      </c>
      <c r="D60" s="86" t="s">
        <v>415</v>
      </c>
      <c r="E60" s="86" t="s">
        <v>415</v>
      </c>
      <c r="F60" s="86" t="s">
        <v>415</v>
      </c>
    </row>
    <row r="61" spans="1:6">
      <c r="A61" s="26">
        <f>'法人一覧(26)'!A61</f>
        <v>58</v>
      </c>
      <c r="B61" s="38" t="str">
        <f>'法人一覧(26)'!B61</f>
        <v>農林水産省</v>
      </c>
      <c r="C61" s="38" t="str">
        <f>'法人一覧(26)'!C61</f>
        <v>農業・食品産業技術総合研究機構</v>
      </c>
      <c r="D61" s="64">
        <v>1</v>
      </c>
      <c r="E61" s="86" t="s">
        <v>415</v>
      </c>
      <c r="F61" s="86" t="s">
        <v>415</v>
      </c>
    </row>
    <row r="62" spans="1:6">
      <c r="A62" s="26">
        <f>'法人一覧(26)'!A62</f>
        <v>59</v>
      </c>
      <c r="B62" s="38" t="str">
        <f>'法人一覧(26)'!B62</f>
        <v>農林水産省</v>
      </c>
      <c r="C62" s="38" t="str">
        <f>'法人一覧(26)'!C62</f>
        <v>農業生物資源研究所</v>
      </c>
      <c r="D62" s="86" t="s">
        <v>415</v>
      </c>
      <c r="E62" s="86" t="s">
        <v>415</v>
      </c>
      <c r="F62" s="86" t="s">
        <v>415</v>
      </c>
    </row>
    <row r="63" spans="1:6">
      <c r="A63" s="26">
        <f>'法人一覧(26)'!A63</f>
        <v>60</v>
      </c>
      <c r="B63" s="38" t="str">
        <f>'法人一覧(26)'!B63</f>
        <v>農林水産省</v>
      </c>
      <c r="C63" s="38" t="str">
        <f>'法人一覧(26)'!C63</f>
        <v>農業環境技術研究所</v>
      </c>
      <c r="D63" s="86" t="s">
        <v>415</v>
      </c>
      <c r="E63" s="86" t="s">
        <v>415</v>
      </c>
      <c r="F63" s="86" t="s">
        <v>415</v>
      </c>
    </row>
    <row r="64" spans="1:6">
      <c r="A64" s="26">
        <f>'法人一覧(26)'!A64</f>
        <v>61</v>
      </c>
      <c r="B64" s="38" t="str">
        <f>'法人一覧(26)'!B64</f>
        <v>農林水産省</v>
      </c>
      <c r="C64" s="38" t="str">
        <f>'法人一覧(26)'!C64</f>
        <v>国際農林水産業研究センター</v>
      </c>
      <c r="D64" s="86" t="s">
        <v>415</v>
      </c>
      <c r="E64" s="86" t="s">
        <v>415</v>
      </c>
      <c r="F64" s="86" t="s">
        <v>415</v>
      </c>
    </row>
    <row r="65" spans="1:6">
      <c r="A65" s="26">
        <f>'法人一覧(26)'!A65</f>
        <v>62</v>
      </c>
      <c r="B65" s="38" t="str">
        <f>'法人一覧(26)'!B65</f>
        <v>農林水産省</v>
      </c>
      <c r="C65" s="38" t="str">
        <f>'法人一覧(26)'!C65</f>
        <v>森林総合研究所</v>
      </c>
      <c r="D65" s="86" t="s">
        <v>415</v>
      </c>
      <c r="E65" s="86" t="s">
        <v>415</v>
      </c>
      <c r="F65" s="60">
        <v>1</v>
      </c>
    </row>
    <row r="66" spans="1:6">
      <c r="A66" s="26">
        <f>'法人一覧(26)'!A66</f>
        <v>63</v>
      </c>
      <c r="B66" s="38" t="str">
        <f>'法人一覧(26)'!B66</f>
        <v>農林水産省</v>
      </c>
      <c r="C66" s="38" t="str">
        <f>'法人一覧(26)'!C66</f>
        <v>水産総合研究センター</v>
      </c>
      <c r="D66" s="86" t="s">
        <v>415</v>
      </c>
      <c r="E66" s="86" t="s">
        <v>415</v>
      </c>
      <c r="F66" s="60">
        <v>1</v>
      </c>
    </row>
    <row r="67" spans="1:6">
      <c r="A67" s="26">
        <f>'法人一覧(26)'!A67</f>
        <v>64</v>
      </c>
      <c r="B67" s="38" t="str">
        <f>'法人一覧(26)'!B67</f>
        <v>農林水産省</v>
      </c>
      <c r="C67" s="38" t="str">
        <f>'法人一覧(26)'!C67</f>
        <v>農畜産業振興機構</v>
      </c>
      <c r="D67" s="86" t="s">
        <v>415</v>
      </c>
      <c r="E67" s="50">
        <v>19</v>
      </c>
      <c r="F67" s="50">
        <v>6</v>
      </c>
    </row>
    <row r="68" spans="1:6">
      <c r="A68" s="26">
        <f>'法人一覧(26)'!A68</f>
        <v>65</v>
      </c>
      <c r="B68" s="38" t="str">
        <f>'法人一覧(26)'!B68</f>
        <v>農林水産省</v>
      </c>
      <c r="C68" s="38" t="str">
        <f>'法人一覧(26)'!C68</f>
        <v>農業者年金基金</v>
      </c>
      <c r="D68" s="86" t="s">
        <v>415</v>
      </c>
      <c r="E68" s="86" t="s">
        <v>415</v>
      </c>
      <c r="F68" s="86" t="s">
        <v>415</v>
      </c>
    </row>
    <row r="69" spans="1:6">
      <c r="A69" s="26">
        <f>'法人一覧(26)'!A69</f>
        <v>66</v>
      </c>
      <c r="B69" s="38" t="str">
        <f>'法人一覧(26)'!B69</f>
        <v>農林水産省</v>
      </c>
      <c r="C69" s="38" t="str">
        <f>'法人一覧(26)'!C69</f>
        <v>農林漁業信用基金</v>
      </c>
      <c r="D69" s="86" t="s">
        <v>415</v>
      </c>
      <c r="E69" s="86" t="s">
        <v>415</v>
      </c>
      <c r="F69" s="86" t="s">
        <v>415</v>
      </c>
    </row>
    <row r="70" spans="1:6">
      <c r="A70" s="26">
        <f>'法人一覧(26)'!A70</f>
        <v>67</v>
      </c>
      <c r="B70" s="38" t="str">
        <f>'法人一覧(26)'!B70</f>
        <v>経済産業省</v>
      </c>
      <c r="C70" s="38" t="str">
        <f>'法人一覧(26)'!C70</f>
        <v>経済産業研究所</v>
      </c>
      <c r="D70" s="86" t="s">
        <v>415</v>
      </c>
      <c r="E70" s="86" t="s">
        <v>415</v>
      </c>
      <c r="F70" s="86" t="s">
        <v>415</v>
      </c>
    </row>
    <row r="71" spans="1:6">
      <c r="A71" s="26">
        <f>'法人一覧(26)'!A71</f>
        <v>68</v>
      </c>
      <c r="B71" s="38" t="str">
        <f>'法人一覧(26)'!B71</f>
        <v>経済産業省</v>
      </c>
      <c r="C71" s="38" t="str">
        <f>'法人一覧(26)'!C71</f>
        <v>工業所有権情報・研修館</v>
      </c>
      <c r="D71" s="86" t="s">
        <v>415</v>
      </c>
      <c r="E71" s="86" t="s">
        <v>415</v>
      </c>
      <c r="F71" s="56">
        <v>1</v>
      </c>
    </row>
    <row r="72" spans="1:6">
      <c r="A72" s="26">
        <f>'法人一覧(26)'!A72</f>
        <v>69</v>
      </c>
      <c r="B72" s="38" t="str">
        <f>'法人一覧(26)'!B72</f>
        <v>経済産業省</v>
      </c>
      <c r="C72" s="38" t="str">
        <f>'法人一覧(26)'!C72</f>
        <v>日本貿易保険</v>
      </c>
      <c r="D72" s="86" t="s">
        <v>415</v>
      </c>
      <c r="E72" s="86" t="s">
        <v>415</v>
      </c>
      <c r="F72" s="86" t="s">
        <v>415</v>
      </c>
    </row>
    <row r="73" spans="1:6">
      <c r="A73" s="26">
        <f>'法人一覧(26)'!A73</f>
        <v>70</v>
      </c>
      <c r="B73" s="38" t="str">
        <f>'法人一覧(26)'!B73</f>
        <v>経済産業省</v>
      </c>
      <c r="C73" s="38" t="str">
        <f>'法人一覧(26)'!C73</f>
        <v>産業技術総合研究所</v>
      </c>
      <c r="D73" s="86" t="s">
        <v>415</v>
      </c>
      <c r="E73" s="86" t="s">
        <v>415</v>
      </c>
      <c r="F73" s="86" t="s">
        <v>415</v>
      </c>
    </row>
    <row r="74" spans="1:6">
      <c r="A74" s="26">
        <f>'法人一覧(26)'!A74</f>
        <v>71</v>
      </c>
      <c r="B74" s="38" t="str">
        <f>'法人一覧(26)'!B74</f>
        <v>経済産業省</v>
      </c>
      <c r="C74" s="38" t="str">
        <f>'法人一覧(26)'!C74</f>
        <v>製品評価技術基盤機構</v>
      </c>
      <c r="D74" s="86" t="s">
        <v>415</v>
      </c>
      <c r="E74" s="86" t="s">
        <v>415</v>
      </c>
      <c r="F74" s="86" t="s">
        <v>415</v>
      </c>
    </row>
    <row r="75" spans="1:6">
      <c r="A75" s="26">
        <f>'法人一覧(26)'!A75</f>
        <v>72</v>
      </c>
      <c r="B75" s="38" t="str">
        <f>'法人一覧(26)'!B75</f>
        <v>経済産業省</v>
      </c>
      <c r="C75" s="38" t="str">
        <f>'法人一覧(26)'!C75</f>
        <v>新エネルギー・産業技術総合開発機構</v>
      </c>
      <c r="D75" s="86" t="s">
        <v>415</v>
      </c>
      <c r="E75" s="86" t="s">
        <v>415</v>
      </c>
      <c r="F75" s="60">
        <v>23</v>
      </c>
    </row>
    <row r="76" spans="1:6">
      <c r="A76" s="26">
        <f>'法人一覧(26)'!A76</f>
        <v>73</v>
      </c>
      <c r="B76" s="38" t="str">
        <f>'法人一覧(26)'!B76</f>
        <v>経済産業省</v>
      </c>
      <c r="C76" s="38" t="str">
        <f>'法人一覧(26)'!C76</f>
        <v>日本貿易振興機構</v>
      </c>
      <c r="D76" s="86" t="s">
        <v>415</v>
      </c>
      <c r="E76" s="86" t="s">
        <v>415</v>
      </c>
      <c r="F76" s="60">
        <v>1</v>
      </c>
    </row>
    <row r="77" spans="1:6">
      <c r="A77" s="26">
        <f>'法人一覧(26)'!A77</f>
        <v>74</v>
      </c>
      <c r="B77" s="38" t="str">
        <f>'法人一覧(26)'!B77</f>
        <v>経済産業省</v>
      </c>
      <c r="C77" s="38" t="str">
        <f>'法人一覧(26)'!C77</f>
        <v>情報処理推進機構</v>
      </c>
      <c r="D77" s="60">
        <v>12</v>
      </c>
      <c r="E77" s="86" t="s">
        <v>415</v>
      </c>
      <c r="F77" s="86" t="s">
        <v>415</v>
      </c>
    </row>
    <row r="78" spans="1:6">
      <c r="A78" s="26">
        <f>'法人一覧(26)'!A78</f>
        <v>75</v>
      </c>
      <c r="B78" s="38" t="str">
        <f>'法人一覧(26)'!B78</f>
        <v>経済産業省</v>
      </c>
      <c r="C78" s="38" t="str">
        <f>'法人一覧(26)'!C78</f>
        <v>石油天然ガス・金属鉱物資源機構</v>
      </c>
      <c r="D78" s="64">
        <v>4</v>
      </c>
      <c r="E78" s="64">
        <v>52</v>
      </c>
      <c r="F78" s="64">
        <v>3</v>
      </c>
    </row>
    <row r="79" spans="1:6">
      <c r="A79" s="26">
        <f>'法人一覧(26)'!A79</f>
        <v>76</v>
      </c>
      <c r="B79" s="38" t="str">
        <f>'法人一覧(26)'!B79</f>
        <v>経済産業省</v>
      </c>
      <c r="C79" s="38" t="str">
        <f>'法人一覧(26)'!C79</f>
        <v>中小企業基盤整備機構</v>
      </c>
      <c r="D79" s="64">
        <v>3</v>
      </c>
      <c r="E79" s="64">
        <v>75</v>
      </c>
      <c r="F79" s="64">
        <v>1</v>
      </c>
    </row>
    <row r="80" spans="1:6">
      <c r="A80" s="26">
        <f>'法人一覧(26)'!A80</f>
        <v>77</v>
      </c>
      <c r="B80" s="38" t="str">
        <f>'法人一覧(26)'!B80</f>
        <v>国土交通省</v>
      </c>
      <c r="C80" s="38" t="str">
        <f>'法人一覧(26)'!C80</f>
        <v>土木研究所</v>
      </c>
      <c r="D80" s="86" t="s">
        <v>415</v>
      </c>
      <c r="E80" s="86" t="s">
        <v>415</v>
      </c>
      <c r="F80" s="86" t="s">
        <v>415</v>
      </c>
    </row>
    <row r="81" spans="1:6">
      <c r="A81" s="26">
        <f>'法人一覧(26)'!A81</f>
        <v>78</v>
      </c>
      <c r="B81" s="38" t="str">
        <f>'法人一覧(26)'!B81</f>
        <v>国土交通省</v>
      </c>
      <c r="C81" s="38" t="str">
        <f>'法人一覧(26)'!C81</f>
        <v>建築研究所</v>
      </c>
      <c r="D81" s="86" t="s">
        <v>415</v>
      </c>
      <c r="E81" s="86" t="s">
        <v>415</v>
      </c>
      <c r="F81" s="86" t="s">
        <v>415</v>
      </c>
    </row>
    <row r="82" spans="1:6">
      <c r="A82" s="26">
        <f>'法人一覧(26)'!A82</f>
        <v>79</v>
      </c>
      <c r="B82" s="38" t="str">
        <f>'法人一覧(26)'!B82</f>
        <v>国土交通省</v>
      </c>
      <c r="C82" s="38" t="str">
        <f>'法人一覧(26)'!C82</f>
        <v>交通安全環境研究所</v>
      </c>
      <c r="D82" s="86" t="s">
        <v>415</v>
      </c>
      <c r="E82" s="86" t="s">
        <v>415</v>
      </c>
      <c r="F82" s="86" t="s">
        <v>415</v>
      </c>
    </row>
    <row r="83" spans="1:6">
      <c r="A83" s="26">
        <f>'法人一覧(26)'!A83</f>
        <v>80</v>
      </c>
      <c r="B83" s="38" t="str">
        <f>'法人一覧(26)'!B83</f>
        <v>国土交通省</v>
      </c>
      <c r="C83" s="38" t="str">
        <f>'法人一覧(26)'!C83</f>
        <v>海上技術安全研究所</v>
      </c>
      <c r="D83" s="86" t="s">
        <v>415</v>
      </c>
      <c r="E83" s="86" t="s">
        <v>415</v>
      </c>
      <c r="F83" s="86" t="s">
        <v>415</v>
      </c>
    </row>
    <row r="84" spans="1:6">
      <c r="A84" s="26">
        <f>'法人一覧(26)'!A84</f>
        <v>81</v>
      </c>
      <c r="B84" s="38" t="str">
        <f>'法人一覧(26)'!B84</f>
        <v>国土交通省</v>
      </c>
      <c r="C84" s="38" t="str">
        <f>'法人一覧(26)'!C84</f>
        <v>港湾空港技術研究所</v>
      </c>
      <c r="D84" s="86" t="s">
        <v>415</v>
      </c>
      <c r="E84" s="86" t="s">
        <v>415</v>
      </c>
      <c r="F84" s="86" t="s">
        <v>415</v>
      </c>
    </row>
    <row r="85" spans="1:6">
      <c r="A85" s="26">
        <f>'法人一覧(26)'!A85</f>
        <v>82</v>
      </c>
      <c r="B85" s="38" t="str">
        <f>'法人一覧(26)'!B85</f>
        <v>国土交通省</v>
      </c>
      <c r="C85" s="38" t="str">
        <f>'法人一覧(26)'!C85</f>
        <v>電子航法研究所</v>
      </c>
      <c r="D85" s="86" t="s">
        <v>415</v>
      </c>
      <c r="E85" s="86" t="s">
        <v>415</v>
      </c>
      <c r="F85" s="86" t="s">
        <v>415</v>
      </c>
    </row>
    <row r="86" spans="1:6">
      <c r="A86" s="26">
        <f>'法人一覧(26)'!A86</f>
        <v>83</v>
      </c>
      <c r="B86" s="38" t="str">
        <f>'法人一覧(26)'!B86</f>
        <v>国土交通省</v>
      </c>
      <c r="C86" s="38" t="str">
        <f>'法人一覧(26)'!C86</f>
        <v>航海訓練所</v>
      </c>
      <c r="D86" s="86" t="s">
        <v>415</v>
      </c>
      <c r="E86" s="86" t="s">
        <v>415</v>
      </c>
      <c r="F86" s="86" t="s">
        <v>415</v>
      </c>
    </row>
    <row r="87" spans="1:6">
      <c r="A87" s="26">
        <f>'法人一覧(26)'!A87</f>
        <v>84</v>
      </c>
      <c r="B87" s="38" t="str">
        <f>'法人一覧(26)'!B87</f>
        <v>国土交通省</v>
      </c>
      <c r="C87" s="38" t="str">
        <f>'法人一覧(26)'!C87</f>
        <v>海技教育機構</v>
      </c>
      <c r="D87" s="86" t="s">
        <v>415</v>
      </c>
      <c r="E87" s="86" t="s">
        <v>415</v>
      </c>
      <c r="F87" s="86" t="s">
        <v>415</v>
      </c>
    </row>
    <row r="88" spans="1:6">
      <c r="A88" s="26">
        <f>'法人一覧(26)'!A88</f>
        <v>85</v>
      </c>
      <c r="B88" s="38" t="str">
        <f>'法人一覧(26)'!B88</f>
        <v>国土交通省</v>
      </c>
      <c r="C88" s="38" t="str">
        <f>'法人一覧(26)'!C88</f>
        <v>航空大学校</v>
      </c>
      <c r="D88" s="86" t="s">
        <v>415</v>
      </c>
      <c r="E88" s="86" t="s">
        <v>415</v>
      </c>
      <c r="F88" s="86" t="s">
        <v>415</v>
      </c>
    </row>
    <row r="89" spans="1:6">
      <c r="A89" s="26">
        <f>'法人一覧(26)'!A89</f>
        <v>86</v>
      </c>
      <c r="B89" s="38" t="str">
        <f>'法人一覧(26)'!B89</f>
        <v>国土交通省</v>
      </c>
      <c r="C89" s="38" t="str">
        <f>'法人一覧(26)'!C89</f>
        <v>自動車検査</v>
      </c>
      <c r="D89" s="86" t="s">
        <v>415</v>
      </c>
      <c r="E89" s="86" t="s">
        <v>415</v>
      </c>
      <c r="F89" s="86" t="s">
        <v>415</v>
      </c>
    </row>
    <row r="90" spans="1:6">
      <c r="A90" s="26">
        <f>'法人一覧(26)'!A90</f>
        <v>87</v>
      </c>
      <c r="B90" s="38" t="str">
        <f>'法人一覧(26)'!B90</f>
        <v>国土交通省</v>
      </c>
      <c r="C90" s="38" t="str">
        <f>'法人一覧(26)'!C90</f>
        <v>鉄道建設・運輸施設整備支援機構</v>
      </c>
      <c r="D90" s="86" t="s">
        <v>415</v>
      </c>
      <c r="E90" s="86" t="s">
        <v>415</v>
      </c>
      <c r="F90" s="86" t="s">
        <v>415</v>
      </c>
    </row>
    <row r="91" spans="1:6">
      <c r="A91" s="26">
        <f>'法人一覧(26)'!A91</f>
        <v>88</v>
      </c>
      <c r="B91" s="38" t="str">
        <f>'法人一覧(26)'!B91</f>
        <v>国土交通省</v>
      </c>
      <c r="C91" s="38" t="str">
        <f>'法人一覧(26)'!C91</f>
        <v>国際観光振興機構</v>
      </c>
      <c r="D91" s="86" t="s">
        <v>415</v>
      </c>
      <c r="E91" s="86" t="s">
        <v>415</v>
      </c>
      <c r="F91" s="86" t="s">
        <v>415</v>
      </c>
    </row>
    <row r="92" spans="1:6">
      <c r="A92" s="26">
        <f>'法人一覧(26)'!A92</f>
        <v>89</v>
      </c>
      <c r="B92" s="38" t="str">
        <f>'法人一覧(26)'!B92</f>
        <v>国土交通省</v>
      </c>
      <c r="C92" s="38" t="str">
        <f>'法人一覧(26)'!C92</f>
        <v>水資源機構</v>
      </c>
      <c r="D92" s="86" t="s">
        <v>415</v>
      </c>
      <c r="E92" s="86" t="s">
        <v>415</v>
      </c>
      <c r="F92" s="26">
        <v>1</v>
      </c>
    </row>
    <row r="93" spans="1:6">
      <c r="A93" s="26">
        <f>'法人一覧(26)'!A93</f>
        <v>90</v>
      </c>
      <c r="B93" s="38" t="str">
        <f>'法人一覧(26)'!B93</f>
        <v>国土交通省</v>
      </c>
      <c r="C93" s="38" t="str">
        <f>'法人一覧(26)'!C93</f>
        <v>自動車事故対策機構</v>
      </c>
      <c r="D93" s="86" t="s">
        <v>415</v>
      </c>
      <c r="E93" s="86" t="s">
        <v>415</v>
      </c>
      <c r="F93" s="86" t="s">
        <v>415</v>
      </c>
    </row>
    <row r="94" spans="1:6">
      <c r="A94" s="26">
        <f>'法人一覧(26)'!A94</f>
        <v>91</v>
      </c>
      <c r="B94" s="38" t="str">
        <f>'法人一覧(26)'!B94</f>
        <v>国土交通省</v>
      </c>
      <c r="C94" s="38" t="str">
        <f>'法人一覧(26)'!C94</f>
        <v>空港周辺整備機構</v>
      </c>
      <c r="D94" s="86" t="s">
        <v>415</v>
      </c>
      <c r="E94" s="86" t="s">
        <v>415</v>
      </c>
      <c r="F94" s="86" t="s">
        <v>415</v>
      </c>
    </row>
    <row r="95" spans="1:6">
      <c r="A95" s="26">
        <f>'法人一覧(26)'!A95</f>
        <v>92</v>
      </c>
      <c r="B95" s="38" t="str">
        <f>'法人一覧(26)'!B95</f>
        <v>国土交通省</v>
      </c>
      <c r="C95" s="38" t="str">
        <f>'法人一覧(26)'!C95</f>
        <v>都市再生機構</v>
      </c>
      <c r="D95" s="26">
        <v>11</v>
      </c>
      <c r="E95" s="26">
        <v>10</v>
      </c>
      <c r="F95" s="26">
        <v>5</v>
      </c>
    </row>
    <row r="96" spans="1:6">
      <c r="A96" s="26">
        <f>'法人一覧(26)'!A96</f>
        <v>93</v>
      </c>
      <c r="B96" s="38" t="str">
        <f>'法人一覧(26)'!B96</f>
        <v>国土交通省</v>
      </c>
      <c r="C96" s="38" t="str">
        <f>'法人一覧(26)'!C96</f>
        <v>奄美群島振興開発基金</v>
      </c>
      <c r="D96" s="86" t="s">
        <v>415</v>
      </c>
      <c r="E96" s="86" t="s">
        <v>415</v>
      </c>
      <c r="F96" s="86" t="s">
        <v>415</v>
      </c>
    </row>
    <row r="97" spans="1:6">
      <c r="A97" s="26">
        <f>'法人一覧(26)'!A97</f>
        <v>94</v>
      </c>
      <c r="B97" s="38" t="str">
        <f>'法人一覧(26)'!B97</f>
        <v>国土交通省</v>
      </c>
      <c r="C97" s="38" t="str">
        <f>'法人一覧(26)'!C97</f>
        <v>日本高速道路保有・債務返済機構</v>
      </c>
      <c r="D97" s="86" t="s">
        <v>415</v>
      </c>
      <c r="E97" s="86" t="s">
        <v>415</v>
      </c>
      <c r="F97" s="86" t="s">
        <v>415</v>
      </c>
    </row>
    <row r="98" spans="1:6">
      <c r="A98" s="26">
        <f>'法人一覧(26)'!A98</f>
        <v>95</v>
      </c>
      <c r="B98" s="38" t="str">
        <f>'法人一覧(26)'!B98</f>
        <v>国土交通省</v>
      </c>
      <c r="C98" s="38" t="str">
        <f>'法人一覧(26)'!C98</f>
        <v>住宅金融支援機構</v>
      </c>
      <c r="D98" s="86" t="s">
        <v>415</v>
      </c>
      <c r="E98" s="86" t="s">
        <v>415</v>
      </c>
      <c r="F98" s="86" t="s">
        <v>415</v>
      </c>
    </row>
    <row r="99" spans="1:6">
      <c r="A99" s="26">
        <f>'法人一覧(26)'!A99</f>
        <v>96</v>
      </c>
      <c r="B99" s="38" t="str">
        <f>'法人一覧(26)'!B99</f>
        <v>環境省</v>
      </c>
      <c r="C99" s="38" t="str">
        <f>'法人一覧(26)'!C99</f>
        <v>国立環境研究所</v>
      </c>
      <c r="D99" s="86" t="s">
        <v>415</v>
      </c>
      <c r="E99" s="86" t="s">
        <v>415</v>
      </c>
      <c r="F99" s="62">
        <v>2</v>
      </c>
    </row>
    <row r="100" spans="1:6">
      <c r="A100" s="26">
        <f>'法人一覧(26)'!A100</f>
        <v>97</v>
      </c>
      <c r="B100" s="38" t="str">
        <f>'法人一覧(26)'!B100</f>
        <v>環境省</v>
      </c>
      <c r="C100" s="38" t="str">
        <f>'法人一覧(26)'!C100</f>
        <v>環境再生保全機構</v>
      </c>
      <c r="D100" s="86" t="s">
        <v>415</v>
      </c>
      <c r="E100" s="86" t="s">
        <v>415</v>
      </c>
      <c r="F100" s="86" t="s">
        <v>415</v>
      </c>
    </row>
    <row r="101" spans="1:6" ht="13.8" thickBot="1">
      <c r="A101" s="116">
        <f>'法人一覧(26)'!A101</f>
        <v>98</v>
      </c>
      <c r="B101" s="117" t="str">
        <f>'法人一覧(26)'!B101</f>
        <v>防衛省</v>
      </c>
      <c r="C101" s="117" t="str">
        <f>'法人一覧(26)'!C101</f>
        <v>駐留軍等労働者労務管理機構</v>
      </c>
      <c r="D101" s="116" t="s">
        <v>415</v>
      </c>
      <c r="E101" s="116" t="s">
        <v>415</v>
      </c>
      <c r="F101" s="116" t="s">
        <v>415</v>
      </c>
    </row>
    <row r="102" spans="1:6" s="37" customFormat="1" ht="17.399999999999999" customHeight="1" thickTop="1">
      <c r="A102" s="194" t="s">
        <v>584</v>
      </c>
      <c r="B102" s="187"/>
      <c r="C102" s="170"/>
      <c r="D102" s="114">
        <f t="shared" ref="D102:E102" si="0">SUM(D4:D101)</f>
        <v>31</v>
      </c>
      <c r="E102" s="114">
        <f t="shared" si="0"/>
        <v>166</v>
      </c>
      <c r="F102" s="114">
        <f>SUM(F4:F101)</f>
        <v>100</v>
      </c>
    </row>
    <row r="104" spans="1:6">
      <c r="B104" s="197" t="s">
        <v>670</v>
      </c>
      <c r="C104" s="197"/>
      <c r="D104" s="197"/>
      <c r="E104" s="197"/>
      <c r="F104" s="197"/>
    </row>
    <row r="105" spans="1:6" ht="35.4" customHeight="1">
      <c r="B105" s="197"/>
      <c r="C105" s="197"/>
      <c r="D105" s="197"/>
      <c r="E105" s="197"/>
      <c r="F105" s="197"/>
    </row>
  </sheetData>
  <mergeCells count="6">
    <mergeCell ref="B104:F105"/>
    <mergeCell ref="A2:A3"/>
    <mergeCell ref="B2:B3"/>
    <mergeCell ref="C2:C3"/>
    <mergeCell ref="D2:F2"/>
    <mergeCell ref="A102:C102"/>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zoomScale="80" zoomScaleNormal="80" workbookViewId="0">
      <pane xSplit="3" ySplit="3" topLeftCell="D88" activePane="bottomRight" state="frozen"/>
      <selection activeCell="B2" sqref="B2:B3"/>
      <selection pane="topRight" activeCell="B2" sqref="B2:B3"/>
      <selection pane="bottomLeft" activeCell="B2" sqref="B2:B3"/>
      <selection pane="bottomRight" activeCell="B106" sqref="B106"/>
    </sheetView>
  </sheetViews>
  <sheetFormatPr defaultColWidth="8.88671875" defaultRowHeight="13.2"/>
  <cols>
    <col min="1" max="1" width="3.88671875" style="37" customWidth="1"/>
    <col min="2" max="2" width="15.44140625" style="1" customWidth="1"/>
    <col min="3" max="3" width="44.6640625" style="1" bestFit="1" customWidth="1"/>
    <col min="4" max="4" width="15.44140625" style="1" customWidth="1"/>
    <col min="5" max="6" width="17.88671875" style="1" bestFit="1" customWidth="1"/>
    <col min="7" max="7" width="15.44140625" style="1" customWidth="1"/>
    <col min="8" max="8" width="20.44140625" style="1" bestFit="1" customWidth="1"/>
    <col min="9" max="13" width="15.44140625" style="1" customWidth="1"/>
    <col min="14" max="16384" width="8.88671875" style="1"/>
  </cols>
  <sheetData>
    <row r="1" spans="1:14" ht="19.95" customHeight="1">
      <c r="B1" s="144" t="s">
        <v>635</v>
      </c>
      <c r="M1" s="39" t="s">
        <v>204</v>
      </c>
    </row>
    <row r="2" spans="1:14">
      <c r="A2" s="161" t="s">
        <v>195</v>
      </c>
      <c r="B2" s="161" t="s">
        <v>0</v>
      </c>
      <c r="C2" s="161" t="s">
        <v>1</v>
      </c>
      <c r="D2" s="164" t="s">
        <v>244</v>
      </c>
      <c r="E2" s="165"/>
      <c r="F2" s="165"/>
      <c r="G2" s="165"/>
      <c r="H2" s="165"/>
      <c r="I2" s="165"/>
      <c r="J2" s="165"/>
      <c r="K2" s="165"/>
      <c r="L2" s="166"/>
      <c r="M2" s="161" t="s">
        <v>9</v>
      </c>
      <c r="N2" s="54"/>
    </row>
    <row r="3" spans="1:14">
      <c r="A3" s="162"/>
      <c r="B3" s="162"/>
      <c r="C3" s="162"/>
      <c r="D3" s="26" t="s">
        <v>3</v>
      </c>
      <c r="E3" s="26" t="s">
        <v>245</v>
      </c>
      <c r="F3" s="26" t="s">
        <v>246</v>
      </c>
      <c r="G3" s="26" t="s">
        <v>5</v>
      </c>
      <c r="H3" s="26" t="s">
        <v>243</v>
      </c>
      <c r="I3" s="26" t="s">
        <v>206</v>
      </c>
      <c r="J3" s="26" t="s">
        <v>84</v>
      </c>
      <c r="K3" s="23" t="s">
        <v>7</v>
      </c>
      <c r="L3" s="23" t="s">
        <v>8</v>
      </c>
      <c r="M3" s="162"/>
      <c r="N3" s="54"/>
    </row>
    <row r="4" spans="1:14">
      <c r="A4" s="26">
        <v>1</v>
      </c>
      <c r="B4" s="38" t="s">
        <v>471</v>
      </c>
      <c r="C4" s="38" t="s">
        <v>86</v>
      </c>
      <c r="D4" s="65">
        <v>2249000000</v>
      </c>
      <c r="E4" s="65">
        <v>0</v>
      </c>
      <c r="F4" s="65">
        <v>0</v>
      </c>
      <c r="G4" s="65">
        <v>0</v>
      </c>
      <c r="H4" s="65">
        <f t="shared" ref="H4:H5" si="0">M4-SUM(D4:G4,I4:L4)</f>
        <v>22000000</v>
      </c>
      <c r="I4" s="65">
        <v>0</v>
      </c>
      <c r="J4" s="65">
        <v>0</v>
      </c>
      <c r="K4" s="65">
        <v>0</v>
      </c>
      <c r="L4" s="65">
        <v>0</v>
      </c>
      <c r="M4" s="65">
        <v>2271000000</v>
      </c>
      <c r="N4" s="54"/>
    </row>
    <row r="5" spans="1:14">
      <c r="A5" s="26">
        <v>2</v>
      </c>
      <c r="B5" s="38" t="s">
        <v>471</v>
      </c>
      <c r="C5" s="38" t="s">
        <v>472</v>
      </c>
      <c r="D5" s="65">
        <v>1210000000</v>
      </c>
      <c r="E5" s="65">
        <v>0</v>
      </c>
      <c r="F5" s="65">
        <v>178000000</v>
      </c>
      <c r="G5" s="65">
        <v>72000000</v>
      </c>
      <c r="H5" s="65">
        <f t="shared" si="0"/>
        <v>47000000</v>
      </c>
      <c r="I5" s="65">
        <v>0</v>
      </c>
      <c r="J5" s="65">
        <v>0</v>
      </c>
      <c r="K5" s="65">
        <v>0</v>
      </c>
      <c r="L5" s="65">
        <v>0</v>
      </c>
      <c r="M5" s="65">
        <f>SUM(1282000000,225000000)</f>
        <v>1507000000</v>
      </c>
      <c r="N5" s="54"/>
    </row>
    <row r="6" spans="1:14">
      <c r="A6" s="26">
        <v>3</v>
      </c>
      <c r="B6" s="38" t="s">
        <v>473</v>
      </c>
      <c r="C6" s="38" t="s">
        <v>474</v>
      </c>
      <c r="D6" s="29">
        <v>2851000000</v>
      </c>
      <c r="E6" s="29">
        <v>0</v>
      </c>
      <c r="F6" s="29">
        <v>0</v>
      </c>
      <c r="G6" s="29">
        <v>0</v>
      </c>
      <c r="H6" s="29">
        <f t="shared" ref="H6:H55" si="1">M6-SUM(D6:G6,I6:L6)</f>
        <v>162000000</v>
      </c>
      <c r="I6" s="29">
        <v>0</v>
      </c>
      <c r="J6" s="29">
        <v>0</v>
      </c>
      <c r="K6" s="29">
        <v>0</v>
      </c>
      <c r="L6" s="29">
        <v>0</v>
      </c>
      <c r="M6" s="29">
        <v>3013000000</v>
      </c>
      <c r="N6" s="54"/>
    </row>
    <row r="7" spans="1:14">
      <c r="A7" s="26">
        <v>4</v>
      </c>
      <c r="B7" s="38" t="s">
        <v>90</v>
      </c>
      <c r="C7" s="38" t="s">
        <v>475</v>
      </c>
      <c r="D7" s="65">
        <v>27387000000</v>
      </c>
      <c r="E7" s="65">
        <v>49000000</v>
      </c>
      <c r="F7" s="65">
        <v>404000000</v>
      </c>
      <c r="G7" s="65">
        <v>18726000000</v>
      </c>
      <c r="H7" s="65">
        <f t="shared" si="1"/>
        <v>396000000</v>
      </c>
      <c r="I7" s="65">
        <v>0</v>
      </c>
      <c r="J7" s="65">
        <v>0</v>
      </c>
      <c r="K7" s="65">
        <v>0</v>
      </c>
      <c r="L7" s="65">
        <v>0</v>
      </c>
      <c r="M7" s="65">
        <v>46962000000</v>
      </c>
      <c r="N7" s="54"/>
    </row>
    <row r="8" spans="1:14">
      <c r="A8" s="26">
        <v>5</v>
      </c>
      <c r="B8" s="38" t="s">
        <v>90</v>
      </c>
      <c r="C8" s="38" t="s">
        <v>476</v>
      </c>
      <c r="D8" s="65">
        <v>8095000000</v>
      </c>
      <c r="E8" s="65">
        <v>0</v>
      </c>
      <c r="F8" s="65">
        <v>0</v>
      </c>
      <c r="G8" s="65">
        <f>20000000+1059000000</f>
        <v>1079000000</v>
      </c>
      <c r="H8" s="65">
        <f t="shared" si="1"/>
        <v>4000000</v>
      </c>
      <c r="I8" s="65">
        <v>0</v>
      </c>
      <c r="J8" s="65">
        <v>0</v>
      </c>
      <c r="K8" s="65">
        <v>0</v>
      </c>
      <c r="L8" s="65">
        <v>0</v>
      </c>
      <c r="M8" s="65">
        <v>9178000000</v>
      </c>
      <c r="N8" s="54"/>
    </row>
    <row r="9" spans="1:14">
      <c r="A9" s="26">
        <v>6</v>
      </c>
      <c r="B9" s="38" t="s">
        <v>90</v>
      </c>
      <c r="C9" s="38" t="s">
        <v>477</v>
      </c>
      <c r="D9" s="74">
        <v>0</v>
      </c>
      <c r="E9" s="74">
        <v>0</v>
      </c>
      <c r="F9" s="74">
        <v>0</v>
      </c>
      <c r="G9" s="74">
        <v>0</v>
      </c>
      <c r="H9" s="74">
        <f t="shared" si="1"/>
        <v>11992574000000</v>
      </c>
      <c r="I9" s="74">
        <v>0</v>
      </c>
      <c r="J9" s="74">
        <v>0</v>
      </c>
      <c r="K9" s="74">
        <v>0</v>
      </c>
      <c r="L9" s="74">
        <v>0</v>
      </c>
      <c r="M9" s="68">
        <v>11992574000000</v>
      </c>
      <c r="N9" s="54"/>
    </row>
    <row r="10" spans="1:14">
      <c r="A10" s="26">
        <v>7</v>
      </c>
      <c r="B10" s="38" t="s">
        <v>478</v>
      </c>
      <c r="C10" s="38" t="s">
        <v>479</v>
      </c>
      <c r="D10" s="29">
        <v>146413000000</v>
      </c>
      <c r="E10" s="29">
        <v>613000000</v>
      </c>
      <c r="F10" s="29">
        <v>0</v>
      </c>
      <c r="G10" s="29">
        <v>485000000</v>
      </c>
      <c r="H10" s="29">
        <f t="shared" si="1"/>
        <v>348000000</v>
      </c>
      <c r="I10" s="29">
        <v>0</v>
      </c>
      <c r="J10" s="29">
        <v>0</v>
      </c>
      <c r="K10" s="29">
        <v>0</v>
      </c>
      <c r="L10" s="29">
        <v>0</v>
      </c>
      <c r="M10" s="29">
        <v>147859000000</v>
      </c>
      <c r="N10" s="54"/>
    </row>
    <row r="11" spans="1:14">
      <c r="A11" s="26">
        <v>8</v>
      </c>
      <c r="B11" s="38" t="s">
        <v>478</v>
      </c>
      <c r="C11" s="38" t="s">
        <v>480</v>
      </c>
      <c r="D11" s="29">
        <v>13451000000</v>
      </c>
      <c r="E11" s="29">
        <v>0</v>
      </c>
      <c r="F11" s="29">
        <v>0</v>
      </c>
      <c r="G11" s="29">
        <v>12000000</v>
      </c>
      <c r="H11" s="29">
        <f t="shared" si="1"/>
        <v>2806000000</v>
      </c>
      <c r="I11" s="29">
        <v>0</v>
      </c>
      <c r="J11" s="29">
        <v>0</v>
      </c>
      <c r="K11" s="29">
        <v>0</v>
      </c>
      <c r="L11" s="29">
        <v>0</v>
      </c>
      <c r="M11" s="29">
        <v>16269000000</v>
      </c>
      <c r="N11" s="54"/>
    </row>
    <row r="12" spans="1:14">
      <c r="A12" s="26">
        <v>9</v>
      </c>
      <c r="B12" s="38" t="s">
        <v>481</v>
      </c>
      <c r="C12" s="38" t="s">
        <v>482</v>
      </c>
      <c r="D12" s="29">
        <v>954000000</v>
      </c>
      <c r="E12" s="29">
        <v>0</v>
      </c>
      <c r="F12" s="29">
        <v>0</v>
      </c>
      <c r="G12" s="29">
        <v>33000000</v>
      </c>
      <c r="H12" s="29">
        <f t="shared" si="1"/>
        <v>44000000</v>
      </c>
      <c r="I12" s="29">
        <v>0</v>
      </c>
      <c r="J12" s="29">
        <v>0</v>
      </c>
      <c r="K12" s="29">
        <v>0</v>
      </c>
      <c r="L12" s="29">
        <v>0</v>
      </c>
      <c r="M12" s="29">
        <v>1031000000</v>
      </c>
      <c r="N12" s="54"/>
    </row>
    <row r="13" spans="1:14">
      <c r="A13" s="26">
        <v>10</v>
      </c>
      <c r="B13" s="38" t="s">
        <v>481</v>
      </c>
      <c r="C13" s="38" t="s">
        <v>483</v>
      </c>
      <c r="D13" s="29">
        <v>0</v>
      </c>
      <c r="E13" s="29">
        <v>0</v>
      </c>
      <c r="F13" s="29">
        <v>0</v>
      </c>
      <c r="G13" s="29">
        <v>0</v>
      </c>
      <c r="H13" s="29">
        <f t="shared" si="1"/>
        <v>33434000000</v>
      </c>
      <c r="I13" s="29">
        <v>0</v>
      </c>
      <c r="J13" s="29">
        <v>0</v>
      </c>
      <c r="K13" s="29">
        <v>0</v>
      </c>
      <c r="L13" s="29">
        <v>0</v>
      </c>
      <c r="M13" s="29">
        <v>33434000000</v>
      </c>
      <c r="N13" s="54"/>
    </row>
    <row r="14" spans="1:14">
      <c r="A14" s="26">
        <v>11</v>
      </c>
      <c r="B14" s="38" t="s">
        <v>481</v>
      </c>
      <c r="C14" s="38" t="s">
        <v>484</v>
      </c>
      <c r="D14" s="29">
        <v>0</v>
      </c>
      <c r="E14" s="29">
        <v>0</v>
      </c>
      <c r="F14" s="29">
        <v>0</v>
      </c>
      <c r="G14" s="29">
        <v>0</v>
      </c>
      <c r="H14" s="29">
        <f t="shared" si="1"/>
        <v>78880000000</v>
      </c>
      <c r="I14" s="29">
        <v>0</v>
      </c>
      <c r="J14" s="29">
        <v>0</v>
      </c>
      <c r="K14" s="29">
        <v>0</v>
      </c>
      <c r="L14" s="29">
        <v>0</v>
      </c>
      <c r="M14" s="29">
        <v>78880000000</v>
      </c>
      <c r="N14" s="54"/>
    </row>
    <row r="15" spans="1:14">
      <c r="A15" s="26">
        <v>12</v>
      </c>
      <c r="B15" s="38" t="s">
        <v>485</v>
      </c>
      <c r="C15" s="38" t="s">
        <v>486</v>
      </c>
      <c r="D15" s="52">
        <v>1087076000</v>
      </c>
      <c r="E15" s="52">
        <v>52578000</v>
      </c>
      <c r="F15" s="52">
        <v>0</v>
      </c>
      <c r="G15" s="52">
        <v>0</v>
      </c>
      <c r="H15" s="52">
        <f t="shared" si="1"/>
        <v>4636000</v>
      </c>
      <c r="I15" s="52">
        <v>0</v>
      </c>
      <c r="J15" s="52">
        <v>0</v>
      </c>
      <c r="K15" s="52">
        <v>0</v>
      </c>
      <c r="L15" s="52">
        <v>0</v>
      </c>
      <c r="M15" s="52">
        <v>1144290000</v>
      </c>
      <c r="N15" s="54"/>
    </row>
    <row r="16" spans="1:14">
      <c r="A16" s="26">
        <v>13</v>
      </c>
      <c r="B16" s="38" t="s">
        <v>485</v>
      </c>
      <c r="C16" s="38" t="s">
        <v>103</v>
      </c>
      <c r="D16" s="52">
        <v>0</v>
      </c>
      <c r="E16" s="52">
        <v>0</v>
      </c>
      <c r="F16" s="52">
        <v>90044000</v>
      </c>
      <c r="G16" s="52">
        <v>0</v>
      </c>
      <c r="H16" s="52">
        <f t="shared" si="1"/>
        <v>11157735000</v>
      </c>
      <c r="I16" s="52">
        <v>0</v>
      </c>
      <c r="J16" s="52">
        <v>0</v>
      </c>
      <c r="K16" s="52">
        <v>0</v>
      </c>
      <c r="L16" s="52">
        <v>0</v>
      </c>
      <c r="M16" s="52">
        <v>11247779000</v>
      </c>
      <c r="N16" s="54"/>
    </row>
    <row r="17" spans="1:14">
      <c r="A17" s="26">
        <v>14</v>
      </c>
      <c r="B17" s="38" t="s">
        <v>485</v>
      </c>
      <c r="C17" s="38" t="s">
        <v>487</v>
      </c>
      <c r="D17" s="52">
        <v>9029000000</v>
      </c>
      <c r="E17" s="52">
        <v>0</v>
      </c>
      <c r="F17" s="52">
        <v>0</v>
      </c>
      <c r="G17" s="52">
        <v>0</v>
      </c>
      <c r="H17" s="52">
        <f>M17-SUM(D17:G17,I17:L17)</f>
        <v>1580000000</v>
      </c>
      <c r="I17" s="52">
        <v>0</v>
      </c>
      <c r="J17" s="52">
        <v>0</v>
      </c>
      <c r="K17" s="52">
        <v>0</v>
      </c>
      <c r="L17" s="52">
        <v>0</v>
      </c>
      <c r="M17" s="52">
        <v>10609000000</v>
      </c>
      <c r="N17" s="54"/>
    </row>
    <row r="18" spans="1:14">
      <c r="A18" s="26">
        <v>15</v>
      </c>
      <c r="B18" s="38" t="s">
        <v>485</v>
      </c>
      <c r="C18" s="38" t="s">
        <v>105</v>
      </c>
      <c r="D18" s="52">
        <v>540000000</v>
      </c>
      <c r="E18" s="52">
        <v>144000000</v>
      </c>
      <c r="F18" s="52">
        <v>0</v>
      </c>
      <c r="G18" s="52">
        <v>5000000</v>
      </c>
      <c r="H18" s="52">
        <f t="shared" ref="H18:H19" si="2">M18-SUM(D18:G18,I18:L18)</f>
        <v>129000000</v>
      </c>
      <c r="I18" s="52">
        <v>0</v>
      </c>
      <c r="J18" s="52">
        <v>0</v>
      </c>
      <c r="K18" s="52">
        <v>0</v>
      </c>
      <c r="L18" s="52">
        <v>0</v>
      </c>
      <c r="M18" s="52">
        <v>818000000</v>
      </c>
      <c r="N18" s="54"/>
    </row>
    <row r="19" spans="1:14">
      <c r="A19" s="26">
        <v>16</v>
      </c>
      <c r="B19" s="38" t="s">
        <v>485</v>
      </c>
      <c r="C19" s="38" t="s">
        <v>488</v>
      </c>
      <c r="D19" s="52">
        <v>2765000000</v>
      </c>
      <c r="E19" s="52">
        <v>0</v>
      </c>
      <c r="F19" s="52">
        <v>0</v>
      </c>
      <c r="G19" s="52">
        <v>0</v>
      </c>
      <c r="H19" s="52">
        <f t="shared" si="2"/>
        <v>416000000</v>
      </c>
      <c r="I19" s="52">
        <v>0</v>
      </c>
      <c r="J19" s="52">
        <v>0</v>
      </c>
      <c r="K19" s="52">
        <v>0</v>
      </c>
      <c r="L19" s="52">
        <v>0</v>
      </c>
      <c r="M19" s="52">
        <v>3181000000</v>
      </c>
      <c r="N19" s="54"/>
    </row>
    <row r="20" spans="1:14">
      <c r="A20" s="26">
        <v>17</v>
      </c>
      <c r="B20" s="38" t="s">
        <v>485</v>
      </c>
      <c r="C20" s="38" t="s">
        <v>107</v>
      </c>
      <c r="D20" s="52">
        <v>11918000000</v>
      </c>
      <c r="E20" s="52">
        <v>0</v>
      </c>
      <c r="F20" s="52">
        <v>1448000000</v>
      </c>
      <c r="G20" s="52">
        <v>3028000000</v>
      </c>
      <c r="H20" s="52">
        <f t="shared" si="1"/>
        <v>390000000</v>
      </c>
      <c r="I20" s="52">
        <v>0</v>
      </c>
      <c r="J20" s="52">
        <v>0</v>
      </c>
      <c r="K20" s="52">
        <v>0</v>
      </c>
      <c r="L20" s="52">
        <v>0</v>
      </c>
      <c r="M20" s="52">
        <v>16784000000</v>
      </c>
      <c r="N20" s="54"/>
    </row>
    <row r="21" spans="1:14">
      <c r="A21" s="26">
        <v>18</v>
      </c>
      <c r="B21" s="38" t="s">
        <v>485</v>
      </c>
      <c r="C21" s="38" t="s">
        <v>108</v>
      </c>
      <c r="D21" s="52">
        <v>7020000000</v>
      </c>
      <c r="E21" s="52">
        <v>0</v>
      </c>
      <c r="F21" s="52">
        <v>461000000</v>
      </c>
      <c r="G21" s="52">
        <v>1115000000</v>
      </c>
      <c r="H21" s="52">
        <f t="shared" si="1"/>
        <v>401000000</v>
      </c>
      <c r="I21" s="52">
        <v>0</v>
      </c>
      <c r="J21" s="52">
        <v>0</v>
      </c>
      <c r="K21" s="52">
        <v>0</v>
      </c>
      <c r="L21" s="52">
        <v>0</v>
      </c>
      <c r="M21" s="52">
        <v>8997000000</v>
      </c>
      <c r="N21" s="54"/>
    </row>
    <row r="22" spans="1:14">
      <c r="A22" s="26">
        <v>19</v>
      </c>
      <c r="B22" s="38" t="s">
        <v>485</v>
      </c>
      <c r="C22" s="38" t="s">
        <v>489</v>
      </c>
      <c r="D22" s="52">
        <v>9450000000</v>
      </c>
      <c r="E22" s="52">
        <v>162000000</v>
      </c>
      <c r="F22" s="52">
        <v>0</v>
      </c>
      <c r="G22" s="52">
        <v>0</v>
      </c>
      <c r="H22" s="52">
        <f t="shared" si="1"/>
        <v>2226000000</v>
      </c>
      <c r="I22" s="52">
        <v>0</v>
      </c>
      <c r="J22" s="52">
        <v>0</v>
      </c>
      <c r="K22" s="52">
        <v>0</v>
      </c>
      <c r="L22" s="52">
        <v>0</v>
      </c>
      <c r="M22" s="52">
        <v>11838000000</v>
      </c>
      <c r="N22" s="54"/>
    </row>
    <row r="23" spans="1:14">
      <c r="A23" s="26">
        <v>20</v>
      </c>
      <c r="B23" s="38" t="s">
        <v>485</v>
      </c>
      <c r="C23" s="38" t="s">
        <v>110</v>
      </c>
      <c r="D23" s="52">
        <v>7471000000</v>
      </c>
      <c r="E23" s="52">
        <v>3505000000</v>
      </c>
      <c r="F23" s="52">
        <v>0</v>
      </c>
      <c r="G23" s="52">
        <v>0</v>
      </c>
      <c r="H23" s="52">
        <f t="shared" si="1"/>
        <v>1106000000</v>
      </c>
      <c r="I23" s="52">
        <v>0</v>
      </c>
      <c r="J23" s="52">
        <v>0</v>
      </c>
      <c r="K23" s="52">
        <v>0</v>
      </c>
      <c r="L23" s="52">
        <v>0</v>
      </c>
      <c r="M23" s="52">
        <v>12082000000</v>
      </c>
      <c r="N23" s="54"/>
    </row>
    <row r="24" spans="1:14">
      <c r="A24" s="26">
        <v>21</v>
      </c>
      <c r="B24" s="38" t="s">
        <v>485</v>
      </c>
      <c r="C24" s="38" t="s">
        <v>490</v>
      </c>
      <c r="D24" s="52">
        <v>8441000000</v>
      </c>
      <c r="E24" s="52">
        <v>2920000000</v>
      </c>
      <c r="F24" s="52">
        <v>0</v>
      </c>
      <c r="G24" s="52">
        <v>26000000</v>
      </c>
      <c r="H24" s="52">
        <f t="shared" si="1"/>
        <v>1323000000</v>
      </c>
      <c r="I24" s="52">
        <v>0</v>
      </c>
      <c r="J24" s="52">
        <v>0</v>
      </c>
      <c r="K24" s="52">
        <v>0</v>
      </c>
      <c r="L24" s="52">
        <v>0</v>
      </c>
      <c r="M24" s="52">
        <v>12710000000</v>
      </c>
      <c r="N24" s="54"/>
    </row>
    <row r="25" spans="1:14">
      <c r="A25" s="26">
        <v>22</v>
      </c>
      <c r="B25" s="38" t="s">
        <v>485</v>
      </c>
      <c r="C25" s="38" t="s">
        <v>112</v>
      </c>
      <c r="D25" s="52">
        <v>1005000000</v>
      </c>
      <c r="E25" s="52">
        <v>242000000</v>
      </c>
      <c r="F25" s="52">
        <v>0</v>
      </c>
      <c r="G25" s="52">
        <v>0</v>
      </c>
      <c r="H25" s="52">
        <f t="shared" si="1"/>
        <v>145000000</v>
      </c>
      <c r="I25" s="52">
        <v>0</v>
      </c>
      <c r="J25" s="52">
        <v>0</v>
      </c>
      <c r="K25" s="52">
        <v>0</v>
      </c>
      <c r="L25" s="52">
        <v>0</v>
      </c>
      <c r="M25" s="52">
        <v>1392000000</v>
      </c>
      <c r="N25" s="54"/>
    </row>
    <row r="26" spans="1:14">
      <c r="A26" s="26">
        <v>23</v>
      </c>
      <c r="B26" s="38" t="s">
        <v>485</v>
      </c>
      <c r="C26" s="38" t="s">
        <v>491</v>
      </c>
      <c r="D26" s="52">
        <v>113365000000</v>
      </c>
      <c r="E26" s="52">
        <v>0</v>
      </c>
      <c r="F26" s="52">
        <v>0</v>
      </c>
      <c r="G26" s="52">
        <v>0</v>
      </c>
      <c r="H26" s="52">
        <f t="shared" si="1"/>
        <v>4939000000</v>
      </c>
      <c r="I26" s="52">
        <v>0</v>
      </c>
      <c r="J26" s="52">
        <v>0</v>
      </c>
      <c r="K26" s="52">
        <v>586000000</v>
      </c>
      <c r="L26" s="52">
        <v>0</v>
      </c>
      <c r="M26" s="52">
        <v>118890000000</v>
      </c>
      <c r="N26" s="54"/>
    </row>
    <row r="27" spans="1:14">
      <c r="A27" s="26">
        <v>24</v>
      </c>
      <c r="B27" s="38" t="s">
        <v>485</v>
      </c>
      <c r="C27" s="38" t="s">
        <v>492</v>
      </c>
      <c r="D27" s="52">
        <v>27239000000</v>
      </c>
      <c r="E27" s="52">
        <v>0</v>
      </c>
      <c r="F27" s="52">
        <v>229396000000</v>
      </c>
      <c r="G27" s="52">
        <v>174000000</v>
      </c>
      <c r="H27" s="52">
        <f t="shared" si="1"/>
        <v>428000000</v>
      </c>
      <c r="I27" s="52">
        <v>0</v>
      </c>
      <c r="J27" s="52">
        <v>0</v>
      </c>
      <c r="K27" s="52">
        <v>0</v>
      </c>
      <c r="L27" s="52">
        <v>0</v>
      </c>
      <c r="M27" s="52">
        <v>257237000000</v>
      </c>
      <c r="N27" s="54"/>
    </row>
    <row r="28" spans="1:14">
      <c r="A28" s="26">
        <v>25</v>
      </c>
      <c r="B28" s="38" t="s">
        <v>485</v>
      </c>
      <c r="C28" s="38" t="s">
        <v>493</v>
      </c>
      <c r="D28" s="52">
        <v>51481000000</v>
      </c>
      <c r="E28" s="52">
        <v>104000000</v>
      </c>
      <c r="F28" s="52">
        <v>27014000000</v>
      </c>
      <c r="G28" s="52">
        <v>4955000000</v>
      </c>
      <c r="H28" s="52">
        <f t="shared" si="1"/>
        <v>656000000</v>
      </c>
      <c r="I28" s="52">
        <v>0</v>
      </c>
      <c r="J28" s="52">
        <v>0</v>
      </c>
      <c r="K28" s="52">
        <v>0</v>
      </c>
      <c r="L28" s="52">
        <v>0</v>
      </c>
      <c r="M28" s="52">
        <v>84210000000</v>
      </c>
      <c r="N28" s="54"/>
    </row>
    <row r="29" spans="1:14">
      <c r="A29" s="26">
        <v>26</v>
      </c>
      <c r="B29" s="38" t="s">
        <v>485</v>
      </c>
      <c r="C29" s="38" t="s">
        <v>494</v>
      </c>
      <c r="D29" s="52">
        <v>114472000000</v>
      </c>
      <c r="E29" s="52">
        <v>911000000</v>
      </c>
      <c r="F29" s="52">
        <f>30236000000+8419000000+30000000</f>
        <v>38685000000</v>
      </c>
      <c r="G29" s="52">
        <v>30948000000</v>
      </c>
      <c r="H29" s="52">
        <f t="shared" si="1"/>
        <v>1000000000</v>
      </c>
      <c r="I29" s="52">
        <v>0</v>
      </c>
      <c r="J29" s="52">
        <v>0</v>
      </c>
      <c r="K29" s="52">
        <v>0</v>
      </c>
      <c r="L29" s="52">
        <v>0</v>
      </c>
      <c r="M29" s="52">
        <v>186016000000</v>
      </c>
      <c r="N29" s="54"/>
    </row>
    <row r="30" spans="1:14">
      <c r="A30" s="26">
        <v>27</v>
      </c>
      <c r="B30" s="38" t="s">
        <v>485</v>
      </c>
      <c r="C30" s="38" t="s">
        <v>495</v>
      </c>
      <c r="D30" s="52">
        <v>25906000000</v>
      </c>
      <c r="E30" s="52">
        <v>638000000</v>
      </c>
      <c r="F30" s="52">
        <v>2213000000</v>
      </c>
      <c r="G30" s="52">
        <v>2104000000</v>
      </c>
      <c r="H30" s="52">
        <f t="shared" si="1"/>
        <v>153056000000</v>
      </c>
      <c r="I30" s="52">
        <v>0</v>
      </c>
      <c r="J30" s="52">
        <v>0</v>
      </c>
      <c r="K30" s="52">
        <v>0</v>
      </c>
      <c r="L30" s="52">
        <v>0</v>
      </c>
      <c r="M30" s="52">
        <v>183917000000</v>
      </c>
      <c r="N30" s="54"/>
    </row>
    <row r="31" spans="1:14">
      <c r="A31" s="26">
        <v>28</v>
      </c>
      <c r="B31" s="38" t="s">
        <v>485</v>
      </c>
      <c r="C31" s="38" t="s">
        <v>496</v>
      </c>
      <c r="D31" s="52">
        <v>9781000000</v>
      </c>
      <c r="E31" s="52">
        <v>776000000</v>
      </c>
      <c r="F31" s="52">
        <v>3732000000</v>
      </c>
      <c r="G31" s="52">
        <v>7000000</v>
      </c>
      <c r="H31" s="52">
        <f t="shared" si="1"/>
        <v>4245000000</v>
      </c>
      <c r="I31" s="52">
        <v>0</v>
      </c>
      <c r="J31" s="52">
        <v>0</v>
      </c>
      <c r="K31" s="52">
        <v>0</v>
      </c>
      <c r="L31" s="52">
        <v>0</v>
      </c>
      <c r="M31" s="52">
        <v>18541000000</v>
      </c>
      <c r="N31" s="54"/>
    </row>
    <row r="32" spans="1:14">
      <c r="A32" s="26">
        <v>29</v>
      </c>
      <c r="B32" s="38" t="s">
        <v>485</v>
      </c>
      <c r="C32" s="38" t="s">
        <v>497</v>
      </c>
      <c r="D32" s="52">
        <v>12869000000</v>
      </c>
      <c r="E32" s="52">
        <v>0</v>
      </c>
      <c r="F32" s="52">
        <f>6003000000+9166000000+9003000000</f>
        <v>24172000000</v>
      </c>
      <c r="G32" s="52">
        <v>11000000</v>
      </c>
      <c r="H32" s="52">
        <f t="shared" si="1"/>
        <v>731782000000</v>
      </c>
      <c r="I32" s="52">
        <v>1355363000000</v>
      </c>
      <c r="J32" s="52">
        <v>0</v>
      </c>
      <c r="K32" s="52">
        <v>0</v>
      </c>
      <c r="L32" s="52">
        <v>0</v>
      </c>
      <c r="M32" s="52">
        <v>2124197000000</v>
      </c>
      <c r="N32" s="54"/>
    </row>
    <row r="33" spans="1:14">
      <c r="A33" s="26">
        <v>30</v>
      </c>
      <c r="B33" s="38" t="s">
        <v>485</v>
      </c>
      <c r="C33" s="38" t="s">
        <v>498</v>
      </c>
      <c r="D33" s="52">
        <v>38305000000</v>
      </c>
      <c r="E33" s="52">
        <v>301000000</v>
      </c>
      <c r="F33" s="52">
        <v>3312000000</v>
      </c>
      <c r="G33" s="52">
        <v>5838000000</v>
      </c>
      <c r="H33" s="52">
        <f t="shared" si="1"/>
        <v>457000000</v>
      </c>
      <c r="I33" s="52">
        <v>0</v>
      </c>
      <c r="J33" s="52">
        <v>0</v>
      </c>
      <c r="K33" s="52">
        <v>0</v>
      </c>
      <c r="L33" s="52">
        <v>0</v>
      </c>
      <c r="M33" s="52">
        <v>48213000000</v>
      </c>
      <c r="N33" s="54"/>
    </row>
    <row r="34" spans="1:14">
      <c r="A34" s="26">
        <v>31</v>
      </c>
      <c r="B34" s="38" t="s">
        <v>485</v>
      </c>
      <c r="C34" s="38" t="s">
        <v>499</v>
      </c>
      <c r="D34" s="52">
        <v>62020000000</v>
      </c>
      <c r="E34" s="52">
        <v>3256000000</v>
      </c>
      <c r="F34" s="52">
        <v>758000000</v>
      </c>
      <c r="G34" s="52">
        <v>0</v>
      </c>
      <c r="H34" s="52">
        <f t="shared" si="1"/>
        <v>15423000000</v>
      </c>
      <c r="I34" s="52">
        <v>0</v>
      </c>
      <c r="J34" s="52">
        <v>0</v>
      </c>
      <c r="K34" s="52">
        <v>0</v>
      </c>
      <c r="L34" s="52">
        <v>0</v>
      </c>
      <c r="M34" s="52">
        <v>81457000000</v>
      </c>
      <c r="N34" s="54"/>
    </row>
    <row r="35" spans="1:14">
      <c r="A35" s="26">
        <v>32</v>
      </c>
      <c r="B35" s="38" t="s">
        <v>485</v>
      </c>
      <c r="C35" s="38" t="s">
        <v>500</v>
      </c>
      <c r="D35" s="52">
        <v>1563000000</v>
      </c>
      <c r="E35" s="52">
        <v>0</v>
      </c>
      <c r="F35" s="52">
        <v>0</v>
      </c>
      <c r="G35" s="52">
        <v>0</v>
      </c>
      <c r="H35" s="52">
        <f t="shared" si="1"/>
        <v>499000000</v>
      </c>
      <c r="I35" s="52">
        <v>0</v>
      </c>
      <c r="J35" s="52">
        <v>0</v>
      </c>
      <c r="K35" s="52">
        <v>0</v>
      </c>
      <c r="L35" s="52">
        <v>0</v>
      </c>
      <c r="M35" s="52">
        <v>2062000000</v>
      </c>
      <c r="N35" s="54"/>
    </row>
    <row r="36" spans="1:14">
      <c r="A36" s="26">
        <v>33</v>
      </c>
      <c r="B36" s="38" t="s">
        <v>485</v>
      </c>
      <c r="C36" s="38" t="s">
        <v>501</v>
      </c>
      <c r="D36" s="52">
        <v>301000000</v>
      </c>
      <c r="E36" s="52">
        <v>0</v>
      </c>
      <c r="F36" s="52">
        <v>0</v>
      </c>
      <c r="G36" s="52">
        <v>0</v>
      </c>
      <c r="H36" s="52">
        <f t="shared" si="1"/>
        <v>91405000000</v>
      </c>
      <c r="I36" s="52">
        <v>62000000000</v>
      </c>
      <c r="J36" s="52">
        <v>0</v>
      </c>
      <c r="K36" s="52">
        <v>0</v>
      </c>
      <c r="L36" s="52">
        <v>0</v>
      </c>
      <c r="M36" s="52">
        <v>153706000000</v>
      </c>
      <c r="N36" s="54"/>
    </row>
    <row r="37" spans="1:14">
      <c r="A37" s="26">
        <v>34</v>
      </c>
      <c r="B37" s="38" t="s">
        <v>485</v>
      </c>
      <c r="C37" s="38" t="s">
        <v>502</v>
      </c>
      <c r="D37" s="52">
        <f>52059000000+91635000000</f>
        <v>143694000000</v>
      </c>
      <c r="E37" s="52">
        <f>1585000000</f>
        <v>1585000000</v>
      </c>
      <c r="F37" s="52">
        <f>2338000000+16522000000+2754000000+13000000+9631000000+540000000+267000000+751000000</f>
        <v>32816000000</v>
      </c>
      <c r="G37" s="52">
        <f>665000000+717000000+3000000</f>
        <v>1385000000</v>
      </c>
      <c r="H37" s="52">
        <f t="shared" si="1"/>
        <v>24089000000</v>
      </c>
      <c r="I37" s="52">
        <v>0</v>
      </c>
      <c r="J37" s="52">
        <v>0</v>
      </c>
      <c r="K37" s="52">
        <f>101000000+80513000000+42371000000+131000000+22546000000</f>
        <v>145662000000</v>
      </c>
      <c r="L37" s="52">
        <v>0</v>
      </c>
      <c r="M37" s="52">
        <f>176676000000+147606000000+24949000000</f>
        <v>349231000000</v>
      </c>
      <c r="N37" s="54"/>
    </row>
    <row r="38" spans="1:14">
      <c r="A38" s="26">
        <v>35</v>
      </c>
      <c r="B38" s="38" t="s">
        <v>503</v>
      </c>
      <c r="C38" s="38" t="s">
        <v>504</v>
      </c>
      <c r="D38" s="52">
        <v>2007000000</v>
      </c>
      <c r="E38" s="52">
        <v>89000000</v>
      </c>
      <c r="F38" s="52">
        <v>77000000</v>
      </c>
      <c r="G38" s="52">
        <v>24000000</v>
      </c>
      <c r="H38" s="52">
        <f t="shared" si="1"/>
        <v>21000000</v>
      </c>
      <c r="I38" s="52">
        <v>0</v>
      </c>
      <c r="J38" s="52">
        <v>0</v>
      </c>
      <c r="K38" s="52">
        <v>0</v>
      </c>
      <c r="L38" s="52">
        <v>0</v>
      </c>
      <c r="M38" s="52">
        <v>2218000000</v>
      </c>
      <c r="N38" s="54"/>
    </row>
    <row r="39" spans="1:14">
      <c r="A39" s="110">
        <v>36</v>
      </c>
      <c r="B39" s="38" t="s">
        <v>503</v>
      </c>
      <c r="C39" s="38" t="s">
        <v>505</v>
      </c>
      <c r="D39" s="52">
        <v>33000000</v>
      </c>
      <c r="E39" s="52">
        <v>0</v>
      </c>
      <c r="F39" s="52">
        <v>8339000000</v>
      </c>
      <c r="G39" s="52">
        <v>0</v>
      </c>
      <c r="H39" s="52">
        <f t="shared" si="1"/>
        <v>746929000000</v>
      </c>
      <c r="I39" s="52">
        <v>0</v>
      </c>
      <c r="J39" s="52">
        <v>0</v>
      </c>
      <c r="K39" s="52">
        <v>0</v>
      </c>
      <c r="L39" s="52">
        <v>0</v>
      </c>
      <c r="M39" s="52">
        <v>755301000000</v>
      </c>
      <c r="N39" s="54"/>
    </row>
    <row r="40" spans="1:14">
      <c r="A40" s="110">
        <v>37</v>
      </c>
      <c r="B40" s="38" t="s">
        <v>503</v>
      </c>
      <c r="C40" s="38" t="s">
        <v>506</v>
      </c>
      <c r="D40" s="52">
        <v>68853000000</v>
      </c>
      <c r="E40" s="52">
        <v>2279000000</v>
      </c>
      <c r="F40" s="52">
        <f>2751000000+517000000</f>
        <v>3268000000</v>
      </c>
      <c r="G40" s="52">
        <v>6000000</v>
      </c>
      <c r="H40" s="52">
        <f t="shared" si="1"/>
        <v>44150000000</v>
      </c>
      <c r="I40" s="52">
        <v>0</v>
      </c>
      <c r="J40" s="52">
        <v>0</v>
      </c>
      <c r="K40" s="52">
        <v>0</v>
      </c>
      <c r="L40" s="52">
        <v>0</v>
      </c>
      <c r="M40" s="52">
        <v>118556000000</v>
      </c>
      <c r="N40" s="54"/>
    </row>
    <row r="41" spans="1:14">
      <c r="A41" s="110">
        <v>38</v>
      </c>
      <c r="B41" s="38" t="s">
        <v>503</v>
      </c>
      <c r="C41" s="38" t="s">
        <v>507</v>
      </c>
      <c r="D41" s="52">
        <v>3492192000</v>
      </c>
      <c r="E41" s="52">
        <v>0</v>
      </c>
      <c r="F41" s="52">
        <f>25735344000+5303182000+25192797</f>
        <v>31063718797</v>
      </c>
      <c r="G41" s="52">
        <v>0</v>
      </c>
      <c r="H41" s="52">
        <f t="shared" si="1"/>
        <v>192114885203</v>
      </c>
      <c r="I41" s="52">
        <v>0</v>
      </c>
      <c r="J41" s="52">
        <v>0</v>
      </c>
      <c r="K41" s="52">
        <v>0</v>
      </c>
      <c r="L41" s="52">
        <v>0</v>
      </c>
      <c r="M41" s="52">
        <v>226670796000</v>
      </c>
      <c r="N41" s="54"/>
    </row>
    <row r="42" spans="1:14">
      <c r="A42" s="110">
        <v>39</v>
      </c>
      <c r="B42" s="38" t="s">
        <v>503</v>
      </c>
      <c r="C42" s="38" t="s">
        <v>508</v>
      </c>
      <c r="D42" s="52">
        <v>1814000000</v>
      </c>
      <c r="E42" s="52">
        <v>0</v>
      </c>
      <c r="F42" s="52">
        <v>7000000</v>
      </c>
      <c r="G42" s="52">
        <v>0</v>
      </c>
      <c r="H42" s="52">
        <f t="shared" si="1"/>
        <v>1641000000</v>
      </c>
      <c r="I42" s="52">
        <v>0</v>
      </c>
      <c r="J42" s="52">
        <v>0</v>
      </c>
      <c r="K42" s="52">
        <v>0</v>
      </c>
      <c r="L42" s="52">
        <v>0</v>
      </c>
      <c r="M42" s="52">
        <v>3462000000</v>
      </c>
      <c r="N42" s="54"/>
    </row>
    <row r="43" spans="1:14">
      <c r="A43" s="110">
        <v>40</v>
      </c>
      <c r="B43" s="38" t="s">
        <v>503</v>
      </c>
      <c r="C43" s="38" t="s">
        <v>509</v>
      </c>
      <c r="D43" s="52">
        <v>2423000000</v>
      </c>
      <c r="E43" s="52">
        <v>193000000</v>
      </c>
      <c r="F43" s="52">
        <v>0</v>
      </c>
      <c r="G43" s="52">
        <v>0</v>
      </c>
      <c r="H43" s="52">
        <f t="shared" si="1"/>
        <v>58000000</v>
      </c>
      <c r="I43" s="52">
        <v>0</v>
      </c>
      <c r="J43" s="52">
        <v>0</v>
      </c>
      <c r="K43" s="52">
        <v>0</v>
      </c>
      <c r="L43" s="52">
        <v>0</v>
      </c>
      <c r="M43" s="52">
        <v>2674000000</v>
      </c>
      <c r="N43" s="54"/>
    </row>
    <row r="44" spans="1:14">
      <c r="A44" s="110">
        <v>41</v>
      </c>
      <c r="B44" s="38" t="s">
        <v>503</v>
      </c>
      <c r="C44" s="38" t="s">
        <v>510</v>
      </c>
      <c r="D44" s="52">
        <v>7186000000</v>
      </c>
      <c r="E44" s="52">
        <v>3854000000</v>
      </c>
      <c r="F44" s="52">
        <v>16496000000</v>
      </c>
      <c r="G44" s="52">
        <v>0</v>
      </c>
      <c r="H44" s="52">
        <f t="shared" si="1"/>
        <v>305066000000</v>
      </c>
      <c r="I44" s="52">
        <v>1254000000</v>
      </c>
      <c r="J44" s="52">
        <v>0</v>
      </c>
      <c r="K44" s="52">
        <v>0</v>
      </c>
      <c r="L44" s="52">
        <v>0</v>
      </c>
      <c r="M44" s="52">
        <v>333856000000</v>
      </c>
      <c r="N44" s="54"/>
    </row>
    <row r="45" spans="1:14">
      <c r="A45" s="110">
        <v>42</v>
      </c>
      <c r="B45" s="38" t="s">
        <v>503</v>
      </c>
      <c r="C45" s="38" t="s">
        <v>511</v>
      </c>
      <c r="D45" s="52">
        <v>16550000000</v>
      </c>
      <c r="E45" s="52">
        <v>0</v>
      </c>
      <c r="F45" s="52">
        <v>0</v>
      </c>
      <c r="G45" s="52">
        <v>0</v>
      </c>
      <c r="H45" s="52">
        <f t="shared" si="1"/>
        <v>941508000000</v>
      </c>
      <c r="I45" s="52">
        <v>44929000000</v>
      </c>
      <c r="J45" s="52">
        <v>0</v>
      </c>
      <c r="K45" s="52">
        <v>0</v>
      </c>
      <c r="L45" s="52">
        <v>0</v>
      </c>
      <c r="M45" s="52">
        <v>1002987000000</v>
      </c>
      <c r="N45" s="54"/>
    </row>
    <row r="46" spans="1:14">
      <c r="A46" s="110">
        <v>43</v>
      </c>
      <c r="B46" s="38" t="s">
        <v>503</v>
      </c>
      <c r="C46" s="38" t="s">
        <v>512</v>
      </c>
      <c r="D46" s="52">
        <v>1268000000</v>
      </c>
      <c r="E46" s="52">
        <v>0</v>
      </c>
      <c r="F46" s="52">
        <v>734000000</v>
      </c>
      <c r="G46" s="52">
        <v>1970000000</v>
      </c>
      <c r="H46" s="52">
        <f t="shared" si="1"/>
        <v>23368000000</v>
      </c>
      <c r="I46" s="52">
        <v>0</v>
      </c>
      <c r="J46" s="52">
        <v>0</v>
      </c>
      <c r="K46" s="52">
        <v>0</v>
      </c>
      <c r="L46" s="52">
        <v>0</v>
      </c>
      <c r="M46" s="52">
        <v>27340000000</v>
      </c>
      <c r="N46" s="54"/>
    </row>
    <row r="47" spans="1:14">
      <c r="A47" s="110">
        <v>44</v>
      </c>
      <c r="B47" s="38" t="s">
        <v>503</v>
      </c>
      <c r="C47" s="111" t="s">
        <v>549</v>
      </c>
      <c r="D47" s="52">
        <v>4051000000</v>
      </c>
      <c r="E47" s="52">
        <v>0</v>
      </c>
      <c r="F47" s="52">
        <v>0</v>
      </c>
      <c r="G47" s="52">
        <v>96000000</v>
      </c>
      <c r="H47" s="52">
        <f t="shared" si="1"/>
        <v>655000000</v>
      </c>
      <c r="I47" s="52">
        <v>0</v>
      </c>
      <c r="J47" s="52">
        <v>0</v>
      </c>
      <c r="K47" s="52">
        <v>0</v>
      </c>
      <c r="L47" s="52">
        <v>0</v>
      </c>
      <c r="M47" s="52">
        <v>4802000000</v>
      </c>
      <c r="N47" s="54"/>
    </row>
    <row r="48" spans="1:14">
      <c r="A48" s="110">
        <v>45</v>
      </c>
      <c r="B48" s="38" t="s">
        <v>503</v>
      </c>
      <c r="C48" s="38" t="s">
        <v>513</v>
      </c>
      <c r="D48" s="52">
        <v>0</v>
      </c>
      <c r="E48" s="52">
        <v>0</v>
      </c>
      <c r="F48" s="52">
        <v>0</v>
      </c>
      <c r="G48" s="52">
        <v>0</v>
      </c>
      <c r="H48" s="52">
        <f t="shared" si="1"/>
        <v>370867000000</v>
      </c>
      <c r="I48" s="52">
        <v>4800000000</v>
      </c>
      <c r="J48" s="52">
        <v>0</v>
      </c>
      <c r="K48" s="52">
        <v>0</v>
      </c>
      <c r="L48" s="52">
        <v>0</v>
      </c>
      <c r="M48" s="52">
        <v>375667000000</v>
      </c>
      <c r="N48" s="54"/>
    </row>
    <row r="49" spans="1:14">
      <c r="A49" s="110">
        <v>46</v>
      </c>
      <c r="B49" s="38" t="s">
        <v>503</v>
      </c>
      <c r="C49" s="38" t="s">
        <v>514</v>
      </c>
      <c r="D49" s="52">
        <v>0</v>
      </c>
      <c r="E49" s="52">
        <v>0</v>
      </c>
      <c r="F49" s="52">
        <v>0</v>
      </c>
      <c r="G49" s="52">
        <v>0</v>
      </c>
      <c r="H49" s="52">
        <f t="shared" si="1"/>
        <v>30064217000000</v>
      </c>
      <c r="I49" s="52">
        <v>0</v>
      </c>
      <c r="J49" s="52">
        <v>0</v>
      </c>
      <c r="K49" s="52">
        <v>0</v>
      </c>
      <c r="L49" s="52">
        <v>0</v>
      </c>
      <c r="M49" s="52">
        <v>30064217000000</v>
      </c>
      <c r="N49" s="54"/>
    </row>
    <row r="50" spans="1:14">
      <c r="A50" s="110">
        <v>47</v>
      </c>
      <c r="B50" s="38" t="s">
        <v>503</v>
      </c>
      <c r="C50" s="38" t="s">
        <v>515</v>
      </c>
      <c r="D50" s="52">
        <v>6136000000</v>
      </c>
      <c r="E50" s="52">
        <v>0</v>
      </c>
      <c r="F50" s="52">
        <v>0</v>
      </c>
      <c r="G50" s="52">
        <v>0</v>
      </c>
      <c r="H50" s="52">
        <f t="shared" si="1"/>
        <v>54305000000</v>
      </c>
      <c r="I50" s="52">
        <v>3090000000</v>
      </c>
      <c r="J50" s="52">
        <v>0</v>
      </c>
      <c r="K50" s="52">
        <v>0</v>
      </c>
      <c r="L50" s="52">
        <v>0</v>
      </c>
      <c r="M50" s="52">
        <v>63531000000</v>
      </c>
      <c r="N50" s="54"/>
    </row>
    <row r="51" spans="1:14">
      <c r="A51" s="110">
        <v>48</v>
      </c>
      <c r="B51" s="38" t="s">
        <v>503</v>
      </c>
      <c r="C51" s="38" t="s">
        <v>516</v>
      </c>
      <c r="D51" s="52">
        <v>3892000000</v>
      </c>
      <c r="E51" s="52">
        <v>1267000000</v>
      </c>
      <c r="F51" s="52">
        <v>0</v>
      </c>
      <c r="G51" s="52">
        <v>0</v>
      </c>
      <c r="H51" s="52">
        <f t="shared" si="1"/>
        <v>25161000000</v>
      </c>
      <c r="I51" s="52">
        <v>3300000000</v>
      </c>
      <c r="J51" s="52">
        <v>0</v>
      </c>
      <c r="K51" s="52">
        <v>0</v>
      </c>
      <c r="L51" s="52">
        <v>0</v>
      </c>
      <c r="M51" s="52">
        <v>33620000000</v>
      </c>
      <c r="N51" s="54"/>
    </row>
    <row r="52" spans="1:14">
      <c r="A52" s="110">
        <v>49</v>
      </c>
      <c r="B52" s="38" t="s">
        <v>503</v>
      </c>
      <c r="C52" s="38" t="s">
        <v>517</v>
      </c>
      <c r="D52" s="52">
        <v>3874000000</v>
      </c>
      <c r="E52" s="52">
        <v>0</v>
      </c>
      <c r="F52" s="52">
        <v>0</v>
      </c>
      <c r="G52" s="52">
        <v>0</v>
      </c>
      <c r="H52" s="52">
        <f t="shared" si="1"/>
        <v>12581000000</v>
      </c>
      <c r="I52" s="52">
        <v>0</v>
      </c>
      <c r="J52" s="52">
        <v>0</v>
      </c>
      <c r="K52" s="52">
        <v>0</v>
      </c>
      <c r="L52" s="52">
        <v>0</v>
      </c>
      <c r="M52" s="52">
        <v>16455000000</v>
      </c>
      <c r="N52" s="54"/>
    </row>
    <row r="53" spans="1:14">
      <c r="A53" s="110">
        <v>50</v>
      </c>
      <c r="B53" s="38" t="s">
        <v>503</v>
      </c>
      <c r="C53" s="38" t="s">
        <v>518</v>
      </c>
      <c r="D53" s="52">
        <v>5732000000</v>
      </c>
      <c r="E53" s="52">
        <v>646000000</v>
      </c>
      <c r="F53" s="52">
        <v>0</v>
      </c>
      <c r="G53" s="52">
        <v>0</v>
      </c>
      <c r="H53" s="52">
        <f t="shared" si="1"/>
        <v>35239000000</v>
      </c>
      <c r="I53" s="52">
        <v>1900000000</v>
      </c>
      <c r="J53" s="52">
        <v>0</v>
      </c>
      <c r="K53" s="52">
        <v>0</v>
      </c>
      <c r="L53" s="52">
        <v>0</v>
      </c>
      <c r="M53" s="52">
        <v>43517000000</v>
      </c>
      <c r="N53" s="54"/>
    </row>
    <row r="54" spans="1:14">
      <c r="A54" s="110">
        <v>51</v>
      </c>
      <c r="B54" s="38" t="s">
        <v>503</v>
      </c>
      <c r="C54" s="38" t="s">
        <v>519</v>
      </c>
      <c r="D54" s="52">
        <v>3251000000</v>
      </c>
      <c r="E54" s="52">
        <v>0</v>
      </c>
      <c r="F54" s="52">
        <v>0</v>
      </c>
      <c r="G54" s="52">
        <v>0</v>
      </c>
      <c r="H54" s="52">
        <f t="shared" si="1"/>
        <v>20008000000</v>
      </c>
      <c r="I54" s="52">
        <v>1500000000</v>
      </c>
      <c r="J54" s="52">
        <v>0</v>
      </c>
      <c r="K54" s="52">
        <v>0</v>
      </c>
      <c r="L54" s="52">
        <v>0</v>
      </c>
      <c r="M54" s="52">
        <v>24759000000</v>
      </c>
      <c r="N54" s="54"/>
    </row>
    <row r="55" spans="1:14">
      <c r="A55" s="110">
        <v>52</v>
      </c>
      <c r="B55" s="38" t="s">
        <v>503</v>
      </c>
      <c r="C55" s="38" t="s">
        <v>520</v>
      </c>
      <c r="D55" s="52">
        <v>2752000000</v>
      </c>
      <c r="E55" s="52">
        <v>662000000</v>
      </c>
      <c r="F55" s="52">
        <v>0</v>
      </c>
      <c r="G55" s="52">
        <v>0</v>
      </c>
      <c r="H55" s="52">
        <f t="shared" si="1"/>
        <v>6372000000</v>
      </c>
      <c r="I55" s="52">
        <v>2000000000</v>
      </c>
      <c r="J55" s="52">
        <v>0</v>
      </c>
      <c r="K55" s="52">
        <v>0</v>
      </c>
      <c r="L55" s="52">
        <v>0</v>
      </c>
      <c r="M55" s="52">
        <v>11786000000</v>
      </c>
      <c r="N55" s="54"/>
    </row>
    <row r="56" spans="1:14">
      <c r="A56" s="110">
        <v>53</v>
      </c>
      <c r="B56" s="38" t="s">
        <v>521</v>
      </c>
      <c r="C56" s="38" t="s">
        <v>522</v>
      </c>
      <c r="D56" s="52">
        <v>6750890000</v>
      </c>
      <c r="E56" s="52">
        <v>58118000</v>
      </c>
      <c r="F56" s="52">
        <v>0</v>
      </c>
      <c r="G56" s="29">
        <v>0</v>
      </c>
      <c r="H56" s="52">
        <f>M56-SUM(D56:G56,I56:L56)</f>
        <v>48997000</v>
      </c>
      <c r="I56" s="52">
        <v>0</v>
      </c>
      <c r="J56" s="52">
        <v>0</v>
      </c>
      <c r="K56" s="52">
        <v>0</v>
      </c>
      <c r="L56" s="52">
        <v>0</v>
      </c>
      <c r="M56" s="52">
        <v>6858005000</v>
      </c>
      <c r="N56" s="54"/>
    </row>
    <row r="57" spans="1:14">
      <c r="A57" s="110">
        <v>54</v>
      </c>
      <c r="B57" s="38" t="s">
        <v>521</v>
      </c>
      <c r="C57" s="38" t="s">
        <v>147</v>
      </c>
      <c r="D57" s="29">
        <v>2811000000</v>
      </c>
      <c r="E57" s="29">
        <v>198000000</v>
      </c>
      <c r="F57" s="29">
        <v>0</v>
      </c>
      <c r="G57" s="29">
        <v>50000000</v>
      </c>
      <c r="H57" s="29">
        <f t="shared" ref="H57" si="3">M57-SUM(D57:G57,I57:L57)</f>
        <v>206000000</v>
      </c>
      <c r="I57" s="29">
        <v>0</v>
      </c>
      <c r="J57" s="29">
        <v>0</v>
      </c>
      <c r="K57" s="29">
        <v>57000000</v>
      </c>
      <c r="L57" s="29">
        <v>0</v>
      </c>
      <c r="M57" s="29">
        <v>3322000000</v>
      </c>
      <c r="N57" s="54"/>
    </row>
    <row r="58" spans="1:14">
      <c r="A58" s="110">
        <v>55</v>
      </c>
      <c r="B58" s="38" t="s">
        <v>521</v>
      </c>
      <c r="C58" s="38" t="s">
        <v>148</v>
      </c>
      <c r="D58" s="29">
        <v>7311000000</v>
      </c>
      <c r="E58" s="29">
        <v>148000000</v>
      </c>
      <c r="F58" s="29">
        <v>0</v>
      </c>
      <c r="G58" s="29">
        <v>201000000</v>
      </c>
      <c r="H58" s="29">
        <f t="shared" ref="H58:H66" si="4">M58-SUM(D58:G58,I58:L58)</f>
        <v>766000000</v>
      </c>
      <c r="I58" s="29">
        <v>0</v>
      </c>
      <c r="J58" s="29">
        <v>0</v>
      </c>
      <c r="K58" s="29">
        <v>436000000</v>
      </c>
      <c r="L58" s="29">
        <v>0</v>
      </c>
      <c r="M58" s="29">
        <v>8862000000</v>
      </c>
      <c r="N58" s="54"/>
    </row>
    <row r="59" spans="1:14">
      <c r="A59" s="110">
        <v>56</v>
      </c>
      <c r="B59" s="38" t="s">
        <v>521</v>
      </c>
      <c r="C59" s="38" t="s">
        <v>149</v>
      </c>
      <c r="D59" s="29">
        <v>1821912000</v>
      </c>
      <c r="E59" s="29">
        <v>160000000</v>
      </c>
      <c r="F59" s="29">
        <v>1937048000</v>
      </c>
      <c r="G59" s="29">
        <v>133344000</v>
      </c>
      <c r="H59" s="29">
        <f t="shared" si="4"/>
        <v>494712000</v>
      </c>
      <c r="I59" s="29">
        <v>0</v>
      </c>
      <c r="J59" s="29">
        <v>0</v>
      </c>
      <c r="K59" s="29">
        <v>205876000</v>
      </c>
      <c r="L59" s="29">
        <v>0</v>
      </c>
      <c r="M59" s="29">
        <v>4752892000</v>
      </c>
      <c r="N59" s="54"/>
    </row>
    <row r="60" spans="1:14">
      <c r="A60" s="110">
        <v>57</v>
      </c>
      <c r="B60" s="38" t="s">
        <v>521</v>
      </c>
      <c r="C60" s="38" t="s">
        <v>523</v>
      </c>
      <c r="D60" s="29">
        <f>36358000000+1355000000+1581000000</f>
        <v>39294000000</v>
      </c>
      <c r="E60" s="29">
        <f>328000000+93000000</f>
        <v>421000000</v>
      </c>
      <c r="F60" s="29">
        <v>0</v>
      </c>
      <c r="G60" s="29">
        <f>6171000000+17000000</f>
        <v>6188000000</v>
      </c>
      <c r="H60" s="29">
        <f t="shared" si="4"/>
        <v>634000000</v>
      </c>
      <c r="I60" s="29">
        <v>0</v>
      </c>
      <c r="J60" s="29">
        <v>0</v>
      </c>
      <c r="K60" s="29">
        <f>1787000000+4011000000+24000000</f>
        <v>5822000000</v>
      </c>
      <c r="L60" s="29">
        <v>0</v>
      </c>
      <c r="M60" s="29">
        <f>44928000000+5370000000+240000000+1821000000</f>
        <v>52359000000</v>
      </c>
      <c r="N60" s="54"/>
    </row>
    <row r="61" spans="1:14">
      <c r="A61" s="110">
        <v>58</v>
      </c>
      <c r="B61" s="38" t="s">
        <v>521</v>
      </c>
      <c r="C61" s="38" t="s">
        <v>151</v>
      </c>
      <c r="D61" s="29">
        <v>6665000000</v>
      </c>
      <c r="E61" s="29">
        <v>0</v>
      </c>
      <c r="F61" s="29">
        <v>0</v>
      </c>
      <c r="G61" s="29">
        <v>2611000000</v>
      </c>
      <c r="H61" s="29">
        <f t="shared" si="4"/>
        <v>18000000</v>
      </c>
      <c r="I61" s="29">
        <v>0</v>
      </c>
      <c r="J61" s="29">
        <v>0</v>
      </c>
      <c r="K61" s="29">
        <v>159000000</v>
      </c>
      <c r="L61" s="29">
        <v>0</v>
      </c>
      <c r="M61" s="29">
        <v>9453000000</v>
      </c>
      <c r="N61" s="54"/>
    </row>
    <row r="62" spans="1:14">
      <c r="A62" s="110">
        <v>59</v>
      </c>
      <c r="B62" s="38" t="s">
        <v>521</v>
      </c>
      <c r="C62" s="38" t="s">
        <v>152</v>
      </c>
      <c r="D62" s="29">
        <v>2948000000</v>
      </c>
      <c r="E62" s="29">
        <v>249000000</v>
      </c>
      <c r="F62" s="29">
        <v>0</v>
      </c>
      <c r="G62" s="29">
        <v>711000000</v>
      </c>
      <c r="H62" s="29">
        <f t="shared" si="4"/>
        <v>0</v>
      </c>
      <c r="I62" s="29">
        <v>0</v>
      </c>
      <c r="J62" s="29">
        <v>0</v>
      </c>
      <c r="K62" s="29">
        <v>21000000</v>
      </c>
      <c r="L62" s="29">
        <v>0</v>
      </c>
      <c r="M62" s="29">
        <v>3929000000</v>
      </c>
      <c r="N62" s="54"/>
    </row>
    <row r="63" spans="1:14">
      <c r="A63" s="110">
        <v>60</v>
      </c>
      <c r="B63" s="38" t="s">
        <v>521</v>
      </c>
      <c r="C63" s="38" t="s">
        <v>153</v>
      </c>
      <c r="D63" s="29">
        <v>3355000000</v>
      </c>
      <c r="E63" s="29">
        <v>0</v>
      </c>
      <c r="F63" s="29">
        <v>0</v>
      </c>
      <c r="G63" s="29">
        <v>282000000</v>
      </c>
      <c r="H63" s="29">
        <f t="shared" si="4"/>
        <v>6000000</v>
      </c>
      <c r="I63" s="29">
        <v>0</v>
      </c>
      <c r="J63" s="29">
        <v>0</v>
      </c>
      <c r="K63" s="29">
        <v>103000000</v>
      </c>
      <c r="L63" s="29">
        <v>0</v>
      </c>
      <c r="M63" s="29">
        <v>3746000000</v>
      </c>
      <c r="N63" s="54"/>
    </row>
    <row r="64" spans="1:14">
      <c r="A64" s="110">
        <v>61</v>
      </c>
      <c r="B64" s="38" t="s">
        <v>521</v>
      </c>
      <c r="C64" s="38" t="s">
        <v>154</v>
      </c>
      <c r="D64" s="52">
        <v>9351000000</v>
      </c>
      <c r="E64" s="52">
        <v>197000000</v>
      </c>
      <c r="F64" s="52">
        <f>14531000000+182000000</f>
        <v>14713000000</v>
      </c>
      <c r="G64" s="52">
        <v>898000000</v>
      </c>
      <c r="H64" s="52">
        <f t="shared" si="4"/>
        <v>15121000000</v>
      </c>
      <c r="I64" s="52">
        <f>6300000000+1920000000</f>
        <v>8220000000</v>
      </c>
      <c r="J64" s="52">
        <v>10776000000</v>
      </c>
      <c r="K64" s="52">
        <v>408000000</v>
      </c>
      <c r="L64" s="52">
        <v>0</v>
      </c>
      <c r="M64" s="52">
        <f>10936000000+2311000000+32221000000+14216000000</f>
        <v>59684000000</v>
      </c>
      <c r="N64" s="54"/>
    </row>
    <row r="65" spans="1:15">
      <c r="A65" s="110">
        <v>62</v>
      </c>
      <c r="B65" s="38" t="s">
        <v>521</v>
      </c>
      <c r="C65" s="38" t="s">
        <v>155</v>
      </c>
      <c r="D65" s="29">
        <v>15127000000</v>
      </c>
      <c r="E65" s="29">
        <v>272000000</v>
      </c>
      <c r="F65" s="29">
        <v>760000000</v>
      </c>
      <c r="G65" s="29">
        <v>2832000000</v>
      </c>
      <c r="H65" s="29">
        <f t="shared" si="4"/>
        <v>1540000000</v>
      </c>
      <c r="I65" s="29">
        <v>0</v>
      </c>
      <c r="J65" s="29">
        <v>0</v>
      </c>
      <c r="K65" s="29">
        <v>395000000</v>
      </c>
      <c r="L65" s="29">
        <v>0</v>
      </c>
      <c r="M65" s="29">
        <v>20926000000</v>
      </c>
      <c r="N65" s="54"/>
    </row>
    <row r="66" spans="1:15">
      <c r="A66" s="110">
        <v>63</v>
      </c>
      <c r="B66" s="38" t="s">
        <v>521</v>
      </c>
      <c r="C66" s="38" t="s">
        <v>524</v>
      </c>
      <c r="D66" s="29">
        <v>1760000000</v>
      </c>
      <c r="E66" s="29">
        <v>0</v>
      </c>
      <c r="F66" s="29">
        <f>4341000000+87438000000</f>
        <v>91779000000</v>
      </c>
      <c r="G66" s="29">
        <v>0</v>
      </c>
      <c r="H66" s="29">
        <f t="shared" si="4"/>
        <v>208665000000</v>
      </c>
      <c r="I66" s="29">
        <v>21231000000</v>
      </c>
      <c r="J66" s="29">
        <v>0</v>
      </c>
      <c r="K66" s="29">
        <v>0</v>
      </c>
      <c r="L66" s="29">
        <v>0</v>
      </c>
      <c r="M66" s="29">
        <v>323435000000</v>
      </c>
      <c r="N66" s="54"/>
    </row>
    <row r="67" spans="1:15">
      <c r="A67" s="110">
        <v>64</v>
      </c>
      <c r="B67" s="38" t="s">
        <v>521</v>
      </c>
      <c r="C67" s="38" t="s">
        <v>525</v>
      </c>
      <c r="D67" s="29">
        <v>3441000000</v>
      </c>
      <c r="E67" s="29">
        <v>0</v>
      </c>
      <c r="F67" s="29">
        <f>1187000000+119647000000</f>
        <v>120834000000</v>
      </c>
      <c r="G67" s="29">
        <v>0</v>
      </c>
      <c r="H67" s="29">
        <f t="shared" ref="H67:H99" si="5">M67-SUM(D67:G67,I67:L67)</f>
        <v>15529000000</v>
      </c>
      <c r="I67" s="29">
        <v>82543000000</v>
      </c>
      <c r="J67" s="29">
        <v>0</v>
      </c>
      <c r="K67" s="29">
        <v>277000000</v>
      </c>
      <c r="L67" s="29">
        <v>0</v>
      </c>
      <c r="M67" s="29">
        <v>222624000000</v>
      </c>
      <c r="N67" s="54"/>
    </row>
    <row r="68" spans="1:15">
      <c r="A68" s="110">
        <v>65</v>
      </c>
      <c r="B68" s="38" t="s">
        <v>521</v>
      </c>
      <c r="C68" s="38" t="s">
        <v>526</v>
      </c>
      <c r="D68" s="29">
        <v>0</v>
      </c>
      <c r="E68" s="29">
        <v>0</v>
      </c>
      <c r="F68" s="29">
        <f>2061258000+61683000</f>
        <v>2122941000</v>
      </c>
      <c r="G68" s="29">
        <v>0</v>
      </c>
      <c r="H68" s="29">
        <f t="shared" si="5"/>
        <v>121142379000</v>
      </c>
      <c r="I68" s="29">
        <v>73092000000</v>
      </c>
      <c r="J68" s="29">
        <f>10000000+15100000</f>
        <v>25100000</v>
      </c>
      <c r="K68" s="29">
        <v>0</v>
      </c>
      <c r="L68" s="29">
        <v>0</v>
      </c>
      <c r="M68" s="29">
        <v>196382420000</v>
      </c>
      <c r="N68" s="54"/>
    </row>
    <row r="69" spans="1:15">
      <c r="A69" s="110">
        <v>66</v>
      </c>
      <c r="B69" s="38" t="s">
        <v>527</v>
      </c>
      <c r="C69" s="38" t="s">
        <v>160</v>
      </c>
      <c r="D69" s="29">
        <v>1437175000</v>
      </c>
      <c r="E69" s="29">
        <v>0</v>
      </c>
      <c r="F69" s="29">
        <v>2130000</v>
      </c>
      <c r="G69" s="29">
        <v>0</v>
      </c>
      <c r="H69" s="29">
        <f t="shared" si="5"/>
        <v>2220000</v>
      </c>
      <c r="I69" s="29">
        <v>0</v>
      </c>
      <c r="J69" s="29">
        <v>0</v>
      </c>
      <c r="K69" s="29">
        <v>0</v>
      </c>
      <c r="L69" s="29">
        <v>0</v>
      </c>
      <c r="M69" s="29">
        <v>1441525000</v>
      </c>
      <c r="N69" s="54"/>
    </row>
    <row r="70" spans="1:15">
      <c r="A70" s="110">
        <v>67</v>
      </c>
      <c r="B70" s="38" t="s">
        <v>527</v>
      </c>
      <c r="C70" s="38" t="s">
        <v>528</v>
      </c>
      <c r="D70" s="29">
        <v>10594000000</v>
      </c>
      <c r="E70" s="29">
        <v>0</v>
      </c>
      <c r="F70" s="29">
        <v>0</v>
      </c>
      <c r="G70" s="29">
        <v>0</v>
      </c>
      <c r="H70" s="29">
        <f t="shared" si="5"/>
        <v>101000000</v>
      </c>
      <c r="I70" s="29">
        <v>0</v>
      </c>
      <c r="J70" s="29">
        <v>0</v>
      </c>
      <c r="K70" s="29">
        <v>0</v>
      </c>
      <c r="L70" s="29">
        <v>0</v>
      </c>
      <c r="M70" s="29">
        <v>10695000000</v>
      </c>
      <c r="N70" s="54"/>
    </row>
    <row r="71" spans="1:15">
      <c r="A71" s="110">
        <v>68</v>
      </c>
      <c r="B71" s="38" t="s">
        <v>527</v>
      </c>
      <c r="C71" s="38" t="s">
        <v>162</v>
      </c>
      <c r="D71" s="29">
        <v>0</v>
      </c>
      <c r="E71" s="29">
        <v>0</v>
      </c>
      <c r="F71" s="29">
        <v>0</v>
      </c>
      <c r="G71" s="29">
        <v>0</v>
      </c>
      <c r="H71" s="29">
        <f t="shared" si="5"/>
        <v>44847000000</v>
      </c>
      <c r="I71" s="29">
        <v>0</v>
      </c>
      <c r="J71" s="29">
        <v>0</v>
      </c>
      <c r="K71" s="29">
        <v>0</v>
      </c>
      <c r="L71" s="29">
        <v>0</v>
      </c>
      <c r="M71" s="29">
        <v>44847000000</v>
      </c>
      <c r="N71" s="54"/>
    </row>
    <row r="72" spans="1:15">
      <c r="A72" s="110">
        <v>69</v>
      </c>
      <c r="B72" s="38" t="s">
        <v>527</v>
      </c>
      <c r="C72" s="38" t="s">
        <v>163</v>
      </c>
      <c r="D72" s="29">
        <v>62867000000</v>
      </c>
      <c r="E72" s="29">
        <v>0</v>
      </c>
      <c r="F72" s="29">
        <v>0</v>
      </c>
      <c r="G72" s="29">
        <v>13854000000</v>
      </c>
      <c r="H72" s="29">
        <f t="shared" si="5"/>
        <v>11793000000</v>
      </c>
      <c r="I72" s="29">
        <v>0</v>
      </c>
      <c r="J72" s="29">
        <v>0</v>
      </c>
      <c r="K72" s="29">
        <v>0</v>
      </c>
      <c r="L72" s="29">
        <v>0</v>
      </c>
      <c r="M72" s="29">
        <v>88514000000</v>
      </c>
      <c r="N72" s="54"/>
    </row>
    <row r="73" spans="1:15">
      <c r="A73" s="110">
        <v>70</v>
      </c>
      <c r="B73" s="38" t="s">
        <v>527</v>
      </c>
      <c r="C73" s="38" t="s">
        <v>164</v>
      </c>
      <c r="D73" s="29">
        <v>6907649000</v>
      </c>
      <c r="E73" s="29">
        <v>6129728000</v>
      </c>
      <c r="F73" s="29">
        <v>0</v>
      </c>
      <c r="G73" s="29">
        <v>252338000</v>
      </c>
      <c r="H73" s="29">
        <f t="shared" si="5"/>
        <v>241934000</v>
      </c>
      <c r="I73" s="29">
        <v>0</v>
      </c>
      <c r="J73" s="29">
        <v>0</v>
      </c>
      <c r="K73" s="29">
        <v>0</v>
      </c>
      <c r="L73" s="29">
        <v>0</v>
      </c>
      <c r="M73" s="29">
        <v>13531649000</v>
      </c>
      <c r="N73" s="54"/>
    </row>
    <row r="74" spans="1:15">
      <c r="A74" s="110">
        <v>71</v>
      </c>
      <c r="B74" s="38" t="s">
        <v>527</v>
      </c>
      <c r="C74" s="38" t="s">
        <v>529</v>
      </c>
      <c r="D74" s="52">
        <v>131788000000</v>
      </c>
      <c r="E74" s="29">
        <v>0</v>
      </c>
      <c r="F74" s="29">
        <v>0</v>
      </c>
      <c r="G74" s="52">
        <v>97000000</v>
      </c>
      <c r="H74" s="52">
        <f t="shared" si="5"/>
        <v>2361000000</v>
      </c>
      <c r="I74" s="29">
        <v>0</v>
      </c>
      <c r="J74" s="29">
        <v>0</v>
      </c>
      <c r="K74" s="29">
        <v>0</v>
      </c>
      <c r="L74" s="29">
        <v>0</v>
      </c>
      <c r="M74" s="52">
        <v>134246000000</v>
      </c>
      <c r="N74" s="54"/>
      <c r="O74" s="54"/>
    </row>
    <row r="75" spans="1:15">
      <c r="A75" s="110">
        <v>72</v>
      </c>
      <c r="B75" s="38" t="s">
        <v>527</v>
      </c>
      <c r="C75" s="38" t="s">
        <v>530</v>
      </c>
      <c r="D75" s="52">
        <v>23783000000</v>
      </c>
      <c r="E75" s="29">
        <v>0</v>
      </c>
      <c r="F75" s="52">
        <v>4903000000</v>
      </c>
      <c r="G75" s="52">
        <v>4056000000</v>
      </c>
      <c r="H75" s="52">
        <f t="shared" si="5"/>
        <v>5127000000</v>
      </c>
      <c r="I75" s="29">
        <v>0</v>
      </c>
      <c r="J75" s="29">
        <v>0</v>
      </c>
      <c r="K75" s="29">
        <v>0</v>
      </c>
      <c r="L75" s="29">
        <v>0</v>
      </c>
      <c r="M75" s="52">
        <v>37869000000</v>
      </c>
      <c r="N75" s="54"/>
      <c r="O75" s="54"/>
    </row>
    <row r="76" spans="1:15">
      <c r="A76" s="110">
        <v>73</v>
      </c>
      <c r="B76" s="38" t="s">
        <v>527</v>
      </c>
      <c r="C76" s="38" t="s">
        <v>531</v>
      </c>
      <c r="D76" s="52">
        <v>3611000000</v>
      </c>
      <c r="E76" s="29">
        <v>0</v>
      </c>
      <c r="F76" s="52">
        <v>413000000</v>
      </c>
      <c r="G76" s="29">
        <v>0</v>
      </c>
      <c r="H76" s="52">
        <f>M76-SUM(D76:G76,I76:L76)</f>
        <v>2457000000</v>
      </c>
      <c r="I76" s="29">
        <v>0</v>
      </c>
      <c r="J76" s="29">
        <v>0</v>
      </c>
      <c r="K76" s="29">
        <v>0</v>
      </c>
      <c r="L76" s="29">
        <v>0</v>
      </c>
      <c r="M76" s="52">
        <v>6481000000</v>
      </c>
      <c r="N76" s="54"/>
      <c r="O76" s="54"/>
    </row>
    <row r="77" spans="1:15">
      <c r="A77" s="110">
        <v>74</v>
      </c>
      <c r="B77" s="38" t="s">
        <v>527</v>
      </c>
      <c r="C77" s="38" t="s">
        <v>532</v>
      </c>
      <c r="D77" s="29">
        <v>19713000000</v>
      </c>
      <c r="E77" s="29">
        <v>0</v>
      </c>
      <c r="F77" s="29">
        <v>14919000000</v>
      </c>
      <c r="G77" s="29">
        <v>59786000000</v>
      </c>
      <c r="H77" s="29">
        <f t="shared" ref="H77:H97" si="6">M77-SUM(D77:G77,I77:L77)</f>
        <v>828653000000</v>
      </c>
      <c r="I77" s="29">
        <v>1171113000000</v>
      </c>
      <c r="J77" s="29">
        <v>120500000000</v>
      </c>
      <c r="K77" s="29">
        <v>0</v>
      </c>
      <c r="L77" s="29">
        <v>0</v>
      </c>
      <c r="M77" s="29">
        <v>2214684000000</v>
      </c>
      <c r="N77" s="54"/>
    </row>
    <row r="78" spans="1:15">
      <c r="A78" s="110">
        <v>75</v>
      </c>
      <c r="B78" s="38" t="s">
        <v>527</v>
      </c>
      <c r="C78" s="38" t="s">
        <v>533</v>
      </c>
      <c r="D78" s="29">
        <f>14763000000+4137000000+1544000000</f>
        <v>20444000000</v>
      </c>
      <c r="E78" s="29">
        <v>0</v>
      </c>
      <c r="F78" s="29">
        <f>2460000000+2017000000</f>
        <v>4477000000</v>
      </c>
      <c r="G78" s="29">
        <v>220000000</v>
      </c>
      <c r="H78" s="29">
        <f t="shared" si="6"/>
        <v>1421279000000</v>
      </c>
      <c r="I78" s="29">
        <v>180000000</v>
      </c>
      <c r="J78" s="29">
        <v>0</v>
      </c>
      <c r="K78" s="29">
        <v>0</v>
      </c>
      <c r="L78" s="29">
        <v>0</v>
      </c>
      <c r="M78" s="29">
        <f>71076000000+451000000+2206000000+1094734000000+278102000000+31000000</f>
        <v>1446600000000</v>
      </c>
      <c r="N78" s="54"/>
    </row>
    <row r="79" spans="1:15">
      <c r="A79" s="110">
        <v>76</v>
      </c>
      <c r="B79" s="38" t="s">
        <v>170</v>
      </c>
      <c r="C79" s="38" t="s">
        <v>171</v>
      </c>
      <c r="D79" s="65">
        <v>8500000000</v>
      </c>
      <c r="E79" s="65">
        <v>431000000</v>
      </c>
      <c r="F79" s="65">
        <v>0</v>
      </c>
      <c r="G79" s="65">
        <v>438000000</v>
      </c>
      <c r="H79" s="65">
        <f t="shared" si="6"/>
        <v>57000000</v>
      </c>
      <c r="I79" s="65">
        <v>0</v>
      </c>
      <c r="J79" s="65">
        <v>0</v>
      </c>
      <c r="K79" s="65">
        <v>0</v>
      </c>
      <c r="L79" s="65">
        <v>0</v>
      </c>
      <c r="M79" s="65">
        <v>9426000000</v>
      </c>
      <c r="N79" s="54"/>
    </row>
    <row r="80" spans="1:15">
      <c r="A80" s="110">
        <v>77</v>
      </c>
      <c r="B80" s="38" t="s">
        <v>170</v>
      </c>
      <c r="C80" s="38" t="s">
        <v>172</v>
      </c>
      <c r="D80" s="65">
        <v>1734000000</v>
      </c>
      <c r="E80" s="65">
        <v>81000000</v>
      </c>
      <c r="F80" s="65">
        <v>0</v>
      </c>
      <c r="G80" s="65">
        <v>160000000</v>
      </c>
      <c r="H80" s="65">
        <f t="shared" si="6"/>
        <v>43000000</v>
      </c>
      <c r="I80" s="65">
        <v>0</v>
      </c>
      <c r="J80" s="65">
        <v>0</v>
      </c>
      <c r="K80" s="65">
        <v>0</v>
      </c>
      <c r="L80" s="65">
        <v>0</v>
      </c>
      <c r="M80" s="65">
        <v>2018000000</v>
      </c>
      <c r="N80" s="54"/>
    </row>
    <row r="81" spans="1:14">
      <c r="A81" s="110">
        <v>78</v>
      </c>
      <c r="B81" s="38" t="s">
        <v>170</v>
      </c>
      <c r="C81" s="38" t="s">
        <v>173</v>
      </c>
      <c r="D81" s="65">
        <v>1652000000</v>
      </c>
      <c r="E81" s="65">
        <v>930000000</v>
      </c>
      <c r="F81" s="65">
        <v>0</v>
      </c>
      <c r="G81" s="65">
        <v>498000000</v>
      </c>
      <c r="H81" s="65">
        <f t="shared" si="6"/>
        <v>0</v>
      </c>
      <c r="I81" s="65">
        <v>0</v>
      </c>
      <c r="J81" s="65">
        <v>0</v>
      </c>
      <c r="K81" s="65">
        <v>0</v>
      </c>
      <c r="L81" s="65">
        <v>0</v>
      </c>
      <c r="M81" s="65">
        <v>3080000000</v>
      </c>
      <c r="N81" s="54"/>
    </row>
    <row r="82" spans="1:14">
      <c r="A82" s="110">
        <v>79</v>
      </c>
      <c r="B82" s="38" t="s">
        <v>170</v>
      </c>
      <c r="C82" s="38" t="s">
        <v>174</v>
      </c>
      <c r="D82" s="65">
        <v>2729000000</v>
      </c>
      <c r="E82" s="65">
        <v>126000000</v>
      </c>
      <c r="F82" s="65">
        <v>0</v>
      </c>
      <c r="G82" s="65">
        <v>521000000</v>
      </c>
      <c r="H82" s="65">
        <f t="shared" si="6"/>
        <v>42000000</v>
      </c>
      <c r="I82" s="65">
        <v>0</v>
      </c>
      <c r="J82" s="65">
        <v>0</v>
      </c>
      <c r="K82" s="65">
        <v>0</v>
      </c>
      <c r="L82" s="65">
        <v>0</v>
      </c>
      <c r="M82" s="65">
        <v>3418000000</v>
      </c>
      <c r="N82" s="54"/>
    </row>
    <row r="83" spans="1:14">
      <c r="A83" s="110">
        <v>80</v>
      </c>
      <c r="B83" s="38" t="s">
        <v>170</v>
      </c>
      <c r="C83" s="38" t="s">
        <v>175</v>
      </c>
      <c r="D83" s="65">
        <v>1226000000</v>
      </c>
      <c r="E83" s="65">
        <v>0</v>
      </c>
      <c r="F83" s="65">
        <v>0</v>
      </c>
      <c r="G83" s="65">
        <v>1025000000</v>
      </c>
      <c r="H83" s="65">
        <f t="shared" si="6"/>
        <v>76000000</v>
      </c>
      <c r="I83" s="65">
        <v>0</v>
      </c>
      <c r="J83" s="65">
        <v>0</v>
      </c>
      <c r="K83" s="65">
        <v>190000000</v>
      </c>
      <c r="L83" s="65">
        <v>0</v>
      </c>
      <c r="M83" s="65">
        <v>2517000000</v>
      </c>
      <c r="N83" s="54"/>
    </row>
    <row r="84" spans="1:14">
      <c r="A84" s="110">
        <v>81</v>
      </c>
      <c r="B84" s="38" t="s">
        <v>170</v>
      </c>
      <c r="C84" s="38" t="s">
        <v>176</v>
      </c>
      <c r="D84" s="65">
        <v>1467000000</v>
      </c>
      <c r="E84" s="65">
        <v>61000000</v>
      </c>
      <c r="F84" s="65">
        <v>0</v>
      </c>
      <c r="G84" s="65">
        <v>151000000</v>
      </c>
      <c r="H84" s="65">
        <f t="shared" si="6"/>
        <v>0</v>
      </c>
      <c r="I84" s="65">
        <v>0</v>
      </c>
      <c r="J84" s="65">
        <v>0</v>
      </c>
      <c r="K84" s="65">
        <v>0</v>
      </c>
      <c r="L84" s="65">
        <v>0</v>
      </c>
      <c r="M84" s="65">
        <v>1679000000</v>
      </c>
      <c r="N84" s="54"/>
    </row>
    <row r="85" spans="1:14">
      <c r="A85" s="110">
        <v>82</v>
      </c>
      <c r="B85" s="38" t="s">
        <v>170</v>
      </c>
      <c r="C85" s="38" t="s">
        <v>534</v>
      </c>
      <c r="D85" s="65">
        <v>5197000000</v>
      </c>
      <c r="E85" s="65">
        <v>31000000</v>
      </c>
      <c r="F85" s="65">
        <v>0</v>
      </c>
      <c r="G85" s="65">
        <v>0</v>
      </c>
      <c r="H85" s="65">
        <f t="shared" si="6"/>
        <v>443000000</v>
      </c>
      <c r="I85" s="65">
        <v>0</v>
      </c>
      <c r="J85" s="65">
        <v>0</v>
      </c>
      <c r="K85" s="65">
        <v>0</v>
      </c>
      <c r="L85" s="65">
        <v>0</v>
      </c>
      <c r="M85" s="65">
        <v>5671000000</v>
      </c>
      <c r="N85" s="54"/>
    </row>
    <row r="86" spans="1:14">
      <c r="A86" s="110">
        <v>83</v>
      </c>
      <c r="B86" s="38" t="s">
        <v>170</v>
      </c>
      <c r="C86" s="38" t="s">
        <v>535</v>
      </c>
      <c r="D86" s="65">
        <v>2375000000</v>
      </c>
      <c r="E86" s="52">
        <v>39000000</v>
      </c>
      <c r="F86" s="65">
        <v>0</v>
      </c>
      <c r="G86" s="65">
        <v>28000000</v>
      </c>
      <c r="H86" s="65">
        <f t="shared" si="6"/>
        <v>236000000</v>
      </c>
      <c r="I86" s="65">
        <v>0</v>
      </c>
      <c r="J86" s="65">
        <v>0</v>
      </c>
      <c r="K86" s="65">
        <v>0</v>
      </c>
      <c r="L86" s="65">
        <v>0</v>
      </c>
      <c r="M86" s="65">
        <v>2678000000</v>
      </c>
      <c r="N86" s="54"/>
    </row>
    <row r="87" spans="1:14">
      <c r="A87" s="110">
        <v>84</v>
      </c>
      <c r="B87" s="38" t="s">
        <v>170</v>
      </c>
      <c r="C87" s="38" t="s">
        <v>179</v>
      </c>
      <c r="D87" s="29">
        <v>2069000000</v>
      </c>
      <c r="E87" s="29">
        <v>0</v>
      </c>
      <c r="F87" s="29">
        <v>0</v>
      </c>
      <c r="G87" s="29">
        <v>0</v>
      </c>
      <c r="H87" s="29">
        <f t="shared" si="6"/>
        <v>901000000</v>
      </c>
      <c r="I87" s="29">
        <v>0</v>
      </c>
      <c r="J87" s="29">
        <v>0</v>
      </c>
      <c r="K87" s="29">
        <v>0</v>
      </c>
      <c r="L87" s="29">
        <v>0</v>
      </c>
      <c r="M87" s="29">
        <v>2970000000</v>
      </c>
      <c r="N87" s="54"/>
    </row>
    <row r="88" spans="1:14">
      <c r="A88" s="110">
        <v>85</v>
      </c>
      <c r="B88" s="38" t="s">
        <v>170</v>
      </c>
      <c r="C88" s="38" t="s">
        <v>180</v>
      </c>
      <c r="D88" s="65">
        <v>1174000000</v>
      </c>
      <c r="E88" s="65">
        <v>2841000000</v>
      </c>
      <c r="F88" s="65">
        <v>0</v>
      </c>
      <c r="G88" s="65">
        <v>0</v>
      </c>
      <c r="H88" s="65">
        <f t="shared" si="6"/>
        <v>8660000000</v>
      </c>
      <c r="I88" s="65">
        <v>0</v>
      </c>
      <c r="J88" s="65">
        <v>0</v>
      </c>
      <c r="K88" s="65">
        <v>588000000</v>
      </c>
      <c r="L88" s="65">
        <v>0</v>
      </c>
      <c r="M88" s="65">
        <v>13263000000</v>
      </c>
      <c r="N88" s="54"/>
    </row>
    <row r="89" spans="1:14">
      <c r="A89" s="110">
        <v>86</v>
      </c>
      <c r="B89" s="38" t="s">
        <v>170</v>
      </c>
      <c r="C89" s="38" t="s">
        <v>536</v>
      </c>
      <c r="D89" s="65">
        <v>281000000</v>
      </c>
      <c r="E89" s="78" t="s">
        <v>311</v>
      </c>
      <c r="F89" s="65">
        <v>145943000000</v>
      </c>
      <c r="G89" s="65">
        <v>7917000000</v>
      </c>
      <c r="H89" s="65">
        <f t="shared" si="6"/>
        <v>1130977000000</v>
      </c>
      <c r="I89" s="65">
        <v>432996000000</v>
      </c>
      <c r="J89" s="65">
        <v>1000000000</v>
      </c>
      <c r="K89" s="65">
        <v>0</v>
      </c>
      <c r="L89" s="65">
        <v>0</v>
      </c>
      <c r="M89" s="65">
        <v>1719114000000</v>
      </c>
      <c r="N89" s="54"/>
    </row>
    <row r="90" spans="1:14">
      <c r="A90" s="110">
        <v>87</v>
      </c>
      <c r="B90" s="38" t="s">
        <v>170</v>
      </c>
      <c r="C90" s="38" t="s">
        <v>537</v>
      </c>
      <c r="D90" s="65">
        <v>6542000000</v>
      </c>
      <c r="E90" s="65">
        <v>0</v>
      </c>
      <c r="F90" s="65">
        <v>0</v>
      </c>
      <c r="G90" s="65">
        <v>0</v>
      </c>
      <c r="H90" s="65">
        <f t="shared" si="6"/>
        <v>972000000</v>
      </c>
      <c r="I90" s="65">
        <v>0</v>
      </c>
      <c r="J90" s="65">
        <v>0</v>
      </c>
      <c r="K90" s="65">
        <v>0</v>
      </c>
      <c r="L90" s="65">
        <v>0</v>
      </c>
      <c r="M90" s="65">
        <f>7134000000+380000000</f>
        <v>7514000000</v>
      </c>
      <c r="N90" s="54"/>
    </row>
    <row r="91" spans="1:14">
      <c r="A91" s="110">
        <v>88</v>
      </c>
      <c r="B91" s="38" t="s">
        <v>170</v>
      </c>
      <c r="C91" s="38" t="s">
        <v>538</v>
      </c>
      <c r="D91" s="78" t="s">
        <v>311</v>
      </c>
      <c r="E91" s="78">
        <v>0</v>
      </c>
      <c r="F91" s="65">
        <f>25903000000+11494000000</f>
        <v>37397000000</v>
      </c>
      <c r="G91" s="65">
        <v>1114000000</v>
      </c>
      <c r="H91" s="65">
        <f t="shared" si="6"/>
        <v>88655000000</v>
      </c>
      <c r="I91" s="65">
        <f>9100000000+6000000000</f>
        <v>15100000000</v>
      </c>
      <c r="J91" s="78" t="s">
        <v>311</v>
      </c>
      <c r="K91" s="78" t="s">
        <v>311</v>
      </c>
      <c r="L91" s="78" t="s">
        <v>311</v>
      </c>
      <c r="M91" s="65">
        <v>142266000000</v>
      </c>
      <c r="N91" s="54"/>
    </row>
    <row r="92" spans="1:14">
      <c r="A92" s="110">
        <v>89</v>
      </c>
      <c r="B92" s="38" t="s">
        <v>170</v>
      </c>
      <c r="C92" s="38" t="s">
        <v>539</v>
      </c>
      <c r="D92" s="65">
        <v>6658000000</v>
      </c>
      <c r="E92" s="65">
        <v>543000000</v>
      </c>
      <c r="F92" s="65">
        <v>3384000000</v>
      </c>
      <c r="G92" s="65">
        <v>0</v>
      </c>
      <c r="H92" s="65">
        <f t="shared" si="6"/>
        <v>2980000000</v>
      </c>
      <c r="I92" s="65">
        <v>0</v>
      </c>
      <c r="J92" s="65">
        <v>0</v>
      </c>
      <c r="K92" s="65">
        <v>0</v>
      </c>
      <c r="L92" s="65">
        <v>0</v>
      </c>
      <c r="M92" s="65">
        <v>13565000000</v>
      </c>
      <c r="N92" s="54"/>
    </row>
    <row r="93" spans="1:14">
      <c r="A93" s="110">
        <v>90</v>
      </c>
      <c r="B93" s="38" t="s">
        <v>170</v>
      </c>
      <c r="C93" s="38" t="s">
        <v>540</v>
      </c>
      <c r="D93" s="78" t="s">
        <v>311</v>
      </c>
      <c r="E93" s="78" t="s">
        <v>311</v>
      </c>
      <c r="F93" s="78">
        <v>159000000</v>
      </c>
      <c r="G93" s="78">
        <v>1158000000</v>
      </c>
      <c r="H93" s="78">
        <f t="shared" si="6"/>
        <v>646000000</v>
      </c>
      <c r="I93" s="78" t="s">
        <v>311</v>
      </c>
      <c r="J93" s="78" t="s">
        <v>311</v>
      </c>
      <c r="K93" s="78" t="s">
        <v>311</v>
      </c>
      <c r="L93" s="78" t="s">
        <v>311</v>
      </c>
      <c r="M93" s="78">
        <v>1963000000</v>
      </c>
      <c r="N93" s="54"/>
    </row>
    <row r="94" spans="1:14">
      <c r="A94" s="110">
        <v>91</v>
      </c>
      <c r="B94" s="38" t="s">
        <v>170</v>
      </c>
      <c r="C94" s="38" t="s">
        <v>541</v>
      </c>
      <c r="D94" s="65">
        <v>0</v>
      </c>
      <c r="E94" s="65">
        <v>0</v>
      </c>
      <c r="F94" s="65">
        <v>27147000000</v>
      </c>
      <c r="G94" s="65">
        <v>126479000000</v>
      </c>
      <c r="H94" s="65">
        <f t="shared" si="6"/>
        <v>1001882000000</v>
      </c>
      <c r="I94" s="65">
        <v>838556000000</v>
      </c>
      <c r="J94" s="65">
        <v>0</v>
      </c>
      <c r="K94" s="65">
        <v>0</v>
      </c>
      <c r="L94" s="65">
        <v>0</v>
      </c>
      <c r="M94" s="65">
        <v>1994064000000</v>
      </c>
      <c r="N94" s="54"/>
    </row>
    <row r="95" spans="1:14">
      <c r="A95" s="110">
        <v>92</v>
      </c>
      <c r="B95" s="38" t="s">
        <v>170</v>
      </c>
      <c r="C95" s="38" t="s">
        <v>542</v>
      </c>
      <c r="D95" s="29">
        <v>0</v>
      </c>
      <c r="E95" s="29">
        <v>0</v>
      </c>
      <c r="F95" s="29">
        <v>0</v>
      </c>
      <c r="G95" s="29">
        <v>0</v>
      </c>
      <c r="H95" s="29">
        <f t="shared" si="6"/>
        <v>2318932000</v>
      </c>
      <c r="I95" s="29">
        <v>0</v>
      </c>
      <c r="J95" s="29">
        <v>334000000</v>
      </c>
      <c r="K95" s="29">
        <v>0</v>
      </c>
      <c r="L95" s="29">
        <v>0</v>
      </c>
      <c r="M95" s="29">
        <v>2652932000</v>
      </c>
      <c r="N95" s="54"/>
    </row>
    <row r="96" spans="1:14">
      <c r="A96" s="110">
        <v>93</v>
      </c>
      <c r="B96" s="38" t="s">
        <v>170</v>
      </c>
      <c r="C96" s="38" t="s">
        <v>543</v>
      </c>
      <c r="D96" s="78" t="s">
        <v>311</v>
      </c>
      <c r="E96" s="78" t="s">
        <v>311</v>
      </c>
      <c r="F96" s="65">
        <v>1568000000</v>
      </c>
      <c r="G96" s="29">
        <v>0</v>
      </c>
      <c r="H96" s="65">
        <f t="shared" si="6"/>
        <v>1859993000000</v>
      </c>
      <c r="I96" s="65">
        <v>1675500000000</v>
      </c>
      <c r="J96" s="65">
        <v>37298000000</v>
      </c>
      <c r="K96" s="29">
        <v>0</v>
      </c>
      <c r="L96" s="29">
        <v>0</v>
      </c>
      <c r="M96" s="65">
        <v>3574359000000</v>
      </c>
      <c r="N96" s="54"/>
    </row>
    <row r="97" spans="1:14">
      <c r="A97" s="110">
        <v>94</v>
      </c>
      <c r="B97" s="38" t="s">
        <v>170</v>
      </c>
      <c r="C97" s="38" t="s">
        <v>544</v>
      </c>
      <c r="D97" s="29">
        <v>0</v>
      </c>
      <c r="E97" s="29">
        <v>0</v>
      </c>
      <c r="F97" s="29">
        <v>25425000000</v>
      </c>
      <c r="G97" s="29">
        <v>0</v>
      </c>
      <c r="H97" s="29">
        <f t="shared" si="6"/>
        <v>4417705000000</v>
      </c>
      <c r="I97" s="29">
        <f>210000000000+106900000000+3048818000000+74573000000+6289000000</f>
        <v>3446580000000</v>
      </c>
      <c r="J97" s="29">
        <v>0</v>
      </c>
      <c r="K97" s="29">
        <v>0</v>
      </c>
      <c r="L97" s="29">
        <v>0</v>
      </c>
      <c r="M97" s="29">
        <v>7889710000000</v>
      </c>
      <c r="N97" s="54"/>
    </row>
    <row r="98" spans="1:14">
      <c r="A98" s="110">
        <v>95</v>
      </c>
      <c r="B98" s="38" t="s">
        <v>545</v>
      </c>
      <c r="C98" s="38" t="s">
        <v>191</v>
      </c>
      <c r="D98" s="29">
        <v>12051000000</v>
      </c>
      <c r="E98" s="29">
        <v>330000000</v>
      </c>
      <c r="F98" s="29">
        <v>0</v>
      </c>
      <c r="G98" s="29">
        <v>3611000000</v>
      </c>
      <c r="H98" s="29">
        <f t="shared" si="5"/>
        <v>26000000</v>
      </c>
      <c r="I98" s="29">
        <v>0</v>
      </c>
      <c r="J98" s="29">
        <v>0</v>
      </c>
      <c r="K98" s="29">
        <v>0</v>
      </c>
      <c r="L98" s="29">
        <v>0</v>
      </c>
      <c r="M98" s="29">
        <v>16018000000</v>
      </c>
      <c r="N98" s="54"/>
    </row>
    <row r="99" spans="1:14">
      <c r="A99" s="110">
        <v>96</v>
      </c>
      <c r="B99" s="38" t="s">
        <v>545</v>
      </c>
      <c r="C99" s="38" t="s">
        <v>546</v>
      </c>
      <c r="D99" s="29">
        <v>1686000000</v>
      </c>
      <c r="E99" s="29">
        <v>0</v>
      </c>
      <c r="F99" s="29">
        <f>942000000+12142000000+700000000</f>
        <v>13784000000</v>
      </c>
      <c r="G99" s="29">
        <v>0</v>
      </c>
      <c r="H99" s="29">
        <f t="shared" si="5"/>
        <v>43634000000</v>
      </c>
      <c r="I99" s="29">
        <v>3700000000</v>
      </c>
      <c r="J99" s="29">
        <v>0</v>
      </c>
      <c r="K99" s="29">
        <v>0</v>
      </c>
      <c r="L99" s="29">
        <v>0</v>
      </c>
      <c r="M99" s="29">
        <v>62804000000</v>
      </c>
      <c r="N99" s="54"/>
    </row>
    <row r="100" spans="1:14" ht="13.8" thickBot="1">
      <c r="A100" s="116">
        <v>97</v>
      </c>
      <c r="B100" s="117" t="s">
        <v>547</v>
      </c>
      <c r="C100" s="117" t="s">
        <v>548</v>
      </c>
      <c r="D100" s="118">
        <v>4330000000</v>
      </c>
      <c r="E100" s="118">
        <v>0</v>
      </c>
      <c r="F100" s="118">
        <v>0</v>
      </c>
      <c r="G100" s="118">
        <v>0</v>
      </c>
      <c r="H100" s="118">
        <f t="shared" ref="H100" si="7">M100-SUM(D100:G100,I100:L100)</f>
        <v>0</v>
      </c>
      <c r="I100" s="118">
        <v>0</v>
      </c>
      <c r="J100" s="118">
        <v>0</v>
      </c>
      <c r="K100" s="118">
        <v>0</v>
      </c>
      <c r="L100" s="118">
        <v>0</v>
      </c>
      <c r="M100" s="118">
        <v>4330000000</v>
      </c>
      <c r="N100" s="54"/>
    </row>
    <row r="101" spans="1:14" s="37" customFormat="1" ht="19.8" customHeight="1" thickTop="1">
      <c r="A101" s="167" t="s">
        <v>585</v>
      </c>
      <c r="B101" s="187"/>
      <c r="C101" s="170"/>
      <c r="D101" s="115">
        <f t="shared" ref="D101:L101" si="8">SUM(D4:D100)</f>
        <v>1437097894000</v>
      </c>
      <c r="E101" s="115">
        <f t="shared" si="8"/>
        <v>37494424000</v>
      </c>
      <c r="F101" s="115">
        <f t="shared" si="8"/>
        <v>936330881797</v>
      </c>
      <c r="G101" s="115">
        <f t="shared" si="8"/>
        <v>307370682000</v>
      </c>
      <c r="H101" s="115">
        <f t="shared" si="8"/>
        <v>57241115430203</v>
      </c>
      <c r="I101" s="115">
        <f t="shared" si="8"/>
        <v>9248947000000</v>
      </c>
      <c r="J101" s="115">
        <f t="shared" si="8"/>
        <v>169933100000</v>
      </c>
      <c r="K101" s="115">
        <f t="shared" si="8"/>
        <v>154909876000</v>
      </c>
      <c r="L101" s="115">
        <f t="shared" si="8"/>
        <v>0</v>
      </c>
      <c r="M101" s="115">
        <f>SUM(M4:M100)</f>
        <v>69533199288000</v>
      </c>
    </row>
    <row r="103" spans="1:14" ht="13.2" customHeight="1">
      <c r="B103" s="179" t="s">
        <v>664</v>
      </c>
      <c r="C103" s="179"/>
      <c r="D103" s="179"/>
      <c r="E103" s="179"/>
      <c r="F103" s="179"/>
      <c r="G103" s="179"/>
      <c r="H103" s="179"/>
      <c r="I103" s="179"/>
      <c r="J103" s="179"/>
    </row>
    <row r="104" spans="1:14">
      <c r="B104" s="179"/>
      <c r="C104" s="179"/>
      <c r="D104" s="179"/>
      <c r="E104" s="179"/>
      <c r="F104" s="179"/>
      <c r="G104" s="179"/>
      <c r="H104" s="179"/>
      <c r="I104" s="179"/>
      <c r="J104" s="179"/>
    </row>
    <row r="105" spans="1:14">
      <c r="B105" s="179"/>
      <c r="C105" s="179"/>
      <c r="D105" s="179"/>
      <c r="E105" s="179"/>
      <c r="F105" s="179"/>
      <c r="G105" s="179"/>
      <c r="H105" s="179"/>
      <c r="I105" s="179"/>
      <c r="J105" s="179"/>
    </row>
  </sheetData>
  <mergeCells count="7">
    <mergeCell ref="A2:A3"/>
    <mergeCell ref="B103:J105"/>
    <mergeCell ref="D2:L2"/>
    <mergeCell ref="M2:M3"/>
    <mergeCell ref="B2:B3"/>
    <mergeCell ref="C2:C3"/>
    <mergeCell ref="A101:C101"/>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zoomScale="75" zoomScaleNormal="75" workbookViewId="0">
      <pane xSplit="3" ySplit="4" topLeftCell="D77" activePane="bottomRight" state="frozen"/>
      <selection activeCell="B2" sqref="B2:B3"/>
      <selection pane="topRight" activeCell="B2" sqref="B2:B3"/>
      <selection pane="bottomLeft" activeCell="B2" sqref="B2:B3"/>
      <selection pane="bottomRight" activeCell="B107" sqref="B107"/>
    </sheetView>
  </sheetViews>
  <sheetFormatPr defaultColWidth="8.88671875" defaultRowHeight="13.2"/>
  <cols>
    <col min="1" max="1" width="4.33203125" style="37" customWidth="1"/>
    <col min="2" max="2" width="15.44140625" style="1" customWidth="1"/>
    <col min="3" max="3" width="44.6640625" style="1" bestFit="1" customWidth="1"/>
    <col min="4" max="4" width="15.44140625" style="1" customWidth="1"/>
    <col min="5" max="5" width="15.44140625" style="37" customWidth="1"/>
    <col min="6" max="9" width="15.44140625" style="1" customWidth="1"/>
    <col min="10" max="10" width="15.44140625" style="37" customWidth="1"/>
    <col min="11" max="13" width="15.44140625" style="1" customWidth="1"/>
    <col min="14" max="16384" width="8.88671875" style="1"/>
  </cols>
  <sheetData>
    <row r="1" spans="1:13" ht="19.95" customHeight="1">
      <c r="B1" s="144" t="s">
        <v>636</v>
      </c>
      <c r="M1" s="39" t="s">
        <v>204</v>
      </c>
    </row>
    <row r="2" spans="1:13">
      <c r="A2" s="161" t="s">
        <v>195</v>
      </c>
      <c r="B2" s="161" t="s">
        <v>0</v>
      </c>
      <c r="C2" s="161" t="s">
        <v>1</v>
      </c>
      <c r="D2" s="164" t="s">
        <v>2</v>
      </c>
      <c r="E2" s="165"/>
      <c r="F2" s="165"/>
      <c r="G2" s="165"/>
      <c r="H2" s="165"/>
      <c r="I2" s="165"/>
      <c r="J2" s="165"/>
      <c r="K2" s="165"/>
      <c r="L2" s="166"/>
      <c r="M2" s="161" t="s">
        <v>9</v>
      </c>
    </row>
    <row r="3" spans="1:13" s="37" customFormat="1">
      <c r="A3" s="180"/>
      <c r="B3" s="180"/>
      <c r="C3" s="180"/>
      <c r="D3" s="175" t="s">
        <v>10</v>
      </c>
      <c r="E3" s="84"/>
      <c r="F3" s="161" t="s">
        <v>4</v>
      </c>
      <c r="G3" s="161" t="s">
        <v>11</v>
      </c>
      <c r="H3" s="176" t="s">
        <v>12</v>
      </c>
      <c r="I3" s="25"/>
      <c r="J3" s="161" t="s">
        <v>412</v>
      </c>
      <c r="K3" s="161" t="s">
        <v>6</v>
      </c>
      <c r="L3" s="161" t="s">
        <v>13</v>
      </c>
      <c r="M3" s="180"/>
    </row>
    <row r="4" spans="1:13">
      <c r="A4" s="162"/>
      <c r="B4" s="162"/>
      <c r="C4" s="162"/>
      <c r="D4" s="194"/>
      <c r="E4" s="83" t="s">
        <v>242</v>
      </c>
      <c r="F4" s="162"/>
      <c r="G4" s="162"/>
      <c r="H4" s="187"/>
      <c r="I4" s="24" t="s">
        <v>242</v>
      </c>
      <c r="J4" s="162"/>
      <c r="K4" s="162"/>
      <c r="L4" s="162"/>
      <c r="M4" s="162"/>
    </row>
    <row r="5" spans="1:13">
      <c r="A5" s="26">
        <v>1</v>
      </c>
      <c r="B5" s="38" t="s">
        <v>471</v>
      </c>
      <c r="C5" s="38" t="s">
        <v>86</v>
      </c>
      <c r="D5" s="65">
        <f>SUM(1180000000,283000000)</f>
        <v>1463000000</v>
      </c>
      <c r="E5" s="65">
        <v>0</v>
      </c>
      <c r="F5" s="65">
        <v>0</v>
      </c>
      <c r="G5" s="52">
        <v>0</v>
      </c>
      <c r="H5" s="52">
        <f>SUM(239000000)</f>
        <v>239000000</v>
      </c>
      <c r="I5" s="52">
        <v>0</v>
      </c>
      <c r="J5" s="52">
        <v>568000000</v>
      </c>
      <c r="K5" s="52">
        <v>0</v>
      </c>
      <c r="L5" s="65">
        <v>0</v>
      </c>
      <c r="M5" s="65">
        <v>2271000000</v>
      </c>
    </row>
    <row r="6" spans="1:13">
      <c r="A6" s="26">
        <v>2</v>
      </c>
      <c r="B6" s="38" t="s">
        <v>471</v>
      </c>
      <c r="C6" s="38" t="s">
        <v>472</v>
      </c>
      <c r="D6" s="65">
        <f>1049000000+99000000</f>
        <v>1148000000</v>
      </c>
      <c r="E6" s="65">
        <v>0</v>
      </c>
      <c r="F6" s="65">
        <v>0</v>
      </c>
      <c r="G6" s="52">
        <v>72000000</v>
      </c>
      <c r="H6" s="52">
        <f>SUM(27000000,14000000)</f>
        <v>41000000</v>
      </c>
      <c r="I6" s="52">
        <v>0</v>
      </c>
      <c r="J6" s="52">
        <f>134000000+112000000</f>
        <v>246000000</v>
      </c>
      <c r="K6" s="52">
        <v>0</v>
      </c>
      <c r="L6" s="65">
        <v>0</v>
      </c>
      <c r="M6" s="65">
        <f>1282000000+225000000</f>
        <v>1507000000</v>
      </c>
    </row>
    <row r="7" spans="1:13">
      <c r="A7" s="26">
        <v>3</v>
      </c>
      <c r="B7" s="38" t="s">
        <v>473</v>
      </c>
      <c r="C7" s="38" t="s">
        <v>474</v>
      </c>
      <c r="D7" s="29">
        <v>2527000000</v>
      </c>
      <c r="E7" s="65">
        <v>0</v>
      </c>
      <c r="F7" s="29">
        <v>0</v>
      </c>
      <c r="G7" s="52">
        <v>0</v>
      </c>
      <c r="H7" s="52">
        <v>487000000</v>
      </c>
      <c r="I7" s="52">
        <v>0</v>
      </c>
      <c r="J7" s="52">
        <v>0</v>
      </c>
      <c r="K7" s="52">
        <v>0</v>
      </c>
      <c r="L7" s="29">
        <v>0</v>
      </c>
      <c r="M7" s="29">
        <v>3013000000</v>
      </c>
    </row>
    <row r="8" spans="1:13">
      <c r="A8" s="26">
        <v>4</v>
      </c>
      <c r="B8" s="38" t="s">
        <v>90</v>
      </c>
      <c r="C8" s="38" t="s">
        <v>475</v>
      </c>
      <c r="D8" s="29">
        <v>26225000000</v>
      </c>
      <c r="E8" s="65">
        <v>0</v>
      </c>
      <c r="F8" s="29">
        <v>2391000000</v>
      </c>
      <c r="G8" s="52">
        <v>18726000000</v>
      </c>
      <c r="H8" s="52">
        <v>1945000000</v>
      </c>
      <c r="I8" s="52">
        <v>0</v>
      </c>
      <c r="J8" s="52">
        <v>0</v>
      </c>
      <c r="K8" s="52">
        <v>0</v>
      </c>
      <c r="L8" s="29">
        <v>0</v>
      </c>
      <c r="M8" s="29">
        <v>49287000000</v>
      </c>
    </row>
    <row r="9" spans="1:13">
      <c r="A9" s="26">
        <v>5</v>
      </c>
      <c r="B9" s="38" t="s">
        <v>90</v>
      </c>
      <c r="C9" s="38" t="s">
        <v>476</v>
      </c>
      <c r="D9" s="29">
        <v>1811000000</v>
      </c>
      <c r="E9" s="65">
        <v>0</v>
      </c>
      <c r="F9" s="29">
        <v>0</v>
      </c>
      <c r="G9" s="52">
        <f>20000000</f>
        <v>20000000</v>
      </c>
      <c r="H9" s="52">
        <f>273000000</f>
        <v>273000000</v>
      </c>
      <c r="I9" s="52">
        <v>0</v>
      </c>
      <c r="J9" s="52">
        <v>6011000000</v>
      </c>
      <c r="K9" s="52">
        <f>1059000000+4000000</f>
        <v>1063000000</v>
      </c>
      <c r="L9" s="29">
        <v>0</v>
      </c>
      <c r="M9" s="29">
        <v>9178000000</v>
      </c>
    </row>
    <row r="10" spans="1:13">
      <c r="A10" s="26">
        <v>6</v>
      </c>
      <c r="B10" s="38" t="s">
        <v>90</v>
      </c>
      <c r="C10" s="38" t="s">
        <v>477</v>
      </c>
      <c r="D10" s="29">
        <v>9597871000000</v>
      </c>
      <c r="E10" s="65">
        <v>0</v>
      </c>
      <c r="F10" s="29">
        <v>0</v>
      </c>
      <c r="G10" s="52">
        <v>0</v>
      </c>
      <c r="H10" s="52">
        <f>61000000</f>
        <v>61000000</v>
      </c>
      <c r="I10" s="52">
        <v>0</v>
      </c>
      <c r="J10" s="52">
        <v>477000000</v>
      </c>
      <c r="K10" s="52">
        <v>2394161000000</v>
      </c>
      <c r="L10" s="29">
        <v>0</v>
      </c>
      <c r="M10" s="29">
        <v>11992569000000</v>
      </c>
    </row>
    <row r="11" spans="1:13">
      <c r="A11" s="26">
        <v>7</v>
      </c>
      <c r="B11" s="38" t="s">
        <v>478</v>
      </c>
      <c r="C11" s="38" t="s">
        <v>479</v>
      </c>
      <c r="D11" s="52">
        <v>136270000000</v>
      </c>
      <c r="E11" s="52">
        <v>13636000000</v>
      </c>
      <c r="F11" s="29">
        <v>613000000</v>
      </c>
      <c r="G11" s="52">
        <v>485000000</v>
      </c>
      <c r="H11" s="52">
        <v>10477000000</v>
      </c>
      <c r="I11" s="52">
        <v>0</v>
      </c>
      <c r="J11" s="52">
        <v>0</v>
      </c>
      <c r="K11" s="52">
        <v>14000000</v>
      </c>
      <c r="L11" s="29">
        <v>0</v>
      </c>
      <c r="M11" s="29">
        <v>147859000000</v>
      </c>
    </row>
    <row r="12" spans="1:13">
      <c r="A12" s="26">
        <v>8</v>
      </c>
      <c r="B12" s="38" t="s">
        <v>478</v>
      </c>
      <c r="C12" s="38" t="s">
        <v>480</v>
      </c>
      <c r="D12" s="29">
        <v>17700000000</v>
      </c>
      <c r="E12" s="29">
        <v>0</v>
      </c>
      <c r="F12" s="29">
        <v>0</v>
      </c>
      <c r="G12" s="52">
        <v>0</v>
      </c>
      <c r="H12" s="52">
        <v>2403000000</v>
      </c>
      <c r="I12" s="52">
        <v>1728000000</v>
      </c>
      <c r="J12" s="52">
        <v>0</v>
      </c>
      <c r="K12" s="52">
        <v>0</v>
      </c>
      <c r="L12" s="29">
        <v>0</v>
      </c>
      <c r="M12" s="29">
        <v>20104000000</v>
      </c>
    </row>
    <row r="13" spans="1:13">
      <c r="A13" s="26">
        <v>9</v>
      </c>
      <c r="B13" s="38" t="s">
        <v>481</v>
      </c>
      <c r="C13" s="38" t="s">
        <v>482</v>
      </c>
      <c r="D13" s="29">
        <v>315000000</v>
      </c>
      <c r="E13" s="29">
        <v>0</v>
      </c>
      <c r="F13" s="29">
        <v>0</v>
      </c>
      <c r="G13" s="52">
        <v>33000000</v>
      </c>
      <c r="H13" s="52">
        <f>236000000</f>
        <v>236000000</v>
      </c>
      <c r="I13" s="52">
        <v>0</v>
      </c>
      <c r="J13" s="52">
        <v>447000000</v>
      </c>
      <c r="K13" s="52">
        <v>0</v>
      </c>
      <c r="L13" s="29">
        <v>0</v>
      </c>
      <c r="M13" s="29">
        <v>1031000000</v>
      </c>
    </row>
    <row r="14" spans="1:13">
      <c r="A14" s="26">
        <v>10</v>
      </c>
      <c r="B14" s="38" t="s">
        <v>481</v>
      </c>
      <c r="C14" s="38" t="s">
        <v>483</v>
      </c>
      <c r="D14" s="52">
        <v>28787000000</v>
      </c>
      <c r="E14" s="52">
        <v>8627000000</v>
      </c>
      <c r="F14" s="29">
        <v>5624000000</v>
      </c>
      <c r="G14" s="29">
        <v>0</v>
      </c>
      <c r="H14" s="29">
        <v>0</v>
      </c>
      <c r="I14" s="29">
        <v>0</v>
      </c>
      <c r="J14" s="29">
        <v>0</v>
      </c>
      <c r="K14" s="29">
        <v>0</v>
      </c>
      <c r="L14" s="29">
        <v>0</v>
      </c>
      <c r="M14" s="29">
        <v>34411000000</v>
      </c>
    </row>
    <row r="15" spans="1:13">
      <c r="A15" s="26">
        <v>11</v>
      </c>
      <c r="B15" s="38" t="s">
        <v>481</v>
      </c>
      <c r="C15" s="38" t="s">
        <v>484</v>
      </c>
      <c r="D15" s="52">
        <v>67160000000</v>
      </c>
      <c r="E15" s="52">
        <v>39082000000</v>
      </c>
      <c r="F15" s="29">
        <v>9979000000</v>
      </c>
      <c r="G15" s="29">
        <v>0</v>
      </c>
      <c r="H15" s="29">
        <v>0</v>
      </c>
      <c r="I15" s="29">
        <v>0</v>
      </c>
      <c r="J15" s="29">
        <v>0</v>
      </c>
      <c r="K15" s="29">
        <v>0</v>
      </c>
      <c r="L15" s="29">
        <v>0</v>
      </c>
      <c r="M15" s="29">
        <v>77138000000</v>
      </c>
    </row>
    <row r="16" spans="1:13">
      <c r="A16" s="26">
        <v>12</v>
      </c>
      <c r="B16" s="38" t="s">
        <v>485</v>
      </c>
      <c r="C16" s="38" t="s">
        <v>486</v>
      </c>
      <c r="D16" s="52">
        <v>425748000</v>
      </c>
      <c r="E16" s="52">
        <v>0</v>
      </c>
      <c r="F16" s="29">
        <v>52578000</v>
      </c>
      <c r="G16" s="29">
        <v>0</v>
      </c>
      <c r="H16" s="29">
        <v>0</v>
      </c>
      <c r="I16" s="29">
        <v>0</v>
      </c>
      <c r="J16" s="29">
        <v>665964000</v>
      </c>
      <c r="K16" s="29">
        <v>0</v>
      </c>
      <c r="L16" s="29">
        <v>0</v>
      </c>
      <c r="M16" s="29">
        <v>1144290000</v>
      </c>
    </row>
    <row r="17" spans="1:13">
      <c r="A17" s="26">
        <v>13</v>
      </c>
      <c r="B17" s="38" t="s">
        <v>485</v>
      </c>
      <c r="C17" s="38" t="s">
        <v>103</v>
      </c>
      <c r="D17" s="52">
        <v>11991117000</v>
      </c>
      <c r="E17" s="52">
        <v>710928000</v>
      </c>
      <c r="F17" s="52">
        <v>0</v>
      </c>
      <c r="G17" s="52">
        <v>0</v>
      </c>
      <c r="H17" s="52">
        <v>360601000</v>
      </c>
      <c r="I17" s="52">
        <v>191145000</v>
      </c>
      <c r="J17" s="52">
        <v>0</v>
      </c>
      <c r="K17" s="52">
        <f>90044000+20000000</f>
        <v>110044000</v>
      </c>
      <c r="L17" s="52">
        <v>0</v>
      </c>
      <c r="M17" s="52">
        <v>12461762000</v>
      </c>
    </row>
    <row r="18" spans="1:13">
      <c r="A18" s="26">
        <v>14</v>
      </c>
      <c r="B18" s="38" t="s">
        <v>485</v>
      </c>
      <c r="C18" s="38" t="s">
        <v>487</v>
      </c>
      <c r="D18" s="52">
        <v>4469000000</v>
      </c>
      <c r="E18" s="52">
        <v>0</v>
      </c>
      <c r="F18" s="52">
        <v>0</v>
      </c>
      <c r="G18" s="52">
        <v>0</v>
      </c>
      <c r="H18" s="52">
        <f>1894000000</f>
        <v>1894000000</v>
      </c>
      <c r="I18" s="52">
        <v>0</v>
      </c>
      <c r="J18" s="52">
        <v>4246000000</v>
      </c>
      <c r="K18" s="52">
        <v>0</v>
      </c>
      <c r="L18" s="52">
        <v>0</v>
      </c>
      <c r="M18" s="52">
        <v>10609000000</v>
      </c>
    </row>
    <row r="19" spans="1:13">
      <c r="A19" s="26">
        <v>15</v>
      </c>
      <c r="B19" s="38" t="s">
        <v>485</v>
      </c>
      <c r="C19" s="38" t="s">
        <v>105</v>
      </c>
      <c r="D19" s="29">
        <v>360000000</v>
      </c>
      <c r="E19" s="29">
        <v>0</v>
      </c>
      <c r="F19" s="29">
        <v>144000000</v>
      </c>
      <c r="G19" s="29">
        <v>5000000</v>
      </c>
      <c r="H19" s="29">
        <v>309000000</v>
      </c>
      <c r="I19" s="29">
        <v>0</v>
      </c>
      <c r="J19" s="29">
        <v>0</v>
      </c>
      <c r="K19" s="29">
        <v>0</v>
      </c>
      <c r="L19" s="29">
        <v>0</v>
      </c>
      <c r="M19" s="29">
        <v>818000000</v>
      </c>
    </row>
    <row r="20" spans="1:13">
      <c r="A20" s="26">
        <v>16</v>
      </c>
      <c r="B20" s="38" t="s">
        <v>485</v>
      </c>
      <c r="C20" s="38" t="s">
        <v>488</v>
      </c>
      <c r="D20" s="52">
        <v>1508000000</v>
      </c>
      <c r="E20" s="52">
        <v>0</v>
      </c>
      <c r="F20" s="52">
        <v>0</v>
      </c>
      <c r="G20" s="52">
        <v>0</v>
      </c>
      <c r="H20" s="52">
        <v>611000000</v>
      </c>
      <c r="I20" s="52">
        <v>0</v>
      </c>
      <c r="J20" s="52">
        <v>1062000000</v>
      </c>
      <c r="K20" s="52">
        <v>0</v>
      </c>
      <c r="L20" s="52">
        <v>0</v>
      </c>
      <c r="M20" s="52">
        <v>3181000000</v>
      </c>
    </row>
    <row r="21" spans="1:13">
      <c r="A21" s="26">
        <v>17</v>
      </c>
      <c r="B21" s="38" t="s">
        <v>485</v>
      </c>
      <c r="C21" s="38" t="s">
        <v>107</v>
      </c>
      <c r="D21" s="29">
        <f>11148000000+1448000000</f>
        <v>12596000000</v>
      </c>
      <c r="E21" s="29">
        <v>5064000000</v>
      </c>
      <c r="F21" s="29">
        <v>0</v>
      </c>
      <c r="G21" s="29">
        <v>3028000000</v>
      </c>
      <c r="H21" s="29">
        <v>1161000000</v>
      </c>
      <c r="I21" s="29">
        <v>492000000</v>
      </c>
      <c r="J21" s="29">
        <v>0</v>
      </c>
      <c r="K21" s="29">
        <v>0</v>
      </c>
      <c r="L21" s="29">
        <v>0</v>
      </c>
      <c r="M21" s="29">
        <v>16784000000</v>
      </c>
    </row>
    <row r="22" spans="1:13">
      <c r="A22" s="26">
        <v>18</v>
      </c>
      <c r="B22" s="38" t="s">
        <v>485</v>
      </c>
      <c r="C22" s="38" t="s">
        <v>108</v>
      </c>
      <c r="D22" s="29">
        <v>6890000000</v>
      </c>
      <c r="E22" s="29">
        <v>1488000000</v>
      </c>
      <c r="F22" s="29">
        <v>0</v>
      </c>
      <c r="G22" s="29">
        <v>1115000000</v>
      </c>
      <c r="H22" s="29">
        <v>530000000</v>
      </c>
      <c r="I22" s="52">
        <v>386000000</v>
      </c>
      <c r="J22" s="52">
        <v>0</v>
      </c>
      <c r="K22" s="52">
        <v>461000000</v>
      </c>
      <c r="L22" s="52">
        <v>0</v>
      </c>
      <c r="M22" s="52">
        <v>8997000000</v>
      </c>
    </row>
    <row r="23" spans="1:13">
      <c r="A23" s="26">
        <v>19</v>
      </c>
      <c r="B23" s="38" t="s">
        <v>485</v>
      </c>
      <c r="C23" s="38" t="s">
        <v>489</v>
      </c>
      <c r="D23" s="52">
        <f>10597000000</f>
        <v>10597000000</v>
      </c>
      <c r="E23" s="52">
        <v>2808000000</v>
      </c>
      <c r="F23" s="52">
        <v>162000000</v>
      </c>
      <c r="G23" s="52">
        <v>0</v>
      </c>
      <c r="H23" s="52">
        <f>752000000</f>
        <v>752000000</v>
      </c>
      <c r="I23" s="52">
        <f>349000000</f>
        <v>349000000</v>
      </c>
      <c r="J23" s="52">
        <v>231000000</v>
      </c>
      <c r="K23" s="52">
        <v>96000000</v>
      </c>
      <c r="L23" s="52">
        <v>0</v>
      </c>
      <c r="M23" s="52">
        <v>11838000000</v>
      </c>
    </row>
    <row r="24" spans="1:13">
      <c r="A24" s="26">
        <v>20</v>
      </c>
      <c r="B24" s="38" t="s">
        <v>485</v>
      </c>
      <c r="C24" s="38" t="s">
        <v>110</v>
      </c>
      <c r="D24" s="52">
        <v>7272000000</v>
      </c>
      <c r="E24" s="52">
        <v>801000000</v>
      </c>
      <c r="F24" s="52">
        <v>3505000000</v>
      </c>
      <c r="G24" s="52">
        <v>0</v>
      </c>
      <c r="H24" s="52">
        <v>1305000000</v>
      </c>
      <c r="I24" s="52">
        <v>301000000</v>
      </c>
      <c r="J24" s="52">
        <v>0</v>
      </c>
      <c r="K24" s="52">
        <v>0</v>
      </c>
      <c r="L24" s="52">
        <v>0</v>
      </c>
      <c r="M24" s="52">
        <v>12082000000</v>
      </c>
    </row>
    <row r="25" spans="1:13">
      <c r="A25" s="26">
        <v>21</v>
      </c>
      <c r="B25" s="38" t="s">
        <v>485</v>
      </c>
      <c r="C25" s="38" t="s">
        <v>490</v>
      </c>
      <c r="D25" s="52">
        <v>8170000000</v>
      </c>
      <c r="E25" s="52">
        <v>2519000000</v>
      </c>
      <c r="F25" s="52">
        <v>2920000000</v>
      </c>
      <c r="G25" s="52">
        <v>26000000</v>
      </c>
      <c r="H25" s="52">
        <v>1594000000</v>
      </c>
      <c r="I25" s="52">
        <v>731000000</v>
      </c>
      <c r="J25" s="52">
        <v>0</v>
      </c>
      <c r="K25" s="52">
        <v>0</v>
      </c>
      <c r="L25" s="52">
        <v>0</v>
      </c>
      <c r="M25" s="52">
        <v>12710000000</v>
      </c>
    </row>
    <row r="26" spans="1:13">
      <c r="A26" s="26">
        <v>22</v>
      </c>
      <c r="B26" s="38" t="s">
        <v>485</v>
      </c>
      <c r="C26" s="38" t="s">
        <v>112</v>
      </c>
      <c r="D26" s="29">
        <v>527000000</v>
      </c>
      <c r="E26" s="29">
        <v>0</v>
      </c>
      <c r="F26" s="52">
        <v>242000000</v>
      </c>
      <c r="G26" s="52">
        <v>0</v>
      </c>
      <c r="H26" s="52">
        <f>201000000</f>
        <v>201000000</v>
      </c>
      <c r="I26" s="52">
        <v>0</v>
      </c>
      <c r="J26" s="52">
        <v>422000000</v>
      </c>
      <c r="K26" s="29">
        <v>0</v>
      </c>
      <c r="L26" s="29">
        <v>0</v>
      </c>
      <c r="M26" s="29">
        <v>1392000000</v>
      </c>
    </row>
    <row r="27" spans="1:13">
      <c r="A27" s="26">
        <v>23</v>
      </c>
      <c r="B27" s="38" t="s">
        <v>485</v>
      </c>
      <c r="C27" s="38" t="s">
        <v>491</v>
      </c>
      <c r="D27" s="52">
        <f>107685000000+287000000+12010000000</f>
        <v>119982000000</v>
      </c>
      <c r="E27" s="52">
        <v>0</v>
      </c>
      <c r="F27" s="52">
        <v>0</v>
      </c>
      <c r="G27" s="52">
        <v>0</v>
      </c>
      <c r="H27" s="52">
        <f>1499000000</f>
        <v>1499000000</v>
      </c>
      <c r="I27" s="52">
        <v>0</v>
      </c>
      <c r="J27" s="52">
        <v>11635000000</v>
      </c>
      <c r="K27" s="52">
        <v>0</v>
      </c>
      <c r="L27" s="52">
        <v>0</v>
      </c>
      <c r="M27" s="52">
        <v>133116000000</v>
      </c>
    </row>
    <row r="28" spans="1:13">
      <c r="A28" s="26">
        <v>24</v>
      </c>
      <c r="B28" s="38" t="s">
        <v>485</v>
      </c>
      <c r="C28" s="38" t="s">
        <v>492</v>
      </c>
      <c r="D28" s="52">
        <f>26852000000+133133000000+105000000+45000000+61000000+1896000000+96039000000+42000000+252000000+0</f>
        <v>258425000000</v>
      </c>
      <c r="E28" s="52">
        <v>522000000</v>
      </c>
      <c r="F28" s="52">
        <v>0</v>
      </c>
      <c r="G28" s="52">
        <v>174000000</v>
      </c>
      <c r="H28" s="52">
        <v>933000000</v>
      </c>
      <c r="I28" s="52">
        <v>319000000</v>
      </c>
      <c r="J28" s="52">
        <v>0</v>
      </c>
      <c r="K28" s="52">
        <v>0</v>
      </c>
      <c r="L28" s="52">
        <v>0</v>
      </c>
      <c r="M28" s="52">
        <v>259533000000</v>
      </c>
    </row>
    <row r="29" spans="1:13">
      <c r="A29" s="26">
        <v>25</v>
      </c>
      <c r="B29" s="38" t="s">
        <v>485</v>
      </c>
      <c r="C29" s="38" t="s">
        <v>493</v>
      </c>
      <c r="D29" s="52">
        <v>47824000000</v>
      </c>
      <c r="E29" s="52">
        <v>5133000000</v>
      </c>
      <c r="F29" s="52">
        <v>104000000</v>
      </c>
      <c r="G29" s="52">
        <v>4955000000</v>
      </c>
      <c r="H29" s="52">
        <v>4040000000</v>
      </c>
      <c r="I29" s="52">
        <v>1346000000</v>
      </c>
      <c r="J29" s="52">
        <v>0</v>
      </c>
      <c r="K29" s="52">
        <v>27286000000</v>
      </c>
      <c r="L29" s="52">
        <v>0</v>
      </c>
      <c r="M29" s="52">
        <v>84210000000</v>
      </c>
    </row>
    <row r="30" spans="1:13">
      <c r="A30" s="26">
        <v>26</v>
      </c>
      <c r="B30" s="38" t="s">
        <v>485</v>
      </c>
      <c r="C30" s="38" t="s">
        <v>494</v>
      </c>
      <c r="D30" s="52">
        <f>108877000000+30236000000+8419000000+30000000</f>
        <v>147562000000</v>
      </c>
      <c r="E30" s="52">
        <v>13090000000</v>
      </c>
      <c r="F30" s="52">
        <v>911000000</v>
      </c>
      <c r="G30" s="52">
        <v>30948000000</v>
      </c>
      <c r="H30" s="52">
        <v>6595000000</v>
      </c>
      <c r="I30" s="52">
        <v>3717000000</v>
      </c>
      <c r="J30" s="52">
        <v>0</v>
      </c>
      <c r="K30" s="52">
        <v>0</v>
      </c>
      <c r="L30" s="52">
        <v>0</v>
      </c>
      <c r="M30" s="52">
        <v>186016000000</v>
      </c>
    </row>
    <row r="31" spans="1:13">
      <c r="A31" s="26">
        <v>27</v>
      </c>
      <c r="B31" s="38" t="s">
        <v>485</v>
      </c>
      <c r="C31" s="38" t="s">
        <v>495</v>
      </c>
      <c r="D31" s="29">
        <v>64881000000</v>
      </c>
      <c r="E31" s="29">
        <v>3428000000</v>
      </c>
      <c r="F31" s="29">
        <v>638000000</v>
      </c>
      <c r="G31" s="29">
        <v>2104000000</v>
      </c>
      <c r="H31" s="29">
        <v>981000000</v>
      </c>
      <c r="I31" s="29">
        <v>483000000</v>
      </c>
      <c r="J31" s="29">
        <v>0</v>
      </c>
      <c r="K31" s="29">
        <f>18572000000+54500000000+9720000000+19441000000+5450000000</f>
        <v>107683000000</v>
      </c>
      <c r="L31" s="29">
        <v>0</v>
      </c>
      <c r="M31" s="29">
        <v>176288000000</v>
      </c>
    </row>
    <row r="32" spans="1:13">
      <c r="A32" s="26">
        <v>28</v>
      </c>
      <c r="B32" s="38" t="s">
        <v>485</v>
      </c>
      <c r="C32" s="38" t="s">
        <v>496</v>
      </c>
      <c r="D32" s="52">
        <f>1201000000+6839000000+657000000+4165000000</f>
        <v>12862000000</v>
      </c>
      <c r="E32" s="52">
        <f>162000000+1493000000+122000000+216000000</f>
        <v>1993000000</v>
      </c>
      <c r="F32" s="52">
        <v>776000000</v>
      </c>
      <c r="G32" s="52">
        <v>7000000</v>
      </c>
      <c r="H32" s="52">
        <v>1164000000</v>
      </c>
      <c r="I32" s="52">
        <v>911000000</v>
      </c>
      <c r="J32" s="52">
        <v>0</v>
      </c>
      <c r="K32" s="52">
        <v>3732000000</v>
      </c>
      <c r="L32" s="52">
        <v>0</v>
      </c>
      <c r="M32" s="52">
        <v>18541000000</v>
      </c>
    </row>
    <row r="33" spans="1:13">
      <c r="A33" s="26">
        <v>29</v>
      </c>
      <c r="B33" s="38" t="s">
        <v>485</v>
      </c>
      <c r="C33" s="38" t="s">
        <v>497</v>
      </c>
      <c r="D33" s="52">
        <f>1113882000000+15044000000+9166000000+2622000000</f>
        <v>1140714000000</v>
      </c>
      <c r="E33" s="52">
        <v>3280000000</v>
      </c>
      <c r="F33" s="52">
        <v>0</v>
      </c>
      <c r="G33" s="52">
        <v>11000000</v>
      </c>
      <c r="H33" s="52">
        <v>2129000000</v>
      </c>
      <c r="I33" s="52">
        <v>1090000000</v>
      </c>
      <c r="J33" s="52">
        <v>0</v>
      </c>
      <c r="K33" s="52">
        <f>120000000+959004000000+49936000000</f>
        <v>1009060000000</v>
      </c>
      <c r="L33" s="52">
        <v>0</v>
      </c>
      <c r="M33" s="52">
        <v>2151913000000</v>
      </c>
    </row>
    <row r="34" spans="1:13">
      <c r="A34" s="26">
        <v>30</v>
      </c>
      <c r="B34" s="38" t="s">
        <v>485</v>
      </c>
      <c r="C34" s="38" t="s">
        <v>498</v>
      </c>
      <c r="D34" s="29">
        <v>39453000000</v>
      </c>
      <c r="E34" s="29">
        <v>3037000000</v>
      </c>
      <c r="F34" s="29">
        <v>301000000</v>
      </c>
      <c r="G34" s="29">
        <v>5500000000</v>
      </c>
      <c r="H34" s="29">
        <v>1485000000</v>
      </c>
      <c r="I34" s="29">
        <v>538000000</v>
      </c>
      <c r="J34" s="29">
        <v>0</v>
      </c>
      <c r="K34" s="29">
        <v>3312000000</v>
      </c>
      <c r="L34" s="29">
        <v>0</v>
      </c>
      <c r="M34" s="29">
        <v>50051000000</v>
      </c>
    </row>
    <row r="35" spans="1:13">
      <c r="A35" s="26">
        <v>31</v>
      </c>
      <c r="B35" s="38" t="s">
        <v>485</v>
      </c>
      <c r="C35" s="38" t="s">
        <v>499</v>
      </c>
      <c r="D35" s="52">
        <v>61542000000</v>
      </c>
      <c r="E35" s="52">
        <v>0</v>
      </c>
      <c r="F35" s="52">
        <v>4014000000</v>
      </c>
      <c r="G35" s="52">
        <v>0</v>
      </c>
      <c r="H35" s="52">
        <v>13511000000</v>
      </c>
      <c r="I35" s="52">
        <v>0</v>
      </c>
      <c r="J35" s="52">
        <v>0</v>
      </c>
      <c r="K35" s="52">
        <v>2390000000</v>
      </c>
      <c r="L35" s="52">
        <v>0</v>
      </c>
      <c r="M35" s="52">
        <v>81457000000</v>
      </c>
    </row>
    <row r="36" spans="1:13">
      <c r="A36" s="26">
        <v>32</v>
      </c>
      <c r="B36" s="38" t="s">
        <v>485</v>
      </c>
      <c r="C36" s="38" t="s">
        <v>500</v>
      </c>
      <c r="D36" s="29">
        <f>1356000000+360000000+130000000</f>
        <v>1846000000</v>
      </c>
      <c r="E36" s="29">
        <v>787000000</v>
      </c>
      <c r="F36" s="29">
        <v>0</v>
      </c>
      <c r="G36" s="29">
        <v>0</v>
      </c>
      <c r="H36" s="29">
        <v>216000000</v>
      </c>
      <c r="I36" s="29">
        <v>128000000</v>
      </c>
      <c r="J36" s="29">
        <v>0</v>
      </c>
      <c r="K36" s="29">
        <v>0</v>
      </c>
      <c r="L36" s="29">
        <v>0</v>
      </c>
      <c r="M36" s="29">
        <v>2062000000</v>
      </c>
    </row>
    <row r="37" spans="1:13">
      <c r="A37" s="26">
        <v>33</v>
      </c>
      <c r="B37" s="38" t="s">
        <v>485</v>
      </c>
      <c r="C37" s="38" t="s">
        <v>501</v>
      </c>
      <c r="D37" s="29">
        <f>140000000+61636000000+5600000000</f>
        <v>67376000000</v>
      </c>
      <c r="E37" s="29">
        <v>99000000</v>
      </c>
      <c r="F37" s="29">
        <v>0</v>
      </c>
      <c r="G37" s="29">
        <v>0</v>
      </c>
      <c r="H37" s="29">
        <v>163000000</v>
      </c>
      <c r="I37" s="29">
        <v>80000000</v>
      </c>
      <c r="J37" s="29">
        <v>0</v>
      </c>
      <c r="K37" s="29">
        <f>76505000000+11743000000+53000000+14000000+130000000</f>
        <v>88445000000</v>
      </c>
      <c r="L37" s="29">
        <v>0</v>
      </c>
      <c r="M37" s="29">
        <v>155983000000</v>
      </c>
    </row>
    <row r="38" spans="1:13">
      <c r="A38" s="26">
        <v>34</v>
      </c>
      <c r="B38" s="38" t="s">
        <v>485</v>
      </c>
      <c r="C38" s="38" t="s">
        <v>502</v>
      </c>
      <c r="D38" s="29">
        <f>53902000000+89077000000+418000000+2338000000+26502000000+2754000000+13000000+9631000000+540000000+267000000</f>
        <v>185442000000</v>
      </c>
      <c r="E38" s="29">
        <v>0</v>
      </c>
      <c r="F38" s="29">
        <f>1585000000</f>
        <v>1585000000</v>
      </c>
      <c r="G38" s="29">
        <f>665000000+717000000+751000000</f>
        <v>2133000000</v>
      </c>
      <c r="H38" s="52">
        <f>6193000000+7955000000</f>
        <v>14148000000</v>
      </c>
      <c r="I38" s="52">
        <v>0</v>
      </c>
      <c r="J38" s="52">
        <v>0</v>
      </c>
      <c r="K38" s="29">
        <v>0</v>
      </c>
      <c r="L38" s="29">
        <f>105000000+73013000000+48115000000+157000000+24531000000</f>
        <v>145921000000</v>
      </c>
      <c r="M38" s="29">
        <f>176676000000+147606000000+24949000000</f>
        <v>349231000000</v>
      </c>
    </row>
    <row r="39" spans="1:13">
      <c r="A39" s="26">
        <v>35</v>
      </c>
      <c r="B39" s="38" t="s">
        <v>503</v>
      </c>
      <c r="C39" s="38" t="s">
        <v>504</v>
      </c>
      <c r="D39" s="52">
        <v>720000000</v>
      </c>
      <c r="E39" s="52">
        <v>0</v>
      </c>
      <c r="F39" s="52">
        <v>89000000</v>
      </c>
      <c r="G39" s="52">
        <v>24000000</v>
      </c>
      <c r="H39" s="52">
        <f>206000000</f>
        <v>206000000</v>
      </c>
      <c r="I39" s="52">
        <v>0</v>
      </c>
      <c r="J39" s="52">
        <v>1179000000</v>
      </c>
      <c r="K39" s="52">
        <v>0</v>
      </c>
      <c r="L39" s="52">
        <v>0</v>
      </c>
      <c r="M39" s="52">
        <v>2218000000</v>
      </c>
    </row>
    <row r="40" spans="1:13">
      <c r="A40" s="110">
        <v>36</v>
      </c>
      <c r="B40" s="38" t="s">
        <v>503</v>
      </c>
      <c r="C40" s="38" t="s">
        <v>505</v>
      </c>
      <c r="D40" s="29">
        <f>443939000000+293037000000</f>
        <v>736976000000</v>
      </c>
      <c r="E40" s="29">
        <v>0</v>
      </c>
      <c r="F40" s="29">
        <v>0</v>
      </c>
      <c r="G40" s="29">
        <v>0</v>
      </c>
      <c r="H40" s="52">
        <f>269000000</f>
        <v>269000000</v>
      </c>
      <c r="I40" s="29">
        <v>0</v>
      </c>
      <c r="J40" s="29">
        <v>2682000000</v>
      </c>
      <c r="K40" s="29">
        <f>946000000+290000000+0+10000000</f>
        <v>1246000000</v>
      </c>
      <c r="L40" s="29">
        <v>0</v>
      </c>
      <c r="M40" s="29">
        <v>741173000000</v>
      </c>
    </row>
    <row r="41" spans="1:13">
      <c r="A41" s="110">
        <v>37</v>
      </c>
      <c r="B41" s="38" t="s">
        <v>503</v>
      </c>
      <c r="C41" s="38" t="s">
        <v>506</v>
      </c>
      <c r="D41" s="29">
        <v>83679000000</v>
      </c>
      <c r="E41" s="29">
        <v>0</v>
      </c>
      <c r="F41" s="29">
        <v>2279000000</v>
      </c>
      <c r="G41" s="29">
        <v>6000000</v>
      </c>
      <c r="H41" s="52">
        <f>3356000000</f>
        <v>3356000000</v>
      </c>
      <c r="I41" s="29">
        <v>0</v>
      </c>
      <c r="J41" s="29">
        <v>35721000000</v>
      </c>
      <c r="K41" s="29">
        <v>0</v>
      </c>
      <c r="L41" s="29">
        <v>0</v>
      </c>
      <c r="M41" s="29">
        <v>125040000000</v>
      </c>
    </row>
    <row r="42" spans="1:13">
      <c r="A42" s="110">
        <v>38</v>
      </c>
      <c r="B42" s="38" t="s">
        <v>503</v>
      </c>
      <c r="C42" s="38" t="s">
        <v>507</v>
      </c>
      <c r="D42" s="29">
        <f>52076598000+187211000+702542000+102183083000+32515885000+1862166000+26083000+3232659000</f>
        <v>192786227000</v>
      </c>
      <c r="E42" s="29">
        <v>0</v>
      </c>
      <c r="F42" s="29">
        <v>0</v>
      </c>
      <c r="G42" s="29">
        <v>0</v>
      </c>
      <c r="H42" s="52">
        <f>351150000</f>
        <v>351150000</v>
      </c>
      <c r="I42" s="29">
        <v>0</v>
      </c>
      <c r="J42" s="29">
        <v>2659871000</v>
      </c>
      <c r="K42" s="29">
        <v>0</v>
      </c>
      <c r="L42" s="29">
        <v>0</v>
      </c>
      <c r="M42" s="29">
        <v>195797248000</v>
      </c>
    </row>
    <row r="43" spans="1:13">
      <c r="A43" s="110">
        <v>39</v>
      </c>
      <c r="B43" s="38" t="s">
        <v>503</v>
      </c>
      <c r="C43" s="38" t="s">
        <v>508</v>
      </c>
      <c r="D43" s="29">
        <v>3211000000</v>
      </c>
      <c r="E43" s="29">
        <v>1997000000</v>
      </c>
      <c r="F43" s="52">
        <v>0</v>
      </c>
      <c r="G43" s="52">
        <v>0</v>
      </c>
      <c r="H43" s="52">
        <f>66000000</f>
        <v>66000000</v>
      </c>
      <c r="I43" s="52">
        <v>0</v>
      </c>
      <c r="J43" s="52">
        <v>185000000</v>
      </c>
      <c r="K43" s="29">
        <v>0</v>
      </c>
      <c r="L43" s="29">
        <v>0</v>
      </c>
      <c r="M43" s="29">
        <v>3462000000</v>
      </c>
    </row>
    <row r="44" spans="1:13">
      <c r="A44" s="110">
        <v>40</v>
      </c>
      <c r="B44" s="38" t="s">
        <v>503</v>
      </c>
      <c r="C44" s="38" t="s">
        <v>509</v>
      </c>
      <c r="D44" s="29">
        <v>774000000</v>
      </c>
      <c r="E44" s="29">
        <v>0</v>
      </c>
      <c r="F44" s="29">
        <v>205000000</v>
      </c>
      <c r="G44" s="29">
        <v>0</v>
      </c>
      <c r="H44" s="52">
        <f>409000000</f>
        <v>409000000</v>
      </c>
      <c r="I44" s="52">
        <v>0</v>
      </c>
      <c r="J44" s="52">
        <v>1285000000</v>
      </c>
      <c r="K44" s="29">
        <v>0</v>
      </c>
      <c r="L44" s="29">
        <v>0</v>
      </c>
      <c r="M44" s="29">
        <v>2674000000</v>
      </c>
    </row>
    <row r="45" spans="1:13">
      <c r="A45" s="110">
        <v>41</v>
      </c>
      <c r="B45" s="38" t="s">
        <v>503</v>
      </c>
      <c r="C45" s="38" t="s">
        <v>510</v>
      </c>
      <c r="D45" s="52">
        <v>306807000000</v>
      </c>
      <c r="E45" s="52">
        <v>0</v>
      </c>
      <c r="F45" s="52">
        <v>3854000000</v>
      </c>
      <c r="G45" s="52">
        <v>0</v>
      </c>
      <c r="H45" s="52">
        <v>17157000000</v>
      </c>
      <c r="I45" s="52">
        <f>9578000000+1557000000</f>
        <v>11135000000</v>
      </c>
      <c r="J45" s="52">
        <v>0</v>
      </c>
      <c r="K45" s="52">
        <f>1517000000+9000000</f>
        <v>1526000000</v>
      </c>
      <c r="L45" s="52">
        <v>0</v>
      </c>
      <c r="M45" s="52">
        <v>329344000000</v>
      </c>
    </row>
    <row r="46" spans="1:13">
      <c r="A46" s="110">
        <v>42</v>
      </c>
      <c r="B46" s="38" t="s">
        <v>503</v>
      </c>
      <c r="C46" s="38" t="s">
        <v>511</v>
      </c>
      <c r="D46" s="52">
        <v>861107000000</v>
      </c>
      <c r="E46" s="52">
        <v>0</v>
      </c>
      <c r="F46" s="52">
        <v>101329000000</v>
      </c>
      <c r="G46" s="52">
        <v>0</v>
      </c>
      <c r="H46" s="52">
        <v>0</v>
      </c>
      <c r="I46" s="52">
        <v>0</v>
      </c>
      <c r="J46" s="52">
        <v>0</v>
      </c>
      <c r="K46" s="52">
        <f>39787000000+6054000000+10072000000</f>
        <v>55913000000</v>
      </c>
      <c r="L46" s="52">
        <v>0</v>
      </c>
      <c r="M46" s="52">
        <v>1018349000000</v>
      </c>
    </row>
    <row r="47" spans="1:13">
      <c r="A47" s="110">
        <v>43</v>
      </c>
      <c r="B47" s="38" t="s">
        <v>503</v>
      </c>
      <c r="C47" s="38" t="s">
        <v>512</v>
      </c>
      <c r="D47" s="29">
        <v>30767000000</v>
      </c>
      <c r="E47" s="29">
        <v>6893000000</v>
      </c>
      <c r="F47" s="29">
        <v>0</v>
      </c>
      <c r="G47" s="29">
        <v>0</v>
      </c>
      <c r="H47" s="29">
        <v>2788000000</v>
      </c>
      <c r="I47" s="29">
        <v>908000000</v>
      </c>
      <c r="J47" s="29">
        <v>0</v>
      </c>
      <c r="K47" s="29">
        <v>0</v>
      </c>
      <c r="L47" s="29">
        <v>0</v>
      </c>
      <c r="M47" s="29">
        <v>33555000000</v>
      </c>
    </row>
    <row r="48" spans="1:13">
      <c r="A48" s="110">
        <v>44</v>
      </c>
      <c r="B48" s="38" t="s">
        <v>503</v>
      </c>
      <c r="C48" s="111" t="s">
        <v>549</v>
      </c>
      <c r="D48" s="52">
        <v>2815000000</v>
      </c>
      <c r="E48" s="52">
        <v>0</v>
      </c>
      <c r="F48" s="52">
        <v>0</v>
      </c>
      <c r="G48" s="52">
        <v>0</v>
      </c>
      <c r="H48" s="52">
        <f>417000000</f>
        <v>417000000</v>
      </c>
      <c r="I48" s="52">
        <v>0</v>
      </c>
      <c r="J48" s="52">
        <v>1490000000</v>
      </c>
      <c r="K48" s="52">
        <f>47000000+1000000</f>
        <v>48000000</v>
      </c>
      <c r="L48" s="52">
        <v>0</v>
      </c>
      <c r="M48" s="52">
        <v>4770000000</v>
      </c>
    </row>
    <row r="49" spans="1:13">
      <c r="A49" s="110">
        <v>45</v>
      </c>
      <c r="B49" s="38" t="s">
        <v>503</v>
      </c>
      <c r="C49" s="38" t="s">
        <v>513</v>
      </c>
      <c r="D49" s="52">
        <v>330452000000</v>
      </c>
      <c r="E49" s="52">
        <v>0</v>
      </c>
      <c r="F49" s="52">
        <v>23979000000</v>
      </c>
      <c r="G49" s="52">
        <v>0</v>
      </c>
      <c r="H49" s="52">
        <v>0</v>
      </c>
      <c r="I49" s="52">
        <v>0</v>
      </c>
      <c r="J49" s="52">
        <v>0</v>
      </c>
      <c r="K49" s="52">
        <v>1726000000</v>
      </c>
      <c r="L49" s="52">
        <v>0</v>
      </c>
      <c r="M49" s="52">
        <v>356158000000</v>
      </c>
    </row>
    <row r="50" spans="1:13">
      <c r="A50" s="110">
        <v>46</v>
      </c>
      <c r="B50" s="38" t="s">
        <v>503</v>
      </c>
      <c r="C50" s="38" t="s">
        <v>514</v>
      </c>
      <c r="D50" s="52">
        <v>69928000000</v>
      </c>
      <c r="E50" s="52">
        <v>0</v>
      </c>
      <c r="F50" s="52">
        <v>0</v>
      </c>
      <c r="G50" s="52">
        <v>0</v>
      </c>
      <c r="H50" s="52">
        <v>2003000000</v>
      </c>
      <c r="I50" s="52">
        <v>0</v>
      </c>
      <c r="J50" s="52">
        <v>0</v>
      </c>
      <c r="K50" s="52">
        <f>(11766590+11766824+1184342+95878+1184342+95878+1562036+324626+1562036+324626+5563590+375089)*1000000</f>
        <v>35805857000000</v>
      </c>
      <c r="L50" s="52">
        <v>0</v>
      </c>
      <c r="M50" s="52">
        <v>35877785000000</v>
      </c>
    </row>
    <row r="51" spans="1:13">
      <c r="A51" s="110">
        <v>47</v>
      </c>
      <c r="B51" s="38" t="s">
        <v>503</v>
      </c>
      <c r="C51" s="38" t="s">
        <v>515</v>
      </c>
      <c r="D51" s="52">
        <v>50925000000</v>
      </c>
      <c r="E51" s="52">
        <v>0</v>
      </c>
      <c r="F51" s="52">
        <v>5303000000</v>
      </c>
      <c r="G51" s="52">
        <v>0</v>
      </c>
      <c r="H51" s="52">
        <v>0</v>
      </c>
      <c r="I51" s="52">
        <v>0</v>
      </c>
      <c r="J51" s="52">
        <v>0</v>
      </c>
      <c r="K51" s="52">
        <f>2332000000+241000000+5988000000</f>
        <v>8561000000</v>
      </c>
      <c r="L51" s="52">
        <v>0</v>
      </c>
      <c r="M51" s="52">
        <v>64791000000</v>
      </c>
    </row>
    <row r="52" spans="1:13">
      <c r="A52" s="110">
        <v>48</v>
      </c>
      <c r="B52" s="38" t="s">
        <v>503</v>
      </c>
      <c r="C52" s="38" t="s">
        <v>516</v>
      </c>
      <c r="D52" s="52">
        <v>27170000000</v>
      </c>
      <c r="E52" s="52">
        <v>0</v>
      </c>
      <c r="F52" s="52">
        <v>6619000000</v>
      </c>
      <c r="G52" s="52">
        <v>0</v>
      </c>
      <c r="H52" s="52">
        <v>0</v>
      </c>
      <c r="I52" s="52">
        <v>0</v>
      </c>
      <c r="J52" s="52">
        <v>0</v>
      </c>
      <c r="K52" s="52">
        <f>270000000+10000000+405000000</f>
        <v>685000000</v>
      </c>
      <c r="L52" s="52">
        <v>0</v>
      </c>
      <c r="M52" s="52">
        <v>34475000000</v>
      </c>
    </row>
    <row r="53" spans="1:13">
      <c r="A53" s="110">
        <v>49</v>
      </c>
      <c r="B53" s="38" t="s">
        <v>503</v>
      </c>
      <c r="C53" s="38" t="s">
        <v>517</v>
      </c>
      <c r="D53" s="52">
        <v>13164000000</v>
      </c>
      <c r="E53" s="52">
        <v>0</v>
      </c>
      <c r="F53" s="52">
        <v>200000000</v>
      </c>
      <c r="G53" s="52">
        <v>0</v>
      </c>
      <c r="H53" s="52">
        <v>0</v>
      </c>
      <c r="I53" s="52">
        <v>0</v>
      </c>
      <c r="J53" s="52">
        <v>0</v>
      </c>
      <c r="K53" s="52">
        <f>177000000+37000000+40000000</f>
        <v>254000000</v>
      </c>
      <c r="L53" s="52">
        <v>0</v>
      </c>
      <c r="M53" s="52">
        <v>13618000000</v>
      </c>
    </row>
    <row r="54" spans="1:13">
      <c r="A54" s="110">
        <v>50</v>
      </c>
      <c r="B54" s="38" t="s">
        <v>503</v>
      </c>
      <c r="C54" s="38" t="s">
        <v>518</v>
      </c>
      <c r="D54" s="52">
        <v>35213000000</v>
      </c>
      <c r="E54" s="52">
        <v>0</v>
      </c>
      <c r="F54" s="52">
        <v>5336000000</v>
      </c>
      <c r="G54" s="52">
        <v>0</v>
      </c>
      <c r="H54" s="52">
        <v>0</v>
      </c>
      <c r="I54" s="52">
        <v>0</v>
      </c>
      <c r="J54" s="52">
        <v>0</v>
      </c>
      <c r="K54" s="52">
        <f>1102000000+262000000+465000000</f>
        <v>1829000000</v>
      </c>
      <c r="L54" s="52">
        <v>0</v>
      </c>
      <c r="M54" s="52">
        <v>42378000000</v>
      </c>
    </row>
    <row r="55" spans="1:13">
      <c r="A55" s="110">
        <v>51</v>
      </c>
      <c r="B55" s="38" t="s">
        <v>503</v>
      </c>
      <c r="C55" s="38" t="s">
        <v>519</v>
      </c>
      <c r="D55" s="29">
        <v>22335000000</v>
      </c>
      <c r="E55" s="29">
        <v>0</v>
      </c>
      <c r="F55" s="29">
        <v>2030000000</v>
      </c>
      <c r="G55" s="29">
        <v>0</v>
      </c>
      <c r="H55" s="29">
        <v>0</v>
      </c>
      <c r="I55" s="29">
        <v>0</v>
      </c>
      <c r="J55" s="29">
        <v>0</v>
      </c>
      <c r="K55" s="29">
        <f>683000000+82000000+416000000</f>
        <v>1181000000</v>
      </c>
      <c r="L55" s="29">
        <v>0</v>
      </c>
      <c r="M55" s="29">
        <v>25546000000</v>
      </c>
    </row>
    <row r="56" spans="1:13">
      <c r="A56" s="110">
        <v>52</v>
      </c>
      <c r="B56" s="38" t="s">
        <v>503</v>
      </c>
      <c r="C56" s="38" t="s">
        <v>520</v>
      </c>
      <c r="D56" s="29">
        <v>8669000000</v>
      </c>
      <c r="E56" s="29">
        <v>0</v>
      </c>
      <c r="F56" s="29">
        <v>2762000000</v>
      </c>
      <c r="G56" s="29">
        <v>0</v>
      </c>
      <c r="H56" s="29">
        <v>0</v>
      </c>
      <c r="I56" s="29">
        <v>0</v>
      </c>
      <c r="J56" s="29">
        <v>0</v>
      </c>
      <c r="K56" s="29">
        <f>97000000+18000000+1266000000</f>
        <v>1381000000</v>
      </c>
      <c r="L56" s="29">
        <v>0</v>
      </c>
      <c r="M56" s="29">
        <v>12813000000</v>
      </c>
    </row>
    <row r="57" spans="1:13">
      <c r="A57" s="110">
        <v>53</v>
      </c>
      <c r="B57" s="38" t="s">
        <v>521</v>
      </c>
      <c r="C57" s="38" t="s">
        <v>522</v>
      </c>
      <c r="D57" s="52">
        <v>796846000</v>
      </c>
      <c r="E57" s="29">
        <v>0</v>
      </c>
      <c r="F57" s="52">
        <v>58118000</v>
      </c>
      <c r="G57" s="52">
        <v>0</v>
      </c>
      <c r="H57" s="52">
        <f>542592000+I57</f>
        <v>6003041000</v>
      </c>
      <c r="I57" s="52">
        <v>5460449000</v>
      </c>
      <c r="J57" s="52">
        <v>0</v>
      </c>
      <c r="K57" s="52">
        <v>0</v>
      </c>
      <c r="L57" s="52">
        <v>0</v>
      </c>
      <c r="M57" s="52">
        <v>6858005000</v>
      </c>
    </row>
    <row r="58" spans="1:13">
      <c r="A58" s="110">
        <v>54</v>
      </c>
      <c r="B58" s="38" t="s">
        <v>521</v>
      </c>
      <c r="C58" s="38" t="s">
        <v>147</v>
      </c>
      <c r="D58" s="29">
        <v>272000000</v>
      </c>
      <c r="E58" s="29">
        <v>0</v>
      </c>
      <c r="F58" s="29">
        <v>255000000</v>
      </c>
      <c r="G58" s="29">
        <v>50000000</v>
      </c>
      <c r="H58" s="52">
        <f>276000000</f>
        <v>276000000</v>
      </c>
      <c r="I58" s="52">
        <v>0</v>
      </c>
      <c r="J58" s="52">
        <v>2410000000</v>
      </c>
      <c r="K58" s="29">
        <v>59000000</v>
      </c>
      <c r="L58" s="29">
        <v>0</v>
      </c>
      <c r="M58" s="29">
        <v>3322000000</v>
      </c>
    </row>
    <row r="59" spans="1:13">
      <c r="A59" s="110">
        <v>55</v>
      </c>
      <c r="B59" s="38" t="s">
        <v>521</v>
      </c>
      <c r="C59" s="38" t="s">
        <v>148</v>
      </c>
      <c r="D59" s="29">
        <v>1461000000</v>
      </c>
      <c r="E59" s="29">
        <v>0</v>
      </c>
      <c r="F59" s="29">
        <v>222000000</v>
      </c>
      <c r="G59" s="29">
        <v>201000000</v>
      </c>
      <c r="H59" s="52">
        <f>515000000+I59</f>
        <v>6862000000</v>
      </c>
      <c r="I59" s="52">
        <v>6347000000</v>
      </c>
      <c r="J59" s="52">
        <v>0</v>
      </c>
      <c r="K59" s="29">
        <v>0</v>
      </c>
      <c r="L59" s="29">
        <v>0</v>
      </c>
      <c r="M59" s="29">
        <v>8745000000</v>
      </c>
    </row>
    <row r="60" spans="1:13">
      <c r="A60" s="110">
        <v>56</v>
      </c>
      <c r="B60" s="38" t="s">
        <v>521</v>
      </c>
      <c r="C60" s="38" t="s">
        <v>149</v>
      </c>
      <c r="D60" s="29">
        <v>611789000</v>
      </c>
      <c r="E60" s="29">
        <v>0</v>
      </c>
      <c r="F60" s="29">
        <v>160000000</v>
      </c>
      <c r="G60" s="29">
        <v>133344000</v>
      </c>
      <c r="H60" s="29">
        <v>231410000</v>
      </c>
      <c r="I60" s="29">
        <v>0</v>
      </c>
      <c r="J60" s="29">
        <v>1679301000</v>
      </c>
      <c r="K60" s="29">
        <v>1937048000</v>
      </c>
      <c r="L60" s="29">
        <v>0</v>
      </c>
      <c r="M60" s="29">
        <v>4752892000</v>
      </c>
    </row>
    <row r="61" spans="1:13">
      <c r="A61" s="110">
        <v>57</v>
      </c>
      <c r="B61" s="38" t="s">
        <v>521</v>
      </c>
      <c r="C61" s="38" t="s">
        <v>523</v>
      </c>
      <c r="D61" s="29">
        <f>10205000000+5175000000+15000000+817000000</f>
        <v>16212000000</v>
      </c>
      <c r="E61" s="29">
        <v>0</v>
      </c>
      <c r="F61" s="29">
        <f>328000000+93000000</f>
        <v>421000000</v>
      </c>
      <c r="G61" s="29">
        <f>6171000000+17000000</f>
        <v>6188000000</v>
      </c>
      <c r="H61" s="29">
        <f>2030000000+40000000+15000000+62000000</f>
        <v>2147000000</v>
      </c>
      <c r="I61" s="29">
        <v>0</v>
      </c>
      <c r="J61" s="29">
        <f>26194000000+155000000+87000000+831000000</f>
        <v>27267000000</v>
      </c>
      <c r="K61" s="29">
        <v>0</v>
      </c>
      <c r="L61" s="29">
        <v>0</v>
      </c>
      <c r="M61" s="29">
        <f>44928000000+5370000000+117000000+1821000000</f>
        <v>52236000000</v>
      </c>
    </row>
    <row r="62" spans="1:13">
      <c r="A62" s="110">
        <v>58</v>
      </c>
      <c r="B62" s="38" t="s">
        <v>521</v>
      </c>
      <c r="C62" s="38" t="s">
        <v>151</v>
      </c>
      <c r="D62" s="29">
        <v>2400000000</v>
      </c>
      <c r="E62" s="29">
        <v>0</v>
      </c>
      <c r="F62" s="29">
        <v>0</v>
      </c>
      <c r="G62" s="29">
        <v>2611000000</v>
      </c>
      <c r="H62" s="52">
        <f>344000000</f>
        <v>344000000</v>
      </c>
      <c r="I62" s="52">
        <v>0</v>
      </c>
      <c r="J62" s="52">
        <v>4098000000</v>
      </c>
      <c r="K62" s="29">
        <v>0</v>
      </c>
      <c r="L62" s="29">
        <v>0</v>
      </c>
      <c r="M62" s="29">
        <v>9453000000</v>
      </c>
    </row>
    <row r="63" spans="1:13">
      <c r="A63" s="110">
        <v>59</v>
      </c>
      <c r="B63" s="38" t="s">
        <v>521</v>
      </c>
      <c r="C63" s="38" t="s">
        <v>152</v>
      </c>
      <c r="D63" s="29">
        <v>817000000</v>
      </c>
      <c r="E63" s="29">
        <v>0</v>
      </c>
      <c r="F63" s="29">
        <v>249000000</v>
      </c>
      <c r="G63" s="29">
        <v>711000000</v>
      </c>
      <c r="H63" s="52">
        <f>284000000</f>
        <v>284000000</v>
      </c>
      <c r="I63" s="52">
        <v>0</v>
      </c>
      <c r="J63" s="52">
        <v>1868000000</v>
      </c>
      <c r="K63" s="29">
        <v>0</v>
      </c>
      <c r="L63" s="29">
        <v>0</v>
      </c>
      <c r="M63" s="29">
        <v>3929000000</v>
      </c>
    </row>
    <row r="64" spans="1:13">
      <c r="A64" s="110">
        <v>60</v>
      </c>
      <c r="B64" s="38" t="s">
        <v>521</v>
      </c>
      <c r="C64" s="38" t="s">
        <v>153</v>
      </c>
      <c r="D64" s="29">
        <v>1271000000</v>
      </c>
      <c r="E64" s="29">
        <v>0</v>
      </c>
      <c r="F64" s="29">
        <v>0</v>
      </c>
      <c r="G64" s="29">
        <v>282000000</v>
      </c>
      <c r="H64" s="52">
        <f>112000000+I64</f>
        <v>2195000000</v>
      </c>
      <c r="I64" s="52">
        <v>2083000000</v>
      </c>
      <c r="J64" s="52">
        <v>0</v>
      </c>
      <c r="K64" s="29">
        <v>0</v>
      </c>
      <c r="L64" s="29">
        <v>0</v>
      </c>
      <c r="M64" s="29">
        <v>3749000000</v>
      </c>
    </row>
    <row r="65" spans="1:13">
      <c r="A65" s="110">
        <v>61</v>
      </c>
      <c r="B65" s="38" t="s">
        <v>521</v>
      </c>
      <c r="C65" s="38" t="s">
        <v>154</v>
      </c>
      <c r="D65" s="52">
        <f>1567000000+574000000+11171000000</f>
        <v>13312000000</v>
      </c>
      <c r="E65" s="52">
        <v>0</v>
      </c>
      <c r="F65" s="52">
        <v>197000000</v>
      </c>
      <c r="G65" s="52">
        <v>898000000</v>
      </c>
      <c r="H65" s="52">
        <f>799000000+178000000+358000000+78000000+I65</f>
        <v>12679000000</v>
      </c>
      <c r="I65" s="52">
        <f>7476000000+268000000+3283000000+239000000</f>
        <v>11266000000</v>
      </c>
      <c r="J65" s="52">
        <v>0</v>
      </c>
      <c r="K65" s="52">
        <f>1545000000-254000000+15068000000+2589000000+40000000+13904000000+1252000000+77000000</f>
        <v>34221000000</v>
      </c>
      <c r="L65" s="52">
        <v>0</v>
      </c>
      <c r="M65" s="52">
        <f>10936000000+2311000000+32508000000+15550000000</f>
        <v>61305000000</v>
      </c>
    </row>
    <row r="66" spans="1:13">
      <c r="A66" s="110">
        <v>62</v>
      </c>
      <c r="B66" s="38" t="s">
        <v>521</v>
      </c>
      <c r="C66" s="38" t="s">
        <v>155</v>
      </c>
      <c r="D66" s="29">
        <v>6983000000</v>
      </c>
      <c r="E66" s="29">
        <v>0</v>
      </c>
      <c r="F66" s="29">
        <v>272000000</v>
      </c>
      <c r="G66" s="29">
        <v>2832000000</v>
      </c>
      <c r="H66" s="29">
        <v>701000000</v>
      </c>
      <c r="I66" s="29">
        <v>0</v>
      </c>
      <c r="J66" s="29">
        <v>9378000000</v>
      </c>
      <c r="K66" s="29">
        <v>760000000</v>
      </c>
      <c r="L66" s="29">
        <v>0</v>
      </c>
      <c r="M66" s="29">
        <v>20926000000</v>
      </c>
    </row>
    <row r="67" spans="1:13">
      <c r="A67" s="110">
        <v>63</v>
      </c>
      <c r="B67" s="38" t="s">
        <v>521</v>
      </c>
      <c r="C67" s="38" t="s">
        <v>524</v>
      </c>
      <c r="D67" s="29">
        <v>320950000000</v>
      </c>
      <c r="E67" s="29">
        <v>0</v>
      </c>
      <c r="F67" s="29">
        <v>0</v>
      </c>
      <c r="G67" s="29">
        <v>0</v>
      </c>
      <c r="H67" s="52">
        <f>592000000+I67</f>
        <v>3172000000</v>
      </c>
      <c r="I67" s="52">
        <v>2580000000</v>
      </c>
      <c r="J67" s="52">
        <v>0</v>
      </c>
      <c r="K67" s="29">
        <f>19462000000+194000000</f>
        <v>19656000000</v>
      </c>
      <c r="L67" s="29">
        <v>0</v>
      </c>
      <c r="M67" s="29">
        <v>343777000000</v>
      </c>
    </row>
    <row r="68" spans="1:13">
      <c r="A68" s="110">
        <v>64</v>
      </c>
      <c r="B68" s="38" t="s">
        <v>521</v>
      </c>
      <c r="C68" s="38" t="s">
        <v>525</v>
      </c>
      <c r="D68" s="29">
        <v>122189000000</v>
      </c>
      <c r="E68" s="29">
        <v>0</v>
      </c>
      <c r="F68" s="29">
        <v>0</v>
      </c>
      <c r="G68" s="29">
        <v>0</v>
      </c>
      <c r="H68" s="52">
        <f>962000000</f>
        <v>962000000</v>
      </c>
      <c r="I68" s="52">
        <v>0</v>
      </c>
      <c r="J68" s="52">
        <v>801000000</v>
      </c>
      <c r="K68" s="29">
        <v>86000000000</v>
      </c>
      <c r="L68" s="29">
        <v>0</v>
      </c>
      <c r="M68" s="29">
        <v>209952000000</v>
      </c>
    </row>
    <row r="69" spans="1:13">
      <c r="A69" s="110">
        <v>65</v>
      </c>
      <c r="B69" s="38" t="s">
        <v>521</v>
      </c>
      <c r="C69" s="38" t="s">
        <v>526</v>
      </c>
      <c r="D69" s="29">
        <v>199653918000</v>
      </c>
      <c r="E69" s="29">
        <v>0</v>
      </c>
      <c r="F69" s="29">
        <v>0</v>
      </c>
      <c r="G69" s="29">
        <v>0</v>
      </c>
      <c r="H69" s="29">
        <v>1844063000</v>
      </c>
      <c r="I69" s="29">
        <v>1319794000</v>
      </c>
      <c r="J69" s="29">
        <v>0</v>
      </c>
      <c r="K69" s="29">
        <v>0</v>
      </c>
      <c r="L69" s="29">
        <v>0</v>
      </c>
      <c r="M69" s="29">
        <v>201497981000</v>
      </c>
    </row>
    <row r="70" spans="1:13">
      <c r="A70" s="110">
        <v>66</v>
      </c>
      <c r="B70" s="38" t="s">
        <v>527</v>
      </c>
      <c r="C70" s="38" t="s">
        <v>160</v>
      </c>
      <c r="D70" s="29">
        <v>1232390000</v>
      </c>
      <c r="E70" s="29">
        <v>0</v>
      </c>
      <c r="F70" s="29">
        <v>0</v>
      </c>
      <c r="G70" s="29">
        <v>0</v>
      </c>
      <c r="H70" s="29">
        <v>209135000</v>
      </c>
      <c r="I70" s="29">
        <v>0</v>
      </c>
      <c r="J70" s="29">
        <v>0</v>
      </c>
      <c r="K70" s="29">
        <v>0</v>
      </c>
      <c r="L70" s="29">
        <v>0</v>
      </c>
      <c r="M70" s="29">
        <v>1441525000</v>
      </c>
    </row>
    <row r="71" spans="1:13">
      <c r="A71" s="110">
        <v>67</v>
      </c>
      <c r="B71" s="38" t="s">
        <v>527</v>
      </c>
      <c r="C71" s="38" t="s">
        <v>528</v>
      </c>
      <c r="D71" s="29">
        <v>9521000000</v>
      </c>
      <c r="E71" s="29">
        <v>0</v>
      </c>
      <c r="F71" s="29">
        <v>0</v>
      </c>
      <c r="G71" s="29">
        <v>0</v>
      </c>
      <c r="H71" s="29">
        <f>359000000+I71</f>
        <v>1173000000</v>
      </c>
      <c r="I71" s="52">
        <v>814000000</v>
      </c>
      <c r="J71" s="29">
        <v>0</v>
      </c>
      <c r="K71" s="29">
        <v>0</v>
      </c>
      <c r="L71" s="29">
        <v>0</v>
      </c>
      <c r="M71" s="29">
        <v>10695000000</v>
      </c>
    </row>
    <row r="72" spans="1:13">
      <c r="A72" s="110">
        <v>68</v>
      </c>
      <c r="B72" s="38" t="s">
        <v>527</v>
      </c>
      <c r="C72" s="38" t="s">
        <v>162</v>
      </c>
      <c r="D72" s="52">
        <v>25347000000</v>
      </c>
      <c r="E72" s="52">
        <v>1247000000</v>
      </c>
      <c r="F72" s="29">
        <v>0</v>
      </c>
      <c r="G72" s="29">
        <v>0</v>
      </c>
      <c r="H72" s="29">
        <v>0</v>
      </c>
      <c r="I72" s="29">
        <v>0</v>
      </c>
      <c r="J72" s="29">
        <v>0</v>
      </c>
      <c r="K72" s="29">
        <v>1785000000</v>
      </c>
      <c r="L72" s="29">
        <v>0</v>
      </c>
      <c r="M72" s="29">
        <f>44847000000-17715000000</f>
        <v>27132000000</v>
      </c>
    </row>
    <row r="73" spans="1:13">
      <c r="A73" s="110">
        <v>69</v>
      </c>
      <c r="B73" s="38" t="s">
        <v>527</v>
      </c>
      <c r="C73" s="38" t="s">
        <v>163</v>
      </c>
      <c r="D73" s="29">
        <v>66293000000</v>
      </c>
      <c r="E73" s="29">
        <v>0</v>
      </c>
      <c r="F73" s="29">
        <v>0</v>
      </c>
      <c r="G73" s="29">
        <v>12240000000</v>
      </c>
      <c r="H73" s="29">
        <v>9985000000</v>
      </c>
      <c r="I73" s="29">
        <v>0</v>
      </c>
      <c r="J73" s="29">
        <v>0</v>
      </c>
      <c r="K73" s="29">
        <v>0</v>
      </c>
      <c r="L73" s="29">
        <v>0</v>
      </c>
      <c r="M73" s="29">
        <v>88518000000</v>
      </c>
    </row>
    <row r="74" spans="1:13">
      <c r="A74" s="110">
        <v>70</v>
      </c>
      <c r="B74" s="38" t="s">
        <v>527</v>
      </c>
      <c r="C74" s="38" t="s">
        <v>164</v>
      </c>
      <c r="D74" s="29">
        <v>6245772000</v>
      </c>
      <c r="E74" s="29">
        <v>0</v>
      </c>
      <c r="F74" s="29">
        <v>6129728000</v>
      </c>
      <c r="G74" s="29">
        <v>252338000</v>
      </c>
      <c r="H74" s="29">
        <v>903811000</v>
      </c>
      <c r="I74" s="29">
        <v>0</v>
      </c>
      <c r="J74" s="29">
        <v>0</v>
      </c>
      <c r="K74" s="29">
        <v>0</v>
      </c>
      <c r="L74" s="29">
        <v>0</v>
      </c>
      <c r="M74" s="29">
        <v>13531649000</v>
      </c>
    </row>
    <row r="75" spans="1:13">
      <c r="A75" s="110">
        <v>71</v>
      </c>
      <c r="B75" s="38" t="s">
        <v>527</v>
      </c>
      <c r="C75" s="38" t="s">
        <v>529</v>
      </c>
      <c r="D75" s="52">
        <v>126992000000</v>
      </c>
      <c r="E75" s="29">
        <v>0</v>
      </c>
      <c r="F75" s="29">
        <v>0</v>
      </c>
      <c r="G75" s="52">
        <v>97000000</v>
      </c>
      <c r="H75" s="52">
        <v>7119000000</v>
      </c>
      <c r="I75" s="52">
        <v>0</v>
      </c>
      <c r="J75" s="29">
        <v>0</v>
      </c>
      <c r="K75" s="52">
        <v>0</v>
      </c>
      <c r="L75" s="52">
        <v>0</v>
      </c>
      <c r="M75" s="52">
        <v>134207000000</v>
      </c>
    </row>
    <row r="76" spans="1:13">
      <c r="A76" s="110">
        <v>72</v>
      </c>
      <c r="B76" s="38" t="s">
        <v>527</v>
      </c>
      <c r="C76" s="38" t="s">
        <v>530</v>
      </c>
      <c r="D76" s="52">
        <v>32753000000</v>
      </c>
      <c r="E76" s="29">
        <v>0</v>
      </c>
      <c r="F76" s="29">
        <v>0</v>
      </c>
      <c r="G76" s="52">
        <v>3385000000</v>
      </c>
      <c r="H76" s="52">
        <v>1732000000</v>
      </c>
      <c r="I76" s="52">
        <v>0</v>
      </c>
      <c r="J76" s="29">
        <v>0</v>
      </c>
      <c r="K76" s="52">
        <v>0</v>
      </c>
      <c r="L76" s="52">
        <v>0</v>
      </c>
      <c r="M76" s="52">
        <v>37869000000</v>
      </c>
    </row>
    <row r="77" spans="1:13">
      <c r="A77" s="110">
        <v>73</v>
      </c>
      <c r="B77" s="38" t="s">
        <v>527</v>
      </c>
      <c r="C77" s="38" t="s">
        <v>531</v>
      </c>
      <c r="D77" s="52">
        <v>7432000000</v>
      </c>
      <c r="E77" s="29">
        <v>0</v>
      </c>
      <c r="F77" s="29">
        <v>0</v>
      </c>
      <c r="G77" s="29">
        <v>0</v>
      </c>
      <c r="H77" s="52">
        <v>1098000000</v>
      </c>
      <c r="I77" s="52">
        <v>0</v>
      </c>
      <c r="J77" s="52"/>
      <c r="K77" s="52">
        <v>0</v>
      </c>
      <c r="L77" s="52">
        <v>0</v>
      </c>
      <c r="M77" s="52">
        <v>8530000000</v>
      </c>
    </row>
    <row r="78" spans="1:13">
      <c r="A78" s="110">
        <v>74</v>
      </c>
      <c r="B78" s="38" t="s">
        <v>527</v>
      </c>
      <c r="C78" s="38" t="s">
        <v>532</v>
      </c>
      <c r="D78" s="29">
        <v>38607000000</v>
      </c>
      <c r="E78" s="29">
        <v>0</v>
      </c>
      <c r="F78" s="29">
        <v>0</v>
      </c>
      <c r="G78" s="29">
        <v>59786000000</v>
      </c>
      <c r="H78" s="29">
        <v>1828000000</v>
      </c>
      <c r="I78" s="29">
        <v>0</v>
      </c>
      <c r="J78" s="29">
        <v>0</v>
      </c>
      <c r="K78" s="29">
        <f>1220842000000+7100000000+880162000000+3583000000+100000000</f>
        <v>2111787000000</v>
      </c>
      <c r="L78" s="29">
        <v>0</v>
      </c>
      <c r="M78" s="29">
        <v>2212009000000</v>
      </c>
    </row>
    <row r="79" spans="1:13">
      <c r="A79" s="110">
        <v>75</v>
      </c>
      <c r="B79" s="38" t="s">
        <v>527</v>
      </c>
      <c r="C79" s="38" t="s">
        <v>533</v>
      </c>
      <c r="D79" s="29">
        <f>50348000000+192000000+1297000000+620405000000+47942000000+13000000</f>
        <v>720197000000</v>
      </c>
      <c r="E79" s="29">
        <v>0</v>
      </c>
      <c r="F79" s="29">
        <v>0</v>
      </c>
      <c r="G79" s="29">
        <v>220000000</v>
      </c>
      <c r="H79" s="29">
        <f>1234000000+24000000+54000000+144000000+119000000+2000000</f>
        <v>1577000000</v>
      </c>
      <c r="I79" s="29">
        <v>0</v>
      </c>
      <c r="J79" s="29">
        <v>0</v>
      </c>
      <c r="K79" s="29">
        <f>14365000000+40969000000+574000000+493000000+527000000+405817000000+10000000+38834000000</f>
        <v>501589000000</v>
      </c>
      <c r="L79" s="29">
        <v>0</v>
      </c>
      <c r="M79" s="29">
        <f>107711000000+1237000000+1351000000+1026376000000+86895000000+15000000</f>
        <v>1223585000000</v>
      </c>
    </row>
    <row r="80" spans="1:13">
      <c r="A80" s="110">
        <v>76</v>
      </c>
      <c r="B80" s="38" t="s">
        <v>170</v>
      </c>
      <c r="C80" s="38" t="s">
        <v>171</v>
      </c>
      <c r="D80" s="65">
        <v>3744000000</v>
      </c>
      <c r="E80" s="29">
        <v>0</v>
      </c>
      <c r="F80" s="65">
        <v>431000000</v>
      </c>
      <c r="G80" s="65">
        <v>425000000</v>
      </c>
      <c r="H80" s="52">
        <v>530000000</v>
      </c>
      <c r="I80" s="52">
        <v>0</v>
      </c>
      <c r="J80" s="52">
        <v>4296000000</v>
      </c>
      <c r="K80" s="65">
        <v>0</v>
      </c>
      <c r="L80" s="65">
        <v>0</v>
      </c>
      <c r="M80" s="65">
        <v>9426000000</v>
      </c>
    </row>
    <row r="81" spans="1:13">
      <c r="A81" s="110">
        <v>77</v>
      </c>
      <c r="B81" s="38" t="s">
        <v>170</v>
      </c>
      <c r="C81" s="38" t="s">
        <v>172</v>
      </c>
      <c r="D81" s="65">
        <v>544000000</v>
      </c>
      <c r="E81" s="29">
        <v>0</v>
      </c>
      <c r="F81" s="65">
        <v>81000000</v>
      </c>
      <c r="G81" s="65">
        <v>155000000</v>
      </c>
      <c r="H81" s="52">
        <v>275000000</v>
      </c>
      <c r="I81" s="52">
        <v>0</v>
      </c>
      <c r="J81" s="52">
        <v>963000000</v>
      </c>
      <c r="K81" s="65">
        <v>0</v>
      </c>
      <c r="L81" s="65">
        <v>0</v>
      </c>
      <c r="M81" s="65">
        <v>2018000000</v>
      </c>
    </row>
    <row r="82" spans="1:13">
      <c r="A82" s="110">
        <v>78</v>
      </c>
      <c r="B82" s="38" t="s">
        <v>170</v>
      </c>
      <c r="C82" s="38" t="s">
        <v>173</v>
      </c>
      <c r="D82" s="65">
        <v>691000000</v>
      </c>
      <c r="E82" s="29">
        <v>0</v>
      </c>
      <c r="F82" s="65">
        <v>930000000</v>
      </c>
      <c r="G82" s="65">
        <v>472000000</v>
      </c>
      <c r="H82" s="52">
        <f>SUM(,86000000)</f>
        <v>86000000</v>
      </c>
      <c r="I82" s="52">
        <v>0</v>
      </c>
      <c r="J82" s="52">
        <v>901000000</v>
      </c>
      <c r="K82" s="65">
        <v>0</v>
      </c>
      <c r="L82" s="65">
        <v>0</v>
      </c>
      <c r="M82" s="65">
        <v>3080000000</v>
      </c>
    </row>
    <row r="83" spans="1:13">
      <c r="A83" s="110">
        <v>79</v>
      </c>
      <c r="B83" s="38" t="s">
        <v>170</v>
      </c>
      <c r="C83" s="38" t="s">
        <v>174</v>
      </c>
      <c r="D83" s="65">
        <v>520000000</v>
      </c>
      <c r="E83" s="29">
        <v>0</v>
      </c>
      <c r="F83" s="65">
        <v>126000000</v>
      </c>
      <c r="G83" s="65">
        <v>482000000</v>
      </c>
      <c r="H83" s="52">
        <v>86000000</v>
      </c>
      <c r="I83" s="52">
        <v>0</v>
      </c>
      <c r="J83" s="52">
        <v>2204000000</v>
      </c>
      <c r="K83" s="65">
        <v>0</v>
      </c>
      <c r="L83" s="65">
        <v>0</v>
      </c>
      <c r="M83" s="65">
        <v>3418000000</v>
      </c>
    </row>
    <row r="84" spans="1:13">
      <c r="A84" s="110">
        <v>80</v>
      </c>
      <c r="B84" s="38" t="s">
        <v>170</v>
      </c>
      <c r="C84" s="38" t="s">
        <v>175</v>
      </c>
      <c r="D84" s="65">
        <v>242000000</v>
      </c>
      <c r="E84" s="29">
        <v>0</v>
      </c>
      <c r="F84" s="65">
        <v>190000000</v>
      </c>
      <c r="G84" s="65">
        <v>1005000000</v>
      </c>
      <c r="H84" s="52">
        <v>87000000</v>
      </c>
      <c r="I84" s="52">
        <v>0</v>
      </c>
      <c r="J84" s="52">
        <v>993000000</v>
      </c>
      <c r="K84" s="65">
        <v>0</v>
      </c>
      <c r="L84" s="65">
        <v>0</v>
      </c>
      <c r="M84" s="65">
        <v>2517000000</v>
      </c>
    </row>
    <row r="85" spans="1:13">
      <c r="A85" s="110">
        <v>81</v>
      </c>
      <c r="B85" s="38" t="s">
        <v>170</v>
      </c>
      <c r="C85" s="38" t="s">
        <v>176</v>
      </c>
      <c r="D85" s="65">
        <v>802000000</v>
      </c>
      <c r="E85" s="29">
        <v>0</v>
      </c>
      <c r="F85" s="65">
        <v>61000000</v>
      </c>
      <c r="G85" s="65">
        <v>128000000</v>
      </c>
      <c r="H85" s="52">
        <v>42000000</v>
      </c>
      <c r="I85" s="52">
        <v>0</v>
      </c>
      <c r="J85" s="52">
        <v>646000000</v>
      </c>
      <c r="K85" s="65">
        <v>0</v>
      </c>
      <c r="L85" s="65">
        <v>0</v>
      </c>
      <c r="M85" s="65">
        <v>1679000000</v>
      </c>
    </row>
    <row r="86" spans="1:13">
      <c r="A86" s="110">
        <v>82</v>
      </c>
      <c r="B86" s="38" t="s">
        <v>170</v>
      </c>
      <c r="C86" s="38" t="s">
        <v>534</v>
      </c>
      <c r="D86" s="65">
        <v>1924000000</v>
      </c>
      <c r="E86" s="29">
        <v>0</v>
      </c>
      <c r="F86" s="65">
        <v>31000000</v>
      </c>
      <c r="G86" s="65">
        <v>0</v>
      </c>
      <c r="H86" s="52">
        <v>191000000</v>
      </c>
      <c r="I86" s="52">
        <v>0</v>
      </c>
      <c r="J86" s="52">
        <v>3525000000</v>
      </c>
      <c r="K86" s="65">
        <v>0</v>
      </c>
      <c r="L86" s="65">
        <v>0</v>
      </c>
      <c r="M86" s="65">
        <v>5671000000</v>
      </c>
    </row>
    <row r="87" spans="1:13">
      <c r="A87" s="110">
        <v>83</v>
      </c>
      <c r="B87" s="38" t="s">
        <v>170</v>
      </c>
      <c r="C87" s="38" t="s">
        <v>535</v>
      </c>
      <c r="D87" s="65">
        <v>338000000</v>
      </c>
      <c r="E87" s="29">
        <v>0</v>
      </c>
      <c r="F87" s="52">
        <v>39000000</v>
      </c>
      <c r="G87" s="65">
        <v>28000000</v>
      </c>
      <c r="H87" s="52">
        <f>210000000+I87</f>
        <v>210000000</v>
      </c>
      <c r="I87" s="52">
        <v>0</v>
      </c>
      <c r="J87" s="52">
        <v>2063000000</v>
      </c>
      <c r="K87" s="65">
        <v>0</v>
      </c>
      <c r="L87" s="65">
        <v>0</v>
      </c>
      <c r="M87" s="52">
        <v>2678000000</v>
      </c>
    </row>
    <row r="88" spans="1:13">
      <c r="A88" s="110">
        <v>84</v>
      </c>
      <c r="B88" s="38" t="s">
        <v>170</v>
      </c>
      <c r="C88" s="38" t="s">
        <v>179</v>
      </c>
      <c r="D88" s="29">
        <v>1733000000</v>
      </c>
      <c r="E88" s="29">
        <v>0</v>
      </c>
      <c r="F88" s="29">
        <v>0</v>
      </c>
      <c r="G88" s="29">
        <v>0</v>
      </c>
      <c r="H88" s="52">
        <f>230000000</f>
        <v>230000000</v>
      </c>
      <c r="I88" s="52">
        <v>0</v>
      </c>
      <c r="J88" s="52">
        <v>1007000000</v>
      </c>
      <c r="K88" s="29">
        <v>0</v>
      </c>
      <c r="L88" s="29">
        <v>0</v>
      </c>
      <c r="M88" s="29">
        <v>2970000000</v>
      </c>
    </row>
    <row r="89" spans="1:13">
      <c r="A89" s="110">
        <v>85</v>
      </c>
      <c r="B89" s="38" t="s">
        <v>170</v>
      </c>
      <c r="C89" s="38" t="s">
        <v>180</v>
      </c>
      <c r="D89" s="65">
        <v>3433000000</v>
      </c>
      <c r="E89" s="29">
        <v>0</v>
      </c>
      <c r="F89" s="65">
        <v>2841000000</v>
      </c>
      <c r="G89" s="65">
        <v>0</v>
      </c>
      <c r="H89" s="52">
        <f>SUM(893000000)</f>
        <v>893000000</v>
      </c>
      <c r="I89" s="52">
        <v>0</v>
      </c>
      <c r="J89" s="52">
        <v>5847000000</v>
      </c>
      <c r="K89" s="65">
        <v>161000000</v>
      </c>
      <c r="L89" s="65">
        <v>88000000</v>
      </c>
      <c r="M89" s="65">
        <v>13263000000</v>
      </c>
    </row>
    <row r="90" spans="1:13">
      <c r="A90" s="110">
        <v>86</v>
      </c>
      <c r="B90" s="38" t="s">
        <v>170</v>
      </c>
      <c r="C90" s="38" t="s">
        <v>536</v>
      </c>
      <c r="D90" s="65">
        <v>465951000000</v>
      </c>
      <c r="E90" s="29">
        <v>0</v>
      </c>
      <c r="F90" s="65">
        <v>0</v>
      </c>
      <c r="G90" s="65">
        <v>5621000000</v>
      </c>
      <c r="H90" s="52">
        <v>7252000000</v>
      </c>
      <c r="I90" s="52">
        <v>0</v>
      </c>
      <c r="J90" s="52">
        <v>18963000000</v>
      </c>
      <c r="K90" s="65">
        <v>1187872000000</v>
      </c>
      <c r="L90" s="65">
        <v>0</v>
      </c>
      <c r="M90" s="65">
        <v>1685659000000</v>
      </c>
    </row>
    <row r="91" spans="1:13">
      <c r="A91" s="110">
        <v>87</v>
      </c>
      <c r="B91" s="38" t="s">
        <v>170</v>
      </c>
      <c r="C91" s="38" t="s">
        <v>537</v>
      </c>
      <c r="D91" s="65">
        <f>4834000000+380000000</f>
        <v>5214000000</v>
      </c>
      <c r="E91" s="29">
        <v>0</v>
      </c>
      <c r="F91" s="65">
        <v>0</v>
      </c>
      <c r="G91" s="65">
        <v>452000000</v>
      </c>
      <c r="H91" s="52">
        <f>SUM(340000000)</f>
        <v>340000000</v>
      </c>
      <c r="I91" s="52">
        <v>0</v>
      </c>
      <c r="J91" s="52">
        <v>1508000000</v>
      </c>
      <c r="K91" s="65">
        <v>0</v>
      </c>
      <c r="L91" s="65">
        <v>0</v>
      </c>
      <c r="M91" s="65">
        <f>7134000000+380000000</f>
        <v>7514000000</v>
      </c>
    </row>
    <row r="92" spans="1:13">
      <c r="A92" s="110">
        <v>88</v>
      </c>
      <c r="B92" s="38" t="s">
        <v>170</v>
      </c>
      <c r="C92" s="38" t="s">
        <v>538</v>
      </c>
      <c r="D92" s="65">
        <v>75634000000</v>
      </c>
      <c r="E92" s="29">
        <v>0</v>
      </c>
      <c r="F92" s="65">
        <v>293000000</v>
      </c>
      <c r="G92" s="65">
        <v>935000000</v>
      </c>
      <c r="H92" s="52">
        <f>1823000000</f>
        <v>1823000000</v>
      </c>
      <c r="I92" s="52">
        <v>0</v>
      </c>
      <c r="J92" s="52">
        <v>16232000000</v>
      </c>
      <c r="K92" s="65">
        <f>67304000000+9786000000+5874000000</f>
        <v>82964000000</v>
      </c>
      <c r="L92" s="65">
        <v>0</v>
      </c>
      <c r="M92" s="65">
        <v>177881000000</v>
      </c>
    </row>
    <row r="93" spans="1:13">
      <c r="A93" s="110">
        <v>89</v>
      </c>
      <c r="B93" s="38" t="s">
        <v>170</v>
      </c>
      <c r="C93" s="38" t="s">
        <v>539</v>
      </c>
      <c r="D93" s="65">
        <v>8627000000</v>
      </c>
      <c r="E93" s="29">
        <v>0</v>
      </c>
      <c r="F93" s="65">
        <v>543000000</v>
      </c>
      <c r="G93" s="65">
        <v>0</v>
      </c>
      <c r="H93" s="52">
        <v>975000000</v>
      </c>
      <c r="I93" s="52">
        <v>0</v>
      </c>
      <c r="J93" s="52">
        <v>3340000000</v>
      </c>
      <c r="K93" s="65">
        <f>158000000+1257000000</f>
        <v>1415000000</v>
      </c>
      <c r="L93" s="65">
        <v>0</v>
      </c>
      <c r="M93" s="65">
        <v>14899000000</v>
      </c>
    </row>
    <row r="94" spans="1:13">
      <c r="A94" s="110">
        <v>90</v>
      </c>
      <c r="B94" s="38" t="s">
        <v>170</v>
      </c>
      <c r="C94" s="38" t="s">
        <v>540</v>
      </c>
      <c r="D94" s="65">
        <v>504000000</v>
      </c>
      <c r="E94" s="29">
        <v>0</v>
      </c>
      <c r="F94" s="78" t="s">
        <v>465</v>
      </c>
      <c r="G94" s="65">
        <v>996000000</v>
      </c>
      <c r="H94" s="52">
        <f>83000000</f>
        <v>83000000</v>
      </c>
      <c r="I94" s="52">
        <v>0</v>
      </c>
      <c r="J94" s="52">
        <v>300000000</v>
      </c>
      <c r="K94" s="65">
        <v>77000000</v>
      </c>
      <c r="L94" s="78">
        <v>0</v>
      </c>
      <c r="M94" s="65">
        <v>1960000000</v>
      </c>
    </row>
    <row r="95" spans="1:13">
      <c r="A95" s="110">
        <v>91</v>
      </c>
      <c r="B95" s="38" t="s">
        <v>170</v>
      </c>
      <c r="C95" s="38" t="s">
        <v>541</v>
      </c>
      <c r="D95" s="65">
        <v>626949000000</v>
      </c>
      <c r="E95" s="29">
        <v>0</v>
      </c>
      <c r="F95" s="65">
        <v>0</v>
      </c>
      <c r="G95" s="65">
        <v>119689000000</v>
      </c>
      <c r="H95" s="52">
        <v>48744000000</v>
      </c>
      <c r="I95" s="52">
        <v>39772000000</v>
      </c>
      <c r="J95" s="52">
        <v>0</v>
      </c>
      <c r="K95" s="65">
        <v>1187669000000</v>
      </c>
      <c r="L95" s="65">
        <v>0</v>
      </c>
      <c r="M95" s="65">
        <v>1983050000000</v>
      </c>
    </row>
    <row r="96" spans="1:13">
      <c r="A96" s="110">
        <v>92</v>
      </c>
      <c r="B96" s="38" t="s">
        <v>170</v>
      </c>
      <c r="C96" s="38" t="s">
        <v>542</v>
      </c>
      <c r="D96" s="29">
        <v>77000</v>
      </c>
      <c r="E96" s="29">
        <v>0</v>
      </c>
      <c r="F96" s="29">
        <v>0</v>
      </c>
      <c r="G96" s="29">
        <v>0</v>
      </c>
      <c r="H96" s="52">
        <v>217286000</v>
      </c>
      <c r="I96" s="52">
        <v>159480000</v>
      </c>
      <c r="J96" s="52">
        <v>0</v>
      </c>
      <c r="K96" s="29">
        <f>230000000+2500000000+14587000+3736000</f>
        <v>2748323000</v>
      </c>
      <c r="L96" s="29">
        <v>0</v>
      </c>
      <c r="M96" s="29">
        <v>2965686000</v>
      </c>
    </row>
    <row r="97" spans="1:13">
      <c r="A97" s="110">
        <v>93</v>
      </c>
      <c r="B97" s="38" t="s">
        <v>170</v>
      </c>
      <c r="C97" s="38" t="s">
        <v>543</v>
      </c>
      <c r="D97" s="52">
        <f>5410000000+38730000000+376000000+5939000000</f>
        <v>50455000000</v>
      </c>
      <c r="E97" s="29">
        <v>0</v>
      </c>
      <c r="F97" s="65">
        <v>0</v>
      </c>
      <c r="G97" s="65">
        <v>0</v>
      </c>
      <c r="H97" s="52">
        <v>1479000000</v>
      </c>
      <c r="I97" s="52">
        <v>975000000</v>
      </c>
      <c r="J97" s="52">
        <v>0</v>
      </c>
      <c r="K97" s="52">
        <f>3718684000000+82670000000</f>
        <v>3801354000000</v>
      </c>
      <c r="L97" s="65">
        <v>0</v>
      </c>
      <c r="M97" s="65">
        <v>3853287000000</v>
      </c>
    </row>
    <row r="98" spans="1:13">
      <c r="A98" s="110">
        <v>94</v>
      </c>
      <c r="B98" s="38" t="s">
        <v>170</v>
      </c>
      <c r="C98" s="38" t="s">
        <v>544</v>
      </c>
      <c r="D98" s="29">
        <v>156993000000</v>
      </c>
      <c r="E98" s="29">
        <v>0</v>
      </c>
      <c r="F98" s="29">
        <v>0</v>
      </c>
      <c r="G98" s="29">
        <v>0</v>
      </c>
      <c r="H98" s="52">
        <f>3513000000</f>
        <v>3513000000</v>
      </c>
      <c r="I98" s="52">
        <v>0</v>
      </c>
      <c r="J98" s="52">
        <v>10457000000</v>
      </c>
      <c r="K98" s="29">
        <f>2977200000000+370413000000+3646808000000+570717000000+190101000000</f>
        <v>7755239000000</v>
      </c>
      <c r="L98" s="29">
        <v>0</v>
      </c>
      <c r="M98" s="29">
        <v>7926201000000</v>
      </c>
    </row>
    <row r="99" spans="1:13">
      <c r="A99" s="110">
        <v>95</v>
      </c>
      <c r="B99" s="38" t="s">
        <v>545</v>
      </c>
      <c r="C99" s="38" t="s">
        <v>191</v>
      </c>
      <c r="D99" s="29">
        <v>8581000000</v>
      </c>
      <c r="E99" s="29">
        <v>0</v>
      </c>
      <c r="F99" s="29">
        <v>330000000</v>
      </c>
      <c r="G99" s="29">
        <v>3611000000</v>
      </c>
      <c r="H99" s="52">
        <f>445000000+I99</f>
        <v>3495000000</v>
      </c>
      <c r="I99" s="52">
        <v>3050000000</v>
      </c>
      <c r="J99" s="52">
        <v>0</v>
      </c>
      <c r="K99" s="29">
        <v>0</v>
      </c>
      <c r="L99" s="29">
        <v>0</v>
      </c>
      <c r="M99" s="29">
        <v>16018000000</v>
      </c>
    </row>
    <row r="100" spans="1:13">
      <c r="A100" s="110">
        <v>96</v>
      </c>
      <c r="B100" s="38" t="s">
        <v>545</v>
      </c>
      <c r="C100" s="38" t="s">
        <v>546</v>
      </c>
      <c r="D100" s="52">
        <v>54477000000</v>
      </c>
      <c r="E100" s="52">
        <v>1012000000</v>
      </c>
      <c r="F100" s="29">
        <v>0</v>
      </c>
      <c r="G100" s="29">
        <v>0</v>
      </c>
      <c r="H100" s="29">
        <v>810000000</v>
      </c>
      <c r="I100" s="52">
        <v>396000000</v>
      </c>
      <c r="J100" s="52">
        <v>0</v>
      </c>
      <c r="K100" s="29">
        <f>9185000000+53000000</f>
        <v>9238000000</v>
      </c>
      <c r="L100" s="29">
        <v>0</v>
      </c>
      <c r="M100" s="29">
        <v>64525000000</v>
      </c>
    </row>
    <row r="101" spans="1:13" ht="13.8" thickBot="1">
      <c r="A101" s="116">
        <v>97</v>
      </c>
      <c r="B101" s="117" t="s">
        <v>547</v>
      </c>
      <c r="C101" s="117" t="s">
        <v>548</v>
      </c>
      <c r="D101" s="122">
        <v>4330000000</v>
      </c>
      <c r="E101" s="122">
        <v>1644000000</v>
      </c>
      <c r="F101" s="118">
        <v>0</v>
      </c>
      <c r="G101" s="118">
        <v>0</v>
      </c>
      <c r="H101" s="118">
        <v>0</v>
      </c>
      <c r="I101" s="118">
        <v>0</v>
      </c>
      <c r="J101" s="118">
        <v>0</v>
      </c>
      <c r="K101" s="118">
        <v>0</v>
      </c>
      <c r="L101" s="118">
        <v>0</v>
      </c>
      <c r="M101" s="118">
        <v>4330000000</v>
      </c>
    </row>
    <row r="102" spans="1:13" s="37" customFormat="1" ht="18.600000000000001" customHeight="1" thickTop="1">
      <c r="A102" s="167" t="s">
        <v>585</v>
      </c>
      <c r="B102" s="187"/>
      <c r="C102" s="170"/>
      <c r="D102" s="115">
        <f t="shared" ref="D102:L102" si="0">SUM(D5:D101)</f>
        <v>18064725884000</v>
      </c>
      <c r="E102" s="115">
        <f t="shared" si="0"/>
        <v>118897928000</v>
      </c>
      <c r="F102" s="115">
        <f t="shared" si="0"/>
        <v>201806424000</v>
      </c>
      <c r="G102" s="115">
        <f t="shared" si="0"/>
        <v>293257682000</v>
      </c>
      <c r="H102" s="115">
        <f t="shared" si="0"/>
        <v>233452497000</v>
      </c>
      <c r="I102" s="115">
        <f t="shared" si="0"/>
        <v>99055868000</v>
      </c>
      <c r="J102" s="115">
        <f t="shared" si="0"/>
        <v>191959136000</v>
      </c>
      <c r="K102" s="115">
        <f t="shared" si="0"/>
        <v>56304551415000</v>
      </c>
      <c r="L102" s="115">
        <f t="shared" si="0"/>
        <v>146009000000</v>
      </c>
      <c r="M102" s="115">
        <f>SUM(M5:M101)</f>
        <v>75435763038000</v>
      </c>
    </row>
    <row r="104" spans="1:13" ht="13.05" customHeight="1">
      <c r="B104" s="179" t="s">
        <v>665</v>
      </c>
      <c r="C104" s="179"/>
      <c r="D104" s="179"/>
      <c r="E104" s="179"/>
      <c r="F104" s="179"/>
      <c r="G104" s="179"/>
      <c r="H104" s="179"/>
      <c r="I104" s="179"/>
      <c r="J104" s="179"/>
      <c r="K104" s="179"/>
      <c r="L104" s="179"/>
      <c r="M104" s="179"/>
    </row>
    <row r="105" spans="1:13">
      <c r="B105" s="179"/>
      <c r="C105" s="179"/>
      <c r="D105" s="179"/>
      <c r="E105" s="179"/>
      <c r="F105" s="179"/>
      <c r="G105" s="179"/>
      <c r="H105" s="179"/>
      <c r="I105" s="179"/>
      <c r="J105" s="179"/>
      <c r="K105" s="179"/>
      <c r="L105" s="179"/>
      <c r="M105" s="179"/>
    </row>
    <row r="106" spans="1:13">
      <c r="B106" s="179"/>
      <c r="C106" s="179"/>
      <c r="D106" s="179"/>
      <c r="E106" s="179"/>
      <c r="F106" s="179"/>
      <c r="G106" s="179"/>
      <c r="H106" s="179"/>
      <c r="I106" s="179"/>
      <c r="J106" s="179"/>
      <c r="K106" s="179"/>
      <c r="L106" s="179"/>
      <c r="M106" s="179"/>
    </row>
  </sheetData>
  <mergeCells count="14">
    <mergeCell ref="B104:M106"/>
    <mergeCell ref="A2:A4"/>
    <mergeCell ref="D3:D4"/>
    <mergeCell ref="F3:F4"/>
    <mergeCell ref="G3:G4"/>
    <mergeCell ref="H3:H4"/>
    <mergeCell ref="K3:K4"/>
    <mergeCell ref="L3:L4"/>
    <mergeCell ref="D2:L2"/>
    <mergeCell ref="B2:B4"/>
    <mergeCell ref="C2:C4"/>
    <mergeCell ref="M2:M4"/>
    <mergeCell ref="J3:J4"/>
    <mergeCell ref="A102:C102"/>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zoomScale="80" zoomScaleNormal="80" workbookViewId="0">
      <pane xSplit="3" ySplit="3" topLeftCell="D28" activePane="bottomRight" state="frozen"/>
      <selection activeCell="B2" sqref="B2:B3"/>
      <selection pane="topRight" activeCell="B2" sqref="B2:B3"/>
      <selection pane="bottomLeft" activeCell="B2" sqref="B2:B3"/>
      <selection pane="bottomRight" activeCell="D110" sqref="D110"/>
    </sheetView>
  </sheetViews>
  <sheetFormatPr defaultColWidth="8.88671875" defaultRowHeight="13.2"/>
  <cols>
    <col min="1" max="1" width="4.21875" style="37" customWidth="1"/>
    <col min="2" max="2" width="18.77734375" style="1" customWidth="1"/>
    <col min="3" max="3" width="45" style="1" bestFit="1" customWidth="1"/>
    <col min="4" max="4" width="15.44140625" style="1" customWidth="1"/>
    <col min="5" max="6" width="17.88671875" style="1" bestFit="1" customWidth="1"/>
    <col min="7" max="7" width="15.44140625" style="1" customWidth="1"/>
    <col min="8" max="8" width="20.44140625" style="1" bestFit="1" customWidth="1"/>
    <col min="9" max="13" width="15.44140625" style="1" customWidth="1"/>
    <col min="14" max="16384" width="8.88671875" style="1"/>
  </cols>
  <sheetData>
    <row r="1" spans="1:13" ht="19.95" customHeight="1">
      <c r="B1" s="144" t="s">
        <v>639</v>
      </c>
      <c r="M1" s="39" t="s">
        <v>204</v>
      </c>
    </row>
    <row r="2" spans="1:13">
      <c r="A2" s="161" t="s">
        <v>195</v>
      </c>
      <c r="B2" s="161" t="s">
        <v>0</v>
      </c>
      <c r="C2" s="161" t="s">
        <v>1</v>
      </c>
      <c r="D2" s="164" t="s">
        <v>241</v>
      </c>
      <c r="E2" s="165"/>
      <c r="F2" s="165"/>
      <c r="G2" s="165"/>
      <c r="H2" s="165"/>
      <c r="I2" s="165"/>
      <c r="J2" s="165"/>
      <c r="K2" s="165"/>
      <c r="L2" s="166"/>
      <c r="M2" s="161" t="s">
        <v>9</v>
      </c>
    </row>
    <row r="3" spans="1:13">
      <c r="A3" s="162"/>
      <c r="B3" s="162"/>
      <c r="C3" s="162"/>
      <c r="D3" s="26" t="s">
        <v>3</v>
      </c>
      <c r="E3" s="26" t="s">
        <v>245</v>
      </c>
      <c r="F3" s="26" t="s">
        <v>246</v>
      </c>
      <c r="G3" s="3" t="s">
        <v>5</v>
      </c>
      <c r="H3" s="3" t="s">
        <v>243</v>
      </c>
      <c r="I3" s="26" t="s">
        <v>206</v>
      </c>
      <c r="J3" s="3" t="s">
        <v>84</v>
      </c>
      <c r="K3" s="23" t="s">
        <v>7</v>
      </c>
      <c r="L3" s="23" t="s">
        <v>8</v>
      </c>
      <c r="M3" s="162"/>
    </row>
    <row r="4" spans="1:13">
      <c r="A4" s="26">
        <f>'法人一覧(25)'!A4</f>
        <v>1</v>
      </c>
      <c r="B4" s="38" t="str">
        <f>'法人一覧(25)'!B4</f>
        <v>内閣府</v>
      </c>
      <c r="C4" s="38" t="str">
        <f>'法人一覧(25)'!C4</f>
        <v>国立公文書館</v>
      </c>
      <c r="D4" s="52">
        <v>1944465000</v>
      </c>
      <c r="E4" s="52">
        <v>45693900</v>
      </c>
      <c r="F4" s="52">
        <v>0</v>
      </c>
      <c r="G4" s="52">
        <v>0</v>
      </c>
      <c r="H4" s="52">
        <f>M4-SUM(D4:G4,I4:L4)</f>
        <v>24446468</v>
      </c>
      <c r="I4" s="52">
        <v>0</v>
      </c>
      <c r="J4" s="52">
        <v>0</v>
      </c>
      <c r="K4" s="52">
        <v>0</v>
      </c>
      <c r="L4" s="52">
        <v>0</v>
      </c>
      <c r="M4" s="52">
        <v>2014605368</v>
      </c>
    </row>
    <row r="5" spans="1:13">
      <c r="A5" s="26">
        <f>'法人一覧(25)'!A5</f>
        <v>2</v>
      </c>
      <c r="B5" s="38" t="str">
        <f>'法人一覧(25)'!B5</f>
        <v>内閣府</v>
      </c>
      <c r="C5" s="38" t="str">
        <f>'法人一覧(25)'!C5</f>
        <v>北方領土問題対策協会</v>
      </c>
      <c r="D5" s="52">
        <v>1235731000</v>
      </c>
      <c r="E5" s="52">
        <v>0</v>
      </c>
      <c r="F5" s="52">
        <v>105910782</v>
      </c>
      <c r="G5" s="52">
        <v>73789633</v>
      </c>
      <c r="H5" s="52">
        <f t="shared" ref="H5" si="0">M5-SUM(D5:G5,I5:L5)</f>
        <v>53274093</v>
      </c>
      <c r="I5" s="52">
        <v>0</v>
      </c>
      <c r="J5" s="52">
        <v>0</v>
      </c>
      <c r="K5" s="52">
        <v>0</v>
      </c>
      <c r="L5" s="52">
        <v>0</v>
      </c>
      <c r="M5" s="52">
        <v>1468705508</v>
      </c>
    </row>
    <row r="6" spans="1:13">
      <c r="A6" s="26">
        <f>'法人一覧(25)'!A6</f>
        <v>3</v>
      </c>
      <c r="B6" s="38" t="str">
        <f>'法人一覧(25)'!B6</f>
        <v>消費者庁</v>
      </c>
      <c r="C6" s="38" t="str">
        <f>'法人一覧(25)'!C6</f>
        <v>国民生活センター</v>
      </c>
      <c r="D6" s="29">
        <v>4186502000</v>
      </c>
      <c r="E6" s="29">
        <v>0</v>
      </c>
      <c r="F6" s="29">
        <v>0</v>
      </c>
      <c r="G6" s="29">
        <v>0</v>
      </c>
      <c r="H6" s="29">
        <f t="shared" ref="H6:H68" si="1">M6-SUM(D6:G6,I6:L6)</f>
        <v>88948766</v>
      </c>
      <c r="I6" s="29">
        <v>0</v>
      </c>
      <c r="J6" s="29">
        <v>0</v>
      </c>
      <c r="K6" s="29">
        <v>0</v>
      </c>
      <c r="L6" s="29">
        <v>0</v>
      </c>
      <c r="M6" s="29">
        <v>4275450766</v>
      </c>
    </row>
    <row r="7" spans="1:13">
      <c r="A7" s="26">
        <f>'法人一覧(25)'!A7</f>
        <v>4</v>
      </c>
      <c r="B7" s="38" t="str">
        <f>'法人一覧(25)'!B7</f>
        <v>総務省</v>
      </c>
      <c r="C7" s="38" t="str">
        <f>'法人一覧(25)'!C7</f>
        <v>情報通信研究機構</v>
      </c>
      <c r="D7" s="52">
        <v>29676000000</v>
      </c>
      <c r="E7" s="52">
        <v>49889000000</v>
      </c>
      <c r="F7" s="52">
        <v>522000000</v>
      </c>
      <c r="G7" s="52">
        <v>6788000000</v>
      </c>
      <c r="H7" s="52">
        <f t="shared" si="1"/>
        <v>531000000</v>
      </c>
      <c r="I7" s="52">
        <v>0</v>
      </c>
      <c r="J7" s="52">
        <v>0</v>
      </c>
      <c r="K7" s="52">
        <v>0</v>
      </c>
      <c r="L7" s="52">
        <v>0</v>
      </c>
      <c r="M7" s="52">
        <v>87406000000</v>
      </c>
    </row>
    <row r="8" spans="1:13">
      <c r="A8" s="26">
        <f>'法人一覧(25)'!A8</f>
        <v>5</v>
      </c>
      <c r="B8" s="38" t="str">
        <f>'法人一覧(25)'!B8</f>
        <v>総務省</v>
      </c>
      <c r="C8" s="38" t="str">
        <f>'法人一覧(25)'!C8</f>
        <v>統計センター</v>
      </c>
      <c r="D8" s="29">
        <v>7616000000</v>
      </c>
      <c r="E8" s="29">
        <v>0</v>
      </c>
      <c r="F8" s="29">
        <v>0</v>
      </c>
      <c r="G8" s="29">
        <f>23000000+681000000+78000000</f>
        <v>782000000</v>
      </c>
      <c r="H8" s="29">
        <f t="shared" si="1"/>
        <v>3000000</v>
      </c>
      <c r="I8" s="29">
        <v>0</v>
      </c>
      <c r="J8" s="29">
        <v>0</v>
      </c>
      <c r="K8" s="29">
        <v>0</v>
      </c>
      <c r="L8" s="29">
        <v>0</v>
      </c>
      <c r="M8" s="29">
        <v>8401000000</v>
      </c>
    </row>
    <row r="9" spans="1:13">
      <c r="A9" s="26">
        <f>'法人一覧(25)'!A9</f>
        <v>6</v>
      </c>
      <c r="B9" s="38" t="str">
        <f>'法人一覧(25)'!B9</f>
        <v>総務省</v>
      </c>
      <c r="C9" s="38" t="str">
        <f>'法人一覧(25)'!C9</f>
        <v>郵便貯金・簡易生命保険管理機構</v>
      </c>
      <c r="D9" s="52">
        <v>0</v>
      </c>
      <c r="E9" s="52">
        <v>0</v>
      </c>
      <c r="F9" s="52">
        <v>0</v>
      </c>
      <c r="G9" s="52">
        <v>0</v>
      </c>
      <c r="H9" s="52">
        <f t="shared" si="1"/>
        <v>15830908000000</v>
      </c>
      <c r="I9" s="52">
        <v>0</v>
      </c>
      <c r="J9" s="52">
        <v>0</v>
      </c>
      <c r="K9" s="52">
        <v>0</v>
      </c>
      <c r="L9" s="52">
        <v>0</v>
      </c>
      <c r="M9" s="52">
        <v>15830908000000</v>
      </c>
    </row>
    <row r="10" spans="1:13">
      <c r="A10" s="26">
        <f>'法人一覧(25)'!A10</f>
        <v>7</v>
      </c>
      <c r="B10" s="38" t="str">
        <f>'法人一覧(25)'!B10</f>
        <v>外務省</v>
      </c>
      <c r="C10" s="38" t="str">
        <f>'法人一覧(25)'!C10</f>
        <v>国際協力機構</v>
      </c>
      <c r="D10" s="29">
        <v>152973442000</v>
      </c>
      <c r="E10" s="29">
        <v>206486045</v>
      </c>
      <c r="F10" s="29">
        <v>85423013645</v>
      </c>
      <c r="G10" s="29">
        <v>1402699742</v>
      </c>
      <c r="H10" s="29">
        <f t="shared" si="1"/>
        <v>205205082243</v>
      </c>
      <c r="I10" s="29">
        <v>0</v>
      </c>
      <c r="J10" s="29">
        <v>0</v>
      </c>
      <c r="K10" s="29">
        <v>0</v>
      </c>
      <c r="L10" s="29">
        <v>111190314</v>
      </c>
      <c r="M10" s="29">
        <f>242946867958+202375046031</f>
        <v>445321913989</v>
      </c>
    </row>
    <row r="11" spans="1:13">
      <c r="A11" s="26">
        <f>'法人一覧(25)'!A11</f>
        <v>8</v>
      </c>
      <c r="B11" s="38" t="str">
        <f>'法人一覧(25)'!B11</f>
        <v>外務省</v>
      </c>
      <c r="C11" s="38" t="str">
        <f>'法人一覧(25)'!C11</f>
        <v>国際交流基金</v>
      </c>
      <c r="D11" s="29">
        <v>12495049000</v>
      </c>
      <c r="E11" s="29">
        <v>0</v>
      </c>
      <c r="F11" s="29">
        <v>20034581000</v>
      </c>
      <c r="G11" s="29">
        <v>2492859302</v>
      </c>
      <c r="H11" s="29">
        <f t="shared" si="1"/>
        <v>2941447921</v>
      </c>
      <c r="I11" s="29">
        <v>0</v>
      </c>
      <c r="J11" s="29">
        <v>0</v>
      </c>
      <c r="K11" s="29">
        <v>0</v>
      </c>
      <c r="L11" s="29">
        <v>0</v>
      </c>
      <c r="M11" s="29">
        <v>37963937223</v>
      </c>
    </row>
    <row r="12" spans="1:13">
      <c r="A12" s="26">
        <f>'法人一覧(25)'!A12</f>
        <v>9</v>
      </c>
      <c r="B12" s="38" t="str">
        <f>'法人一覧(25)'!B12</f>
        <v>財務省</v>
      </c>
      <c r="C12" s="38" t="str">
        <f>'法人一覧(25)'!C12</f>
        <v>酒類総合研究所</v>
      </c>
      <c r="D12" s="29">
        <v>965001000</v>
      </c>
      <c r="E12" s="29">
        <v>0</v>
      </c>
      <c r="F12" s="29">
        <v>0</v>
      </c>
      <c r="G12" s="29">
        <v>10296913</v>
      </c>
      <c r="H12" s="29">
        <f t="shared" si="1"/>
        <v>58432163</v>
      </c>
      <c r="I12" s="29">
        <v>0</v>
      </c>
      <c r="J12" s="29">
        <v>0</v>
      </c>
      <c r="K12" s="29">
        <v>0</v>
      </c>
      <c r="L12" s="29">
        <v>0</v>
      </c>
      <c r="M12" s="29">
        <v>1033730076</v>
      </c>
    </row>
    <row r="13" spans="1:13">
      <c r="A13" s="26">
        <f>'法人一覧(25)'!A13</f>
        <v>10</v>
      </c>
      <c r="B13" s="38" t="str">
        <f>'法人一覧(25)'!B13</f>
        <v>財務省</v>
      </c>
      <c r="C13" s="38" t="str">
        <f>'法人一覧(25)'!C13</f>
        <v>造幣局</v>
      </c>
      <c r="D13" s="29">
        <v>0</v>
      </c>
      <c r="E13" s="29">
        <v>0</v>
      </c>
      <c r="F13" s="29">
        <v>0</v>
      </c>
      <c r="G13" s="29">
        <v>0</v>
      </c>
      <c r="H13" s="29">
        <f t="shared" si="1"/>
        <v>26535000000</v>
      </c>
      <c r="I13" s="29">
        <v>0</v>
      </c>
      <c r="J13" s="29">
        <v>0</v>
      </c>
      <c r="K13" s="29">
        <v>0</v>
      </c>
      <c r="L13" s="29">
        <v>0</v>
      </c>
      <c r="M13" s="29">
        <v>26535000000</v>
      </c>
    </row>
    <row r="14" spans="1:13">
      <c r="A14" s="26">
        <f>'法人一覧(25)'!A14</f>
        <v>11</v>
      </c>
      <c r="B14" s="38" t="str">
        <f>'法人一覧(25)'!B14</f>
        <v>財務省</v>
      </c>
      <c r="C14" s="38" t="str">
        <f>'法人一覧(25)'!C14</f>
        <v>国立印刷局</v>
      </c>
      <c r="D14" s="29">
        <v>0</v>
      </c>
      <c r="E14" s="29">
        <v>0</v>
      </c>
      <c r="F14" s="29">
        <v>0</v>
      </c>
      <c r="G14" s="29">
        <v>0</v>
      </c>
      <c r="H14" s="29">
        <f t="shared" si="1"/>
        <v>71608215864</v>
      </c>
      <c r="I14" s="29">
        <v>0</v>
      </c>
      <c r="J14" s="29">
        <v>0</v>
      </c>
      <c r="K14" s="29">
        <v>0</v>
      </c>
      <c r="L14" s="29">
        <v>0</v>
      </c>
      <c r="M14" s="29">
        <v>71608215864</v>
      </c>
    </row>
    <row r="15" spans="1:13">
      <c r="A15" s="26">
        <f>'法人一覧(25)'!A15</f>
        <v>12</v>
      </c>
      <c r="B15" s="38" t="str">
        <f>'法人一覧(25)'!B15</f>
        <v>財務省</v>
      </c>
      <c r="C15" s="38" t="str">
        <f>'法人一覧(25)'!C15</f>
        <v>日本万国博覧会記念機構</v>
      </c>
      <c r="D15" s="52">
        <v>0</v>
      </c>
      <c r="E15" s="52">
        <v>0</v>
      </c>
      <c r="F15" s="52">
        <v>0</v>
      </c>
      <c r="G15" s="52">
        <v>0</v>
      </c>
      <c r="H15" s="52">
        <f t="shared" si="1"/>
        <v>5576000000</v>
      </c>
      <c r="I15" s="52">
        <v>0</v>
      </c>
      <c r="J15" s="52">
        <v>0</v>
      </c>
      <c r="K15" s="52">
        <v>0</v>
      </c>
      <c r="L15" s="52">
        <v>0</v>
      </c>
      <c r="M15" s="52">
        <v>5576000000</v>
      </c>
    </row>
    <row r="16" spans="1:13">
      <c r="A16" s="26">
        <f>'法人一覧(25)'!A16</f>
        <v>13</v>
      </c>
      <c r="B16" s="38" t="str">
        <f>'法人一覧(25)'!B16</f>
        <v>文部科学省</v>
      </c>
      <c r="C16" s="38" t="str">
        <f>'法人一覧(25)'!C16</f>
        <v>国立特別支援教育総合研究所</v>
      </c>
      <c r="D16" s="52">
        <f>883188000+39783396</f>
        <v>922971396</v>
      </c>
      <c r="E16" s="52">
        <v>21011000</v>
      </c>
      <c r="F16" s="52">
        <v>7553497</v>
      </c>
      <c r="G16" s="52">
        <v>0</v>
      </c>
      <c r="H16" s="52">
        <f t="shared" si="1"/>
        <v>47537973</v>
      </c>
      <c r="I16" s="52">
        <v>0</v>
      </c>
      <c r="J16" s="52">
        <v>0</v>
      </c>
      <c r="K16" s="52">
        <v>0</v>
      </c>
      <c r="L16" s="52">
        <v>0</v>
      </c>
      <c r="M16" s="52">
        <v>999073866</v>
      </c>
    </row>
    <row r="17" spans="1:13">
      <c r="A17" s="26">
        <f>'法人一覧(25)'!A17</f>
        <v>14</v>
      </c>
      <c r="B17" s="38" t="str">
        <f>'法人一覧(25)'!B17</f>
        <v>文部科学省</v>
      </c>
      <c r="C17" s="38" t="str">
        <f>'法人一覧(25)'!C17</f>
        <v>大学入試センター</v>
      </c>
      <c r="D17" s="52">
        <v>0</v>
      </c>
      <c r="E17" s="52">
        <v>0</v>
      </c>
      <c r="F17" s="52">
        <v>0</v>
      </c>
      <c r="G17" s="52">
        <v>878000</v>
      </c>
      <c r="H17" s="52">
        <f t="shared" si="1"/>
        <v>11203647409</v>
      </c>
      <c r="I17" s="52">
        <v>0</v>
      </c>
      <c r="J17" s="52">
        <v>0</v>
      </c>
      <c r="K17" s="52">
        <v>0</v>
      </c>
      <c r="L17" s="52">
        <v>0</v>
      </c>
      <c r="M17" s="52">
        <v>11204525409</v>
      </c>
    </row>
    <row r="18" spans="1:13">
      <c r="A18" s="26">
        <f>'法人一覧(25)'!A18</f>
        <v>15</v>
      </c>
      <c r="B18" s="38" t="str">
        <f>'法人一覧(25)'!B18</f>
        <v>文部科学省</v>
      </c>
      <c r="C18" s="38" t="str">
        <f>'法人一覧(25)'!C18</f>
        <v>国立青少年教育振興機構</v>
      </c>
      <c r="D18" s="52">
        <v>8938813000</v>
      </c>
      <c r="E18" s="52">
        <v>267201621</v>
      </c>
      <c r="F18" s="52">
        <v>103640</v>
      </c>
      <c r="G18" s="52">
        <v>84642089</v>
      </c>
      <c r="H18" s="52">
        <f t="shared" si="1"/>
        <v>1749118615</v>
      </c>
      <c r="I18" s="52">
        <v>0</v>
      </c>
      <c r="J18" s="52">
        <v>7396476</v>
      </c>
      <c r="K18" s="52">
        <v>918617242</v>
      </c>
      <c r="L18" s="52">
        <v>0</v>
      </c>
      <c r="M18" s="52">
        <v>11965892683</v>
      </c>
    </row>
    <row r="19" spans="1:13">
      <c r="A19" s="26">
        <f>'法人一覧(25)'!A19</f>
        <v>16</v>
      </c>
      <c r="B19" s="38" t="str">
        <f>'法人一覧(25)'!B19</f>
        <v>文部科学省</v>
      </c>
      <c r="C19" s="38" t="str">
        <f>'法人一覧(25)'!C19</f>
        <v>国立女性教育会館</v>
      </c>
      <c r="D19" s="52">
        <v>530334000</v>
      </c>
      <c r="E19" s="52">
        <v>0</v>
      </c>
      <c r="F19" s="52">
        <v>0</v>
      </c>
      <c r="G19" s="52">
        <v>5131356</v>
      </c>
      <c r="H19" s="52">
        <f t="shared" si="1"/>
        <v>116054457</v>
      </c>
      <c r="I19" s="52">
        <v>0</v>
      </c>
      <c r="J19" s="52">
        <v>0</v>
      </c>
      <c r="K19" s="52">
        <v>0</v>
      </c>
      <c r="L19" s="52">
        <v>0</v>
      </c>
      <c r="M19" s="52">
        <v>651519813</v>
      </c>
    </row>
    <row r="20" spans="1:13">
      <c r="A20" s="26">
        <f>'法人一覧(25)'!A20</f>
        <v>17</v>
      </c>
      <c r="B20" s="38" t="str">
        <f>'法人一覧(25)'!B20</f>
        <v>文部科学省</v>
      </c>
      <c r="C20" s="38" t="str">
        <f>'法人一覧(25)'!C20</f>
        <v>国立科学博物館</v>
      </c>
      <c r="D20" s="52">
        <v>2773280000</v>
      </c>
      <c r="E20" s="52">
        <v>788172420</v>
      </c>
      <c r="F20" s="52">
        <v>26000000</v>
      </c>
      <c r="G20" s="52">
        <v>0</v>
      </c>
      <c r="H20" s="52">
        <f t="shared" si="1"/>
        <v>887839328</v>
      </c>
      <c r="I20" s="52">
        <v>0</v>
      </c>
      <c r="J20" s="52">
        <v>0</v>
      </c>
      <c r="K20" s="52">
        <v>0</v>
      </c>
      <c r="L20" s="52">
        <v>0</v>
      </c>
      <c r="M20" s="52">
        <v>4475291748</v>
      </c>
    </row>
    <row r="21" spans="1:13">
      <c r="A21" s="26">
        <f>'法人一覧(25)'!A21</f>
        <v>18</v>
      </c>
      <c r="B21" s="38" t="str">
        <f>'法人一覧(25)'!B21</f>
        <v>文部科学省</v>
      </c>
      <c r="C21" s="38" t="str">
        <f>'法人一覧(25)'!C21</f>
        <v>物質・材料研究機構</v>
      </c>
      <c r="D21" s="52">
        <v>12850000000</v>
      </c>
      <c r="E21" s="52">
        <f>3464000000</f>
        <v>3464000000</v>
      </c>
      <c r="F21" s="52">
        <f>1422000000+2751000000</f>
        <v>4173000000</v>
      </c>
      <c r="G21" s="52">
        <v>8091000000</v>
      </c>
      <c r="H21" s="52">
        <f t="shared" si="1"/>
        <v>830000000</v>
      </c>
      <c r="I21" s="52">
        <v>0</v>
      </c>
      <c r="J21" s="52">
        <v>0</v>
      </c>
      <c r="K21" s="52">
        <v>0</v>
      </c>
      <c r="L21" s="52">
        <v>0</v>
      </c>
      <c r="M21" s="52">
        <v>29408000000</v>
      </c>
    </row>
    <row r="22" spans="1:13">
      <c r="A22" s="26">
        <f>'法人一覧(25)'!A22</f>
        <v>19</v>
      </c>
      <c r="B22" s="38" t="str">
        <f>'法人一覧(25)'!B22</f>
        <v>文部科学省</v>
      </c>
      <c r="C22" s="38" t="str">
        <f>'法人一覧(25)'!C22</f>
        <v>防災科学技術研究所</v>
      </c>
      <c r="D22" s="52">
        <v>6542000000</v>
      </c>
      <c r="E22" s="52">
        <v>6803000000</v>
      </c>
      <c r="F22" s="52">
        <f>219000000+15475000000</f>
        <v>15694000000</v>
      </c>
      <c r="G22" s="52">
        <v>485000000</v>
      </c>
      <c r="H22" s="52">
        <f t="shared" si="1"/>
        <v>91000000</v>
      </c>
      <c r="I22" s="52">
        <v>0</v>
      </c>
      <c r="J22" s="52">
        <v>0</v>
      </c>
      <c r="K22" s="52">
        <v>0</v>
      </c>
      <c r="L22" s="52">
        <v>0</v>
      </c>
      <c r="M22" s="52">
        <v>29615000000</v>
      </c>
    </row>
    <row r="23" spans="1:13">
      <c r="A23" s="26">
        <f>'法人一覧(25)'!A23</f>
        <v>20</v>
      </c>
      <c r="B23" s="38" t="str">
        <f>'法人一覧(25)'!B23</f>
        <v>文部科学省</v>
      </c>
      <c r="C23" s="38" t="str">
        <f>'法人一覧(25)'!C23</f>
        <v>放射線医学総合研究所</v>
      </c>
      <c r="D23" s="52">
        <v>10289482000</v>
      </c>
      <c r="E23" s="52">
        <v>2460564790</v>
      </c>
      <c r="F23" s="52">
        <v>305614341</v>
      </c>
      <c r="G23" s="52">
        <v>529923609</v>
      </c>
      <c r="H23" s="52">
        <f>M23-SUM(D23:G23,I23:L23)</f>
        <v>3575204465</v>
      </c>
      <c r="I23" s="52">
        <v>0</v>
      </c>
      <c r="J23" s="52">
        <v>0</v>
      </c>
      <c r="K23" s="52">
        <v>0</v>
      </c>
      <c r="L23" s="52">
        <v>0</v>
      </c>
      <c r="M23" s="52">
        <v>17160789205</v>
      </c>
    </row>
    <row r="24" spans="1:13">
      <c r="A24" s="26">
        <f>'法人一覧(25)'!A24</f>
        <v>21</v>
      </c>
      <c r="B24" s="38" t="str">
        <f>'法人一覧(25)'!B24</f>
        <v>文部科学省</v>
      </c>
      <c r="C24" s="38" t="str">
        <f>'法人一覧(25)'!C24</f>
        <v>国立美術館</v>
      </c>
      <c r="D24" s="52">
        <v>7545727000</v>
      </c>
      <c r="E24" s="52">
        <v>5532778134</v>
      </c>
      <c r="F24" s="52">
        <v>0</v>
      </c>
      <c r="G24" s="52">
        <v>0</v>
      </c>
      <c r="H24" s="52">
        <f t="shared" ref="H24:H25" si="2">M24-SUM(D24:G24,I24:L24)</f>
        <v>1207456631</v>
      </c>
      <c r="I24" s="52">
        <v>0</v>
      </c>
      <c r="J24" s="52">
        <v>0</v>
      </c>
      <c r="K24" s="52">
        <v>0</v>
      </c>
      <c r="L24" s="52">
        <v>0</v>
      </c>
      <c r="M24" s="52">
        <v>14285961765</v>
      </c>
    </row>
    <row r="25" spans="1:13">
      <c r="A25" s="26">
        <f>'法人一覧(25)'!A25</f>
        <v>22</v>
      </c>
      <c r="B25" s="38" t="str">
        <f>'法人一覧(25)'!B25</f>
        <v>文部科学省</v>
      </c>
      <c r="C25" s="38" t="str">
        <f>'法人一覧(25)'!C25</f>
        <v>国立文化財機構</v>
      </c>
      <c r="D25" s="52">
        <v>8391705000</v>
      </c>
      <c r="E25" s="52">
        <v>6829529046</v>
      </c>
      <c r="F25" s="52">
        <f>5147000+9932540</f>
        <v>15079540</v>
      </c>
      <c r="G25" s="52">
        <v>625371603</v>
      </c>
      <c r="H25" s="52">
        <f t="shared" si="2"/>
        <v>1412544123</v>
      </c>
      <c r="I25" s="52">
        <v>0</v>
      </c>
      <c r="J25" s="52">
        <v>0</v>
      </c>
      <c r="K25" s="52">
        <v>0</v>
      </c>
      <c r="L25" s="52">
        <v>0</v>
      </c>
      <c r="M25" s="52">
        <v>17274229312</v>
      </c>
    </row>
    <row r="26" spans="1:13">
      <c r="A26" s="26">
        <f>'法人一覧(25)'!A26</f>
        <v>23</v>
      </c>
      <c r="B26" s="38" t="str">
        <f>'法人一覧(25)'!B26</f>
        <v>文部科学省</v>
      </c>
      <c r="C26" s="38" t="str">
        <f>'法人一覧(25)'!C26</f>
        <v>教員研修センター</v>
      </c>
      <c r="D26" s="52">
        <v>985000000</v>
      </c>
      <c r="E26" s="52">
        <v>155000000</v>
      </c>
      <c r="F26" s="52">
        <v>0</v>
      </c>
      <c r="G26" s="52">
        <v>0</v>
      </c>
      <c r="H26" s="52">
        <f t="shared" si="1"/>
        <v>155000000</v>
      </c>
      <c r="I26" s="52">
        <v>0</v>
      </c>
      <c r="J26" s="52">
        <v>0</v>
      </c>
      <c r="K26" s="52">
        <v>0</v>
      </c>
      <c r="L26" s="52">
        <v>0</v>
      </c>
      <c r="M26" s="52">
        <v>1295000000</v>
      </c>
    </row>
    <row r="27" spans="1:13">
      <c r="A27" s="26">
        <f>'法人一覧(25)'!A27</f>
        <v>24</v>
      </c>
      <c r="B27" s="38" t="str">
        <f>'法人一覧(25)'!B27</f>
        <v>文部科学省</v>
      </c>
      <c r="C27" s="38" t="str">
        <f>'法人一覧(25)'!C27</f>
        <v>科学技術振興機構</v>
      </c>
      <c r="D27" s="52">
        <v>126305000000</v>
      </c>
      <c r="E27" s="52">
        <f>77000000</f>
        <v>77000000</v>
      </c>
      <c r="F27" s="52">
        <f>55000000000+14307000000</f>
        <v>69307000000</v>
      </c>
      <c r="G27" s="52">
        <v>6050000000</v>
      </c>
      <c r="H27" s="52">
        <f>M27-SUM(D27:G27,I27:L27)</f>
        <v>5576000000</v>
      </c>
      <c r="I27" s="52">
        <v>0</v>
      </c>
      <c r="J27" s="52">
        <v>0</v>
      </c>
      <c r="K27" s="52">
        <v>1602000000</v>
      </c>
      <c r="L27" s="52">
        <v>0</v>
      </c>
      <c r="M27" s="52">
        <f>150134000000+3783000000+55000000000</f>
        <v>208917000000</v>
      </c>
    </row>
    <row r="28" spans="1:13">
      <c r="A28" s="26">
        <f>'法人一覧(25)'!A28</f>
        <v>25</v>
      </c>
      <c r="B28" s="38" t="str">
        <f>'法人一覧(25)'!B28</f>
        <v>文部科学省</v>
      </c>
      <c r="C28" s="38" t="str">
        <f>'法人一覧(25)'!C28</f>
        <v>日本学術振興会</v>
      </c>
      <c r="D28" s="52">
        <v>29169000000</v>
      </c>
      <c r="E28" s="52">
        <v>0</v>
      </c>
      <c r="F28" s="52">
        <v>243141000000</v>
      </c>
      <c r="G28" s="52">
        <v>182000000</v>
      </c>
      <c r="H28" s="52">
        <f t="shared" ref="H28:H30" si="3">M28-SUM(D28:G28,I28:L28)</f>
        <v>858000000</v>
      </c>
      <c r="I28" s="52">
        <v>0</v>
      </c>
      <c r="J28" s="52">
        <v>0</v>
      </c>
      <c r="K28" s="52">
        <v>0</v>
      </c>
      <c r="L28" s="52">
        <v>0</v>
      </c>
      <c r="M28" s="52">
        <v>273350000000</v>
      </c>
    </row>
    <row r="29" spans="1:13">
      <c r="A29" s="26">
        <f>'法人一覧(25)'!A29</f>
        <v>26</v>
      </c>
      <c r="B29" s="38" t="str">
        <f>'法人一覧(25)'!B29</f>
        <v>文部科学省</v>
      </c>
      <c r="C29" s="38" t="str">
        <f>'法人一覧(25)'!C29</f>
        <v>理化学研究所</v>
      </c>
      <c r="D29" s="52">
        <v>55330000000</v>
      </c>
      <c r="E29" s="52">
        <f>4572000000+10502000000</f>
        <v>15074000000</v>
      </c>
      <c r="F29" s="52">
        <f>22903000000+4891000000</f>
        <v>27794000000</v>
      </c>
      <c r="G29" s="52">
        <v>16762000000</v>
      </c>
      <c r="H29" s="52">
        <f t="shared" si="3"/>
        <v>871000000</v>
      </c>
      <c r="I29" s="52">
        <v>0</v>
      </c>
      <c r="J29" s="52">
        <v>0</v>
      </c>
      <c r="K29" s="52">
        <v>0</v>
      </c>
      <c r="L29" s="52">
        <v>0</v>
      </c>
      <c r="M29" s="52">
        <v>115831000000</v>
      </c>
    </row>
    <row r="30" spans="1:13">
      <c r="A30" s="26">
        <f>'法人一覧(25)'!A30</f>
        <v>27</v>
      </c>
      <c r="B30" s="38" t="str">
        <f>'法人一覧(25)'!B30</f>
        <v>文部科学省</v>
      </c>
      <c r="C30" s="38" t="str">
        <f>'法人一覧(25)'!C30</f>
        <v>宇宙航空研究開発機構</v>
      </c>
      <c r="D30" s="52">
        <v>109768846000</v>
      </c>
      <c r="E30" s="52">
        <v>8936123000</v>
      </c>
      <c r="F30" s="52">
        <f>33863370000+26524252541+0+0</f>
        <v>60387622541</v>
      </c>
      <c r="G30" s="52">
        <v>32359411382</v>
      </c>
      <c r="H30" s="52">
        <f t="shared" si="3"/>
        <v>940949387</v>
      </c>
      <c r="I30" s="52">
        <v>0</v>
      </c>
      <c r="J30" s="52">
        <v>0</v>
      </c>
      <c r="K30" s="52">
        <v>0</v>
      </c>
      <c r="L30" s="52">
        <v>0</v>
      </c>
      <c r="M30" s="52">
        <v>212392952310</v>
      </c>
    </row>
    <row r="31" spans="1:13">
      <c r="A31" s="26">
        <f>'法人一覧(25)'!A31</f>
        <v>28</v>
      </c>
      <c r="B31" s="38" t="str">
        <f>'法人一覧(25)'!B31</f>
        <v>文部科学省</v>
      </c>
      <c r="C31" s="38" t="str">
        <f>'法人一覧(25)'!C31</f>
        <v>日本スポーツ振興センター</v>
      </c>
      <c r="D31" s="52">
        <v>26999208000</v>
      </c>
      <c r="E31" s="52">
        <v>2190097922</v>
      </c>
      <c r="F31" s="52">
        <v>2559463980</v>
      </c>
      <c r="G31" s="52">
        <v>1538323801</v>
      </c>
      <c r="H31" s="52">
        <f t="shared" si="1"/>
        <v>144881814038</v>
      </c>
      <c r="I31" s="52">
        <v>0</v>
      </c>
      <c r="J31" s="52">
        <v>0</v>
      </c>
      <c r="K31" s="52">
        <v>0</v>
      </c>
      <c r="L31" s="52">
        <v>595431508</v>
      </c>
      <c r="M31" s="52">
        <v>178764339249</v>
      </c>
    </row>
    <row r="32" spans="1:13">
      <c r="A32" s="26">
        <f>'法人一覧(25)'!A32</f>
        <v>29</v>
      </c>
      <c r="B32" s="38" t="str">
        <f>'法人一覧(25)'!B32</f>
        <v>文部科学省</v>
      </c>
      <c r="C32" s="38" t="str">
        <f>'法人一覧(25)'!C32</f>
        <v>日本芸術文化振興会</v>
      </c>
      <c r="D32" s="52">
        <v>9432864000</v>
      </c>
      <c r="E32" s="52">
        <v>1671394712</v>
      </c>
      <c r="F32" s="52">
        <v>3838215072</v>
      </c>
      <c r="G32" s="52">
        <v>6900000</v>
      </c>
      <c r="H32" s="52">
        <f t="shared" si="1"/>
        <v>4628045967</v>
      </c>
      <c r="I32" s="52">
        <v>0</v>
      </c>
      <c r="J32" s="52">
        <v>0</v>
      </c>
      <c r="K32" s="52">
        <v>0</v>
      </c>
      <c r="L32" s="52">
        <v>0</v>
      </c>
      <c r="M32" s="52">
        <v>19577419751</v>
      </c>
    </row>
    <row r="33" spans="1:13">
      <c r="A33" s="26">
        <f>'法人一覧(25)'!A33</f>
        <v>30</v>
      </c>
      <c r="B33" s="38" t="str">
        <f>'法人一覧(25)'!B33</f>
        <v>文部科学省</v>
      </c>
      <c r="C33" s="38" t="str">
        <f>'法人一覧(25)'!C33</f>
        <v>日本学生支援機構</v>
      </c>
      <c r="D33" s="52">
        <v>13921746000</v>
      </c>
      <c r="E33" s="52">
        <v>0</v>
      </c>
      <c r="F33" s="52">
        <f>13464762000+10514922000+2040118000</f>
        <v>26019802000</v>
      </c>
      <c r="G33" s="52">
        <v>9518129</v>
      </c>
      <c r="H33" s="52">
        <f t="shared" si="1"/>
        <v>654457178847</v>
      </c>
      <c r="I33" s="52">
        <v>1519609841000</v>
      </c>
      <c r="J33" s="52">
        <v>0</v>
      </c>
      <c r="K33" s="52">
        <v>0</v>
      </c>
      <c r="L33" s="52">
        <v>0</v>
      </c>
      <c r="M33" s="52">
        <v>2214018085976</v>
      </c>
    </row>
    <row r="34" spans="1:13">
      <c r="A34" s="26">
        <f>'法人一覧(25)'!A34</f>
        <v>31</v>
      </c>
      <c r="B34" s="38" t="str">
        <f>'法人一覧(25)'!B34</f>
        <v>文部科学省</v>
      </c>
      <c r="C34" s="38" t="str">
        <f>'法人一覧(25)'!C34</f>
        <v>海洋研究開発機構</v>
      </c>
      <c r="D34" s="52">
        <v>34449000000</v>
      </c>
      <c r="E34" s="52">
        <v>35548000000</v>
      </c>
      <c r="F34" s="52">
        <v>8019000000</v>
      </c>
      <c r="G34" s="52">
        <v>8990000000</v>
      </c>
      <c r="H34" s="52">
        <f t="shared" si="1"/>
        <v>1614000000</v>
      </c>
      <c r="I34" s="52">
        <v>0</v>
      </c>
      <c r="J34" s="52">
        <v>0</v>
      </c>
      <c r="K34" s="52">
        <v>0</v>
      </c>
      <c r="L34" s="52">
        <v>0</v>
      </c>
      <c r="M34" s="52">
        <v>88620000000</v>
      </c>
    </row>
    <row r="35" spans="1:13">
      <c r="A35" s="26">
        <f>'法人一覧(25)'!A35</f>
        <v>32</v>
      </c>
      <c r="B35" s="38" t="str">
        <f>'法人一覧(25)'!B35</f>
        <v>文部科学省</v>
      </c>
      <c r="C35" s="38" t="str">
        <f>'法人一覧(25)'!C35</f>
        <v>国立高等専門学校機構</v>
      </c>
      <c r="D35" s="52">
        <v>58051000000</v>
      </c>
      <c r="E35" s="52">
        <v>28668000000</v>
      </c>
      <c r="F35" s="52">
        <v>810000000</v>
      </c>
      <c r="G35" s="52">
        <v>0</v>
      </c>
      <c r="H35" s="52">
        <f t="shared" si="1"/>
        <v>22777000000</v>
      </c>
      <c r="I35" s="52">
        <v>0</v>
      </c>
      <c r="J35" s="52">
        <v>0</v>
      </c>
      <c r="K35" s="52">
        <v>0</v>
      </c>
      <c r="L35" s="52">
        <v>0</v>
      </c>
      <c r="M35" s="52">
        <v>110306000000</v>
      </c>
    </row>
    <row r="36" spans="1:13">
      <c r="A36" s="26">
        <f>'法人一覧(25)'!A36</f>
        <v>33</v>
      </c>
      <c r="B36" s="38" t="str">
        <f>'法人一覧(25)'!B36</f>
        <v>文部科学省</v>
      </c>
      <c r="C36" s="38" t="str">
        <f>'法人一覧(25)'!C36</f>
        <v>大学評価・学位授与機構</v>
      </c>
      <c r="D36" s="52">
        <v>1194591000</v>
      </c>
      <c r="E36" s="52">
        <v>0</v>
      </c>
      <c r="F36" s="52">
        <v>24831591</v>
      </c>
      <c r="G36" s="52">
        <v>0</v>
      </c>
      <c r="H36" s="52">
        <f t="shared" si="1"/>
        <v>388269139</v>
      </c>
      <c r="I36" s="52">
        <v>0</v>
      </c>
      <c r="J36" s="52">
        <v>0</v>
      </c>
      <c r="K36" s="52">
        <v>0</v>
      </c>
      <c r="L36" s="52">
        <v>0</v>
      </c>
      <c r="M36" s="52">
        <v>1607691730</v>
      </c>
    </row>
    <row r="37" spans="1:13">
      <c r="A37" s="26">
        <f>'法人一覧(25)'!A37</f>
        <v>34</v>
      </c>
      <c r="B37" s="38" t="str">
        <f>'法人一覧(25)'!B37</f>
        <v>文部科学省</v>
      </c>
      <c r="C37" s="38" t="str">
        <f>'法人一覧(25)'!C37</f>
        <v>国立大学財務・経営センター</v>
      </c>
      <c r="D37" s="52">
        <v>293628000</v>
      </c>
      <c r="E37" s="52">
        <v>0</v>
      </c>
      <c r="F37" s="52">
        <v>0</v>
      </c>
      <c r="G37" s="52">
        <v>0</v>
      </c>
      <c r="H37" s="52">
        <f t="shared" si="1"/>
        <v>103996180000</v>
      </c>
      <c r="I37" s="52">
        <v>62944437000</v>
      </c>
      <c r="J37" s="52">
        <v>0</v>
      </c>
      <c r="K37" s="52">
        <v>0</v>
      </c>
      <c r="L37" s="52">
        <v>0</v>
      </c>
      <c r="M37" s="52">
        <v>167234245000</v>
      </c>
    </row>
    <row r="38" spans="1:13">
      <c r="A38" s="26">
        <f>'法人一覧(25)'!A38</f>
        <v>35</v>
      </c>
      <c r="B38" s="38" t="str">
        <f>'法人一覧(25)'!B38</f>
        <v>文部科学省</v>
      </c>
      <c r="C38" s="38" t="str">
        <f>'法人一覧(25)'!C38</f>
        <v>日本原子力研究開発機構</v>
      </c>
      <c r="D38" s="52">
        <v>146834835000</v>
      </c>
      <c r="E38" s="52">
        <v>9298600500</v>
      </c>
      <c r="F38" s="52">
        <f>4987356500+2219049000+8724581000+27265316690+2033580600+12594000+1577091650+8353039000+608843000+992518317+120050394</f>
        <v>56894020151</v>
      </c>
      <c r="G38" s="52">
        <v>21804751407</v>
      </c>
      <c r="H38" s="52">
        <f t="shared" si="1"/>
        <v>14609826581</v>
      </c>
      <c r="I38" s="52">
        <v>0</v>
      </c>
      <c r="J38" s="52">
        <v>0</v>
      </c>
      <c r="K38" s="52">
        <f>30688126847+2746559766+18766936049+85000000000</f>
        <v>137201622662</v>
      </c>
      <c r="L38" s="52">
        <v>0</v>
      </c>
      <c r="M38" s="52">
        <f>249442033639+30688126847+2746559766+18766936049+85000000000</f>
        <v>386643656301</v>
      </c>
    </row>
    <row r="39" spans="1:13">
      <c r="A39" s="26">
        <f>'法人一覧(25)'!A39</f>
        <v>36</v>
      </c>
      <c r="B39" s="38" t="str">
        <f>'法人一覧(25)'!B39</f>
        <v>厚生労働省</v>
      </c>
      <c r="C39" s="38" t="str">
        <f>'法人一覧(25)'!C39</f>
        <v>国立健康・栄養研究所</v>
      </c>
      <c r="D39" s="52">
        <v>658847000</v>
      </c>
      <c r="E39" s="52">
        <v>0</v>
      </c>
      <c r="F39" s="52">
        <v>0</v>
      </c>
      <c r="G39" s="52">
        <v>71585167</v>
      </c>
      <c r="H39" s="52">
        <f t="shared" si="1"/>
        <v>39934141</v>
      </c>
      <c r="I39" s="52">
        <v>0</v>
      </c>
      <c r="J39" s="52">
        <v>0</v>
      </c>
      <c r="K39" s="52">
        <v>27775750</v>
      </c>
      <c r="L39" s="52">
        <v>0</v>
      </c>
      <c r="M39" s="52">
        <v>798142058</v>
      </c>
    </row>
    <row r="40" spans="1:13">
      <c r="A40" s="26">
        <f>'法人一覧(25)'!A40</f>
        <v>37</v>
      </c>
      <c r="B40" s="38" t="str">
        <f>'法人一覧(25)'!B40</f>
        <v>厚生労働省</v>
      </c>
      <c r="C40" s="38" t="str">
        <f>'法人一覧(25)'!C40</f>
        <v>労働安全衛生総合研究所</v>
      </c>
      <c r="D40" s="52">
        <v>2014543000</v>
      </c>
      <c r="E40" s="52">
        <v>50100000</v>
      </c>
      <c r="F40" s="52">
        <v>0</v>
      </c>
      <c r="G40" s="52">
        <v>64989285</v>
      </c>
      <c r="H40" s="52">
        <f t="shared" si="1"/>
        <v>21642266</v>
      </c>
      <c r="I40" s="52">
        <v>0</v>
      </c>
      <c r="J40" s="52">
        <v>0</v>
      </c>
      <c r="K40" s="52">
        <v>0</v>
      </c>
      <c r="L40" s="52">
        <v>0</v>
      </c>
      <c r="M40" s="52">
        <v>2151274551</v>
      </c>
    </row>
    <row r="41" spans="1:13">
      <c r="A41" s="26">
        <f>'法人一覧(25)'!A41</f>
        <v>38</v>
      </c>
      <c r="B41" s="38" t="str">
        <f>'法人一覧(25)'!B41</f>
        <v>厚生労働省</v>
      </c>
      <c r="C41" s="38" t="str">
        <f>'法人一覧(25)'!C41</f>
        <v>勤労者退職金共済機構</v>
      </c>
      <c r="D41" s="52">
        <v>33000000</v>
      </c>
      <c r="E41" s="52">
        <v>0</v>
      </c>
      <c r="F41" s="52">
        <v>8401000000</v>
      </c>
      <c r="G41" s="52">
        <v>0</v>
      </c>
      <c r="H41" s="52">
        <f t="shared" si="1"/>
        <v>702573000000</v>
      </c>
      <c r="I41" s="52">
        <v>0</v>
      </c>
      <c r="J41" s="52">
        <v>0</v>
      </c>
      <c r="K41" s="52">
        <v>0</v>
      </c>
      <c r="L41" s="52">
        <v>0</v>
      </c>
      <c r="M41" s="52">
        <v>711007000000</v>
      </c>
    </row>
    <row r="42" spans="1:13">
      <c r="A42" s="26">
        <f>'法人一覧(25)'!A42</f>
        <v>39</v>
      </c>
      <c r="B42" s="38" t="str">
        <f>'法人一覧(25)'!B42</f>
        <v>厚生労働省</v>
      </c>
      <c r="C42" s="38" t="str">
        <f>'法人一覧(25)'!C42</f>
        <v>高齢・障害・求職者雇用支援機構</v>
      </c>
      <c r="D42" s="52">
        <v>68279256000</v>
      </c>
      <c r="E42" s="52">
        <v>1428787000</v>
      </c>
      <c r="F42" s="52">
        <f>2602584000+12609895</f>
        <v>2615193895</v>
      </c>
      <c r="G42" s="52">
        <v>46207857</v>
      </c>
      <c r="H42" s="52">
        <f t="shared" si="1"/>
        <v>45090083104</v>
      </c>
      <c r="I42" s="52">
        <v>0</v>
      </c>
      <c r="J42" s="52">
        <v>0</v>
      </c>
      <c r="K42" s="52">
        <v>0</v>
      </c>
      <c r="L42" s="52">
        <v>0</v>
      </c>
      <c r="M42" s="52">
        <v>117459527856</v>
      </c>
    </row>
    <row r="43" spans="1:13">
      <c r="A43" s="26">
        <f>'法人一覧(25)'!A43</f>
        <v>40</v>
      </c>
      <c r="B43" s="38" t="str">
        <f>'法人一覧(25)'!B43</f>
        <v>厚生労働省</v>
      </c>
      <c r="C43" s="38" t="str">
        <f>'法人一覧(25)'!C43</f>
        <v>福祉医療機構</v>
      </c>
      <c r="D43" s="52">
        <v>3352964000</v>
      </c>
      <c r="E43" s="52">
        <v>0</v>
      </c>
      <c r="F43" s="52">
        <f>26494141000+5946424000+28704987720</f>
        <v>61145552720</v>
      </c>
      <c r="G43" s="52">
        <v>0</v>
      </c>
      <c r="H43" s="52">
        <f t="shared" si="1"/>
        <v>176812258874</v>
      </c>
      <c r="I43" s="52">
        <v>0</v>
      </c>
      <c r="J43" s="52">
        <v>460841000</v>
      </c>
      <c r="K43" s="52">
        <v>0</v>
      </c>
      <c r="L43" s="52">
        <v>0</v>
      </c>
      <c r="M43" s="52">
        <v>241771616594</v>
      </c>
    </row>
    <row r="44" spans="1:13">
      <c r="A44" s="26">
        <f>'法人一覧(25)'!A44</f>
        <v>41</v>
      </c>
      <c r="B44" s="38" t="str">
        <f>'法人一覧(25)'!B44</f>
        <v>厚生労働省</v>
      </c>
      <c r="C44" s="38" t="str">
        <f>'法人一覧(25)'!C44</f>
        <v>国立重度知的障害者総合施設のぞみの園</v>
      </c>
      <c r="D44" s="52">
        <v>1844501000</v>
      </c>
      <c r="E44" s="52">
        <v>0</v>
      </c>
      <c r="F44" s="52">
        <v>11972000</v>
      </c>
      <c r="G44" s="52">
        <v>6387000</v>
      </c>
      <c r="H44" s="52">
        <f t="shared" si="1"/>
        <v>1762658691</v>
      </c>
      <c r="I44" s="52">
        <v>0</v>
      </c>
      <c r="J44" s="52">
        <v>0</v>
      </c>
      <c r="K44" s="52">
        <v>0</v>
      </c>
      <c r="L44" s="52">
        <v>0</v>
      </c>
      <c r="M44" s="52">
        <v>3625518691</v>
      </c>
    </row>
    <row r="45" spans="1:13">
      <c r="A45" s="26">
        <f>'法人一覧(25)'!A45</f>
        <v>42</v>
      </c>
      <c r="B45" s="38" t="str">
        <f>'法人一覧(25)'!B45</f>
        <v>厚生労働省</v>
      </c>
      <c r="C45" s="38" t="str">
        <f>'法人一覧(25)'!C45</f>
        <v>労働政策研究・研修機構</v>
      </c>
      <c r="D45" s="52">
        <v>2382524000</v>
      </c>
      <c r="E45" s="52">
        <v>139440000</v>
      </c>
      <c r="F45" s="52">
        <v>0</v>
      </c>
      <c r="G45" s="52">
        <v>0</v>
      </c>
      <c r="H45" s="52">
        <f t="shared" si="1"/>
        <v>55021224</v>
      </c>
      <c r="I45" s="52">
        <v>0</v>
      </c>
      <c r="J45" s="52">
        <v>0</v>
      </c>
      <c r="K45" s="52">
        <v>0</v>
      </c>
      <c r="L45" s="52">
        <v>0</v>
      </c>
      <c r="M45" s="52">
        <v>2576985224</v>
      </c>
    </row>
    <row r="46" spans="1:13">
      <c r="A46" s="26">
        <f>'法人一覧(25)'!A46</f>
        <v>43</v>
      </c>
      <c r="B46" s="38" t="str">
        <f>'法人一覧(25)'!B46</f>
        <v>厚生労働省</v>
      </c>
      <c r="C46" s="38" t="str">
        <f>'法人一覧(25)'!C46</f>
        <v>労働者健康福祉機構</v>
      </c>
      <c r="D46" s="52">
        <v>7144196000</v>
      </c>
      <c r="E46" s="52">
        <v>2653339843</v>
      </c>
      <c r="F46" s="52">
        <v>18866834000</v>
      </c>
      <c r="G46" s="52">
        <v>954849465</v>
      </c>
      <c r="H46" s="52">
        <f t="shared" si="1"/>
        <v>290762518628</v>
      </c>
      <c r="I46" s="52">
        <v>1641816000</v>
      </c>
      <c r="J46" s="52">
        <v>0</v>
      </c>
      <c r="K46" s="52">
        <v>0</v>
      </c>
      <c r="L46" s="52">
        <v>0</v>
      </c>
      <c r="M46" s="52">
        <v>322023553936</v>
      </c>
    </row>
    <row r="47" spans="1:13">
      <c r="A47" s="26">
        <f>'法人一覧(25)'!A47</f>
        <v>44</v>
      </c>
      <c r="B47" s="38" t="str">
        <f>'法人一覧(25)'!B47</f>
        <v>厚生労働省</v>
      </c>
      <c r="C47" s="38" t="str">
        <f>'法人一覧(25)'!C47</f>
        <v>国立病院機構</v>
      </c>
      <c r="D47" s="52">
        <v>22958284000</v>
      </c>
      <c r="E47" s="52">
        <v>146396450</v>
      </c>
      <c r="F47" s="52">
        <v>0</v>
      </c>
      <c r="G47" s="52">
        <v>0</v>
      </c>
      <c r="H47" s="52">
        <f t="shared" si="1"/>
        <v>999134805026</v>
      </c>
      <c r="I47" s="52">
        <v>11600000000</v>
      </c>
      <c r="J47" s="52">
        <v>0</v>
      </c>
      <c r="K47" s="52">
        <v>0</v>
      </c>
      <c r="L47" s="52">
        <v>0</v>
      </c>
      <c r="M47" s="52">
        <v>1033839485476</v>
      </c>
    </row>
    <row r="48" spans="1:13">
      <c r="A48" s="26">
        <f>'法人一覧(25)'!A48</f>
        <v>45</v>
      </c>
      <c r="B48" s="38" t="str">
        <f>'法人一覧(25)'!B48</f>
        <v>厚生労働省</v>
      </c>
      <c r="C48" s="38" t="str">
        <f>'法人一覧(25)'!C48</f>
        <v>医薬品医療機器総合機構</v>
      </c>
      <c r="D48" s="52">
        <v>328980000</v>
      </c>
      <c r="E48" s="52">
        <v>0</v>
      </c>
      <c r="F48" s="52">
        <v>1406442750</v>
      </c>
      <c r="G48" s="52">
        <v>0</v>
      </c>
      <c r="H48" s="52">
        <f t="shared" si="1"/>
        <v>20996187440</v>
      </c>
      <c r="I48" s="52">
        <v>0</v>
      </c>
      <c r="J48" s="52">
        <v>0</v>
      </c>
      <c r="K48" s="52">
        <v>0</v>
      </c>
      <c r="L48" s="52">
        <v>0</v>
      </c>
      <c r="M48" s="52">
        <v>22731610190</v>
      </c>
    </row>
    <row r="49" spans="1:13">
      <c r="A49" s="26">
        <f>'法人一覧(25)'!A49</f>
        <v>46</v>
      </c>
      <c r="B49" s="38" t="str">
        <f>'法人一覧(25)'!B49</f>
        <v>厚生労働省</v>
      </c>
      <c r="C49" s="38" t="str">
        <f>'法人一覧(25)'!C49</f>
        <v>医薬基盤研究所</v>
      </c>
      <c r="D49" s="52">
        <v>6896614000</v>
      </c>
      <c r="E49" s="52">
        <v>2063955000</v>
      </c>
      <c r="F49" s="52">
        <v>0</v>
      </c>
      <c r="G49" s="52">
        <v>472296159</v>
      </c>
      <c r="H49" s="52">
        <f t="shared" si="1"/>
        <v>897896009</v>
      </c>
      <c r="I49" s="52">
        <v>0</v>
      </c>
      <c r="J49" s="52">
        <v>0</v>
      </c>
      <c r="K49" s="52">
        <v>0</v>
      </c>
      <c r="L49" s="52">
        <v>0</v>
      </c>
      <c r="M49" s="52">
        <v>10330761168</v>
      </c>
    </row>
    <row r="50" spans="1:13">
      <c r="A50" s="26">
        <f>'法人一覧(25)'!A50</f>
        <v>47</v>
      </c>
      <c r="B50" s="38" t="str">
        <f>'法人一覧(25)'!B50</f>
        <v>厚生労働省</v>
      </c>
      <c r="C50" s="38" t="str">
        <f>'法人一覧(25)'!C50</f>
        <v>年金・健康保険福祉施設整理機構</v>
      </c>
      <c r="D50" s="52">
        <v>0</v>
      </c>
      <c r="E50" s="52">
        <v>0</v>
      </c>
      <c r="F50" s="52">
        <v>0</v>
      </c>
      <c r="G50" s="52">
        <v>0</v>
      </c>
      <c r="H50" s="52">
        <f t="shared" si="1"/>
        <v>16031997788</v>
      </c>
      <c r="I50" s="52">
        <v>0</v>
      </c>
      <c r="J50" s="52">
        <v>0</v>
      </c>
      <c r="K50" s="52">
        <v>22318469981</v>
      </c>
      <c r="L50" s="52">
        <v>0</v>
      </c>
      <c r="M50" s="52">
        <v>38350467769</v>
      </c>
    </row>
    <row r="51" spans="1:13">
      <c r="A51" s="26">
        <f>'法人一覧(25)'!A51</f>
        <v>48</v>
      </c>
      <c r="B51" s="38" t="str">
        <f>'法人一覧(25)'!B51</f>
        <v>厚生労働省</v>
      </c>
      <c r="C51" s="38" t="str">
        <f>'法人一覧(25)'!C51</f>
        <v>年金積立金管理運用</v>
      </c>
      <c r="D51" s="52">
        <v>0</v>
      </c>
      <c r="E51" s="52">
        <v>0</v>
      </c>
      <c r="F51" s="52">
        <v>0</v>
      </c>
      <c r="G51" s="52">
        <v>0</v>
      </c>
      <c r="H51" s="52">
        <f t="shared" si="1"/>
        <v>41790667857453</v>
      </c>
      <c r="I51" s="52">
        <v>0</v>
      </c>
      <c r="J51" s="52">
        <v>0</v>
      </c>
      <c r="K51" s="52">
        <v>0</v>
      </c>
      <c r="L51" s="52">
        <v>0</v>
      </c>
      <c r="M51" s="52">
        <f>14080809314167+1201834299352+26508024243934</f>
        <v>41790667857453</v>
      </c>
    </row>
    <row r="52" spans="1:13">
      <c r="A52" s="26">
        <f>'法人一覧(25)'!A52</f>
        <v>49</v>
      </c>
      <c r="B52" s="38" t="str">
        <f>'法人一覧(25)'!B52</f>
        <v>厚生労働省</v>
      </c>
      <c r="C52" s="38" t="str">
        <f>'法人一覧(25)'!C52</f>
        <v>国立がん研究センター</v>
      </c>
      <c r="D52" s="52">
        <v>7425082000</v>
      </c>
      <c r="E52" s="52">
        <v>522519750</v>
      </c>
      <c r="F52" s="52">
        <v>0</v>
      </c>
      <c r="G52" s="52">
        <v>0</v>
      </c>
      <c r="H52" s="52">
        <f t="shared" si="1"/>
        <v>51691454305</v>
      </c>
      <c r="I52" s="52">
        <v>3824135000</v>
      </c>
      <c r="J52" s="52">
        <v>0</v>
      </c>
      <c r="K52" s="52">
        <v>0</v>
      </c>
      <c r="L52" s="52">
        <v>0</v>
      </c>
      <c r="M52" s="52">
        <v>63463191055</v>
      </c>
    </row>
    <row r="53" spans="1:13">
      <c r="A53" s="26">
        <f>'法人一覧(25)'!A53</f>
        <v>50</v>
      </c>
      <c r="B53" s="38" t="str">
        <f>'法人一覧(25)'!B53</f>
        <v>厚生労働省</v>
      </c>
      <c r="C53" s="38" t="str">
        <f>'法人一覧(25)'!C53</f>
        <v>国立循環器病研究センター</v>
      </c>
      <c r="D53" s="52">
        <v>4605257000</v>
      </c>
      <c r="E53" s="52">
        <v>0</v>
      </c>
      <c r="F53" s="52">
        <v>0</v>
      </c>
      <c r="G53" s="52">
        <v>0</v>
      </c>
      <c r="H53" s="52">
        <f t="shared" si="1"/>
        <v>23046120019</v>
      </c>
      <c r="I53" s="52">
        <v>0</v>
      </c>
      <c r="J53" s="52">
        <v>0</v>
      </c>
      <c r="K53" s="52">
        <v>0</v>
      </c>
      <c r="L53" s="52">
        <v>0</v>
      </c>
      <c r="M53" s="52">
        <v>27651377019</v>
      </c>
    </row>
    <row r="54" spans="1:13">
      <c r="A54" s="26">
        <f>'法人一覧(25)'!A54</f>
        <v>51</v>
      </c>
      <c r="B54" s="38" t="str">
        <f>'法人一覧(25)'!B54</f>
        <v>厚生労働省</v>
      </c>
      <c r="C54" s="38" t="str">
        <f>'法人一覧(25)'!C54</f>
        <v>国立精神・神経医療研究センター</v>
      </c>
      <c r="D54" s="52">
        <v>4534300000</v>
      </c>
      <c r="E54" s="52">
        <v>450000000</v>
      </c>
      <c r="F54" s="52">
        <v>0</v>
      </c>
      <c r="G54" s="52">
        <v>0</v>
      </c>
      <c r="H54" s="52">
        <f t="shared" si="1"/>
        <v>9174328437</v>
      </c>
      <c r="I54" s="52">
        <v>0</v>
      </c>
      <c r="J54" s="52">
        <v>0</v>
      </c>
      <c r="K54" s="52">
        <v>0</v>
      </c>
      <c r="L54" s="52">
        <v>0</v>
      </c>
      <c r="M54" s="52">
        <v>14158628437</v>
      </c>
    </row>
    <row r="55" spans="1:13">
      <c r="A55" s="26">
        <f>'法人一覧(25)'!A55</f>
        <v>52</v>
      </c>
      <c r="B55" s="38" t="str">
        <f>'法人一覧(25)'!B55</f>
        <v>厚生労働省</v>
      </c>
      <c r="C55" s="38" t="str">
        <f>'法人一覧(25)'!C55</f>
        <v>国立国際医療研究センター</v>
      </c>
      <c r="D55" s="52">
        <v>6913936000</v>
      </c>
      <c r="E55" s="52">
        <v>896398000</v>
      </c>
      <c r="F55" s="52">
        <v>0</v>
      </c>
      <c r="G55" s="52">
        <v>0</v>
      </c>
      <c r="H55" s="52">
        <f t="shared" si="1"/>
        <v>36722917417</v>
      </c>
      <c r="I55" s="52">
        <v>1800000000</v>
      </c>
      <c r="J55" s="52">
        <v>0</v>
      </c>
      <c r="K55" s="52">
        <v>0</v>
      </c>
      <c r="L55" s="52">
        <v>0</v>
      </c>
      <c r="M55" s="52">
        <v>46333251417</v>
      </c>
    </row>
    <row r="56" spans="1:13">
      <c r="A56" s="26">
        <f>'法人一覧(25)'!A56</f>
        <v>53</v>
      </c>
      <c r="B56" s="38" t="str">
        <f>'法人一覧(25)'!B56</f>
        <v>厚生労働省</v>
      </c>
      <c r="C56" s="38" t="str">
        <f>'法人一覧(25)'!C56</f>
        <v>国立成育医療研究センター</v>
      </c>
      <c r="D56" s="52">
        <v>3995849000</v>
      </c>
      <c r="E56" s="52">
        <v>449249413</v>
      </c>
      <c r="F56" s="52">
        <v>0</v>
      </c>
      <c r="G56" s="52">
        <v>0</v>
      </c>
      <c r="H56" s="52">
        <f t="shared" si="1"/>
        <v>20389595716</v>
      </c>
      <c r="I56" s="52">
        <v>0</v>
      </c>
      <c r="J56" s="52">
        <v>0</v>
      </c>
      <c r="K56" s="52">
        <v>0</v>
      </c>
      <c r="L56" s="52">
        <v>0</v>
      </c>
      <c r="M56" s="52">
        <v>24834694129</v>
      </c>
    </row>
    <row r="57" spans="1:13">
      <c r="A57" s="26">
        <f>'法人一覧(25)'!A57</f>
        <v>54</v>
      </c>
      <c r="B57" s="38" t="str">
        <f>'法人一覧(25)'!B57</f>
        <v>厚生労働省</v>
      </c>
      <c r="C57" s="38" t="str">
        <f>'法人一覧(25)'!C57</f>
        <v>国立長寿医療研究センター</v>
      </c>
      <c r="D57" s="52">
        <v>3476575000</v>
      </c>
      <c r="E57" s="52">
        <v>236107000</v>
      </c>
      <c r="F57" s="52">
        <v>0</v>
      </c>
      <c r="G57" s="52">
        <v>0</v>
      </c>
      <c r="H57" s="52">
        <f t="shared" si="1"/>
        <v>7557267658</v>
      </c>
      <c r="I57" s="52">
        <v>0</v>
      </c>
      <c r="J57" s="52">
        <v>0</v>
      </c>
      <c r="K57" s="52">
        <v>0</v>
      </c>
      <c r="L57" s="52">
        <v>0</v>
      </c>
      <c r="M57" s="52">
        <v>11269949658</v>
      </c>
    </row>
    <row r="58" spans="1:13">
      <c r="A58" s="26">
        <f>'法人一覧(25)'!A58</f>
        <v>55</v>
      </c>
      <c r="B58" s="38" t="str">
        <f>'法人一覧(25)'!B58</f>
        <v>農林水産省</v>
      </c>
      <c r="C58" s="38" t="str">
        <f>'法人一覧(25)'!C58</f>
        <v>農林水産消費安全技術センター</v>
      </c>
      <c r="D58" s="52">
        <v>6421754000</v>
      </c>
      <c r="E58" s="52">
        <v>230933591</v>
      </c>
      <c r="F58" s="52">
        <v>0</v>
      </c>
      <c r="G58" s="52">
        <v>0</v>
      </c>
      <c r="H58" s="52">
        <f t="shared" si="1"/>
        <v>53395631</v>
      </c>
      <c r="I58" s="52">
        <v>0</v>
      </c>
      <c r="J58" s="52">
        <v>0</v>
      </c>
      <c r="K58" s="52">
        <v>125364895</v>
      </c>
      <c r="L58" s="52">
        <v>0</v>
      </c>
      <c r="M58" s="52">
        <v>6831448117</v>
      </c>
    </row>
    <row r="59" spans="1:13">
      <c r="A59" s="26">
        <f>'法人一覧(25)'!A59</f>
        <v>56</v>
      </c>
      <c r="B59" s="38" t="str">
        <f>'法人一覧(25)'!B59</f>
        <v>農林水産省</v>
      </c>
      <c r="C59" s="38" t="str">
        <f>'法人一覧(25)'!C59</f>
        <v>種苗管理センター</v>
      </c>
      <c r="D59" s="29">
        <v>2668000000</v>
      </c>
      <c r="E59" s="29">
        <v>552000000</v>
      </c>
      <c r="F59" s="29">
        <v>0</v>
      </c>
      <c r="G59" s="29">
        <v>45000000</v>
      </c>
      <c r="H59" s="29">
        <f t="shared" si="1"/>
        <v>226000000</v>
      </c>
      <c r="I59" s="29">
        <v>0</v>
      </c>
      <c r="J59" s="29">
        <v>0</v>
      </c>
      <c r="K59" s="29">
        <v>14000000</v>
      </c>
      <c r="L59" s="29">
        <v>0</v>
      </c>
      <c r="M59" s="29">
        <v>3505000000</v>
      </c>
    </row>
    <row r="60" spans="1:13">
      <c r="A60" s="26">
        <f>'法人一覧(25)'!A60</f>
        <v>57</v>
      </c>
      <c r="B60" s="38" t="str">
        <f>'法人一覧(25)'!B60</f>
        <v>農林水産省</v>
      </c>
      <c r="C60" s="38" t="str">
        <f>'法人一覧(25)'!C60</f>
        <v>家畜改良センター</v>
      </c>
      <c r="D60" s="29">
        <v>7009000000</v>
      </c>
      <c r="E60" s="29">
        <v>213000000</v>
      </c>
      <c r="F60" s="29">
        <v>0</v>
      </c>
      <c r="G60" s="29">
        <v>192000000</v>
      </c>
      <c r="H60" s="29">
        <f t="shared" si="1"/>
        <v>1353000000</v>
      </c>
      <c r="I60" s="29">
        <v>0</v>
      </c>
      <c r="J60" s="29">
        <v>0</v>
      </c>
      <c r="K60" s="29">
        <v>703000000</v>
      </c>
      <c r="L60" s="29">
        <v>0</v>
      </c>
      <c r="M60" s="29">
        <v>9470000000</v>
      </c>
    </row>
    <row r="61" spans="1:13">
      <c r="A61" s="26">
        <f>'法人一覧(25)'!A61</f>
        <v>58</v>
      </c>
      <c r="B61" s="38" t="str">
        <f>'法人一覧(25)'!B61</f>
        <v>農林水産省</v>
      </c>
      <c r="C61" s="38" t="str">
        <f>'法人一覧(25)'!C61</f>
        <v>水産大学校</v>
      </c>
      <c r="D61" s="29">
        <v>1673019000</v>
      </c>
      <c r="E61" s="29">
        <v>0</v>
      </c>
      <c r="F61" s="29">
        <v>16000000</v>
      </c>
      <c r="G61" s="29">
        <v>108036803</v>
      </c>
      <c r="H61" s="29">
        <f t="shared" si="1"/>
        <v>555014359</v>
      </c>
      <c r="I61" s="29">
        <v>0</v>
      </c>
      <c r="J61" s="29">
        <v>0</v>
      </c>
      <c r="K61" s="29">
        <v>150556261</v>
      </c>
      <c r="L61" s="29">
        <v>0</v>
      </c>
      <c r="M61" s="29">
        <v>2502626423</v>
      </c>
    </row>
    <row r="62" spans="1:13">
      <c r="A62" s="26">
        <f>'法人一覧(25)'!A62</f>
        <v>59</v>
      </c>
      <c r="B62" s="38" t="str">
        <f>'法人一覧(25)'!B62</f>
        <v>農林水産省</v>
      </c>
      <c r="C62" s="38" t="str">
        <f>'法人一覧(25)'!C62</f>
        <v>農業・食品産業技術総合研究機構</v>
      </c>
      <c r="D62" s="29">
        <f>36105237000+10358271000+1547051000</f>
        <v>48010559000</v>
      </c>
      <c r="E62" s="29">
        <f>5027872421+106659310</f>
        <v>5134531731</v>
      </c>
      <c r="F62" s="29">
        <f>15037734+5962629+7000000+2061732+71000000</f>
        <v>101062095</v>
      </c>
      <c r="G62" s="29">
        <f>3981218682+30884845</f>
        <v>4012103527</v>
      </c>
      <c r="H62" s="29">
        <f t="shared" si="1"/>
        <v>1128035329</v>
      </c>
      <c r="I62" s="29">
        <v>0</v>
      </c>
      <c r="J62" s="29">
        <v>0</v>
      </c>
      <c r="K62" s="29">
        <v>0</v>
      </c>
      <c r="L62" s="29">
        <v>0</v>
      </c>
      <c r="M62" s="29">
        <f>45920830491+10369587777+272666724+16996503+1806210187</f>
        <v>58386291682</v>
      </c>
    </row>
    <row r="63" spans="1:13">
      <c r="A63" s="26">
        <f>'法人一覧(25)'!A63</f>
        <v>60</v>
      </c>
      <c r="B63" s="38" t="str">
        <f>'法人一覧(25)'!B63</f>
        <v>農林水産省</v>
      </c>
      <c r="C63" s="38" t="str">
        <f>'法人一覧(25)'!C63</f>
        <v>農業生物資源研究所</v>
      </c>
      <c r="D63" s="29">
        <v>6328220000</v>
      </c>
      <c r="E63" s="29">
        <v>970464807</v>
      </c>
      <c r="F63" s="29">
        <v>12467650</v>
      </c>
      <c r="G63" s="29">
        <v>1857901862</v>
      </c>
      <c r="H63" s="29">
        <f t="shared" si="1"/>
        <v>20562023</v>
      </c>
      <c r="I63" s="29">
        <v>0</v>
      </c>
      <c r="J63" s="29">
        <v>0</v>
      </c>
      <c r="K63" s="29">
        <v>441717135</v>
      </c>
      <c r="L63" s="29">
        <v>0</v>
      </c>
      <c r="M63" s="29">
        <v>9631333477</v>
      </c>
    </row>
    <row r="64" spans="1:13">
      <c r="A64" s="26">
        <f>'法人一覧(25)'!A64</f>
        <v>61</v>
      </c>
      <c r="B64" s="38" t="str">
        <f>'法人一覧(25)'!B64</f>
        <v>農林水産省</v>
      </c>
      <c r="C64" s="38" t="str">
        <f>'法人一覧(25)'!C64</f>
        <v>農業環境技術研究所</v>
      </c>
      <c r="D64" s="29">
        <v>2730146000</v>
      </c>
      <c r="E64" s="29">
        <v>2081730000</v>
      </c>
      <c r="F64" s="29">
        <v>0</v>
      </c>
      <c r="G64" s="29">
        <v>672094905</v>
      </c>
      <c r="H64" s="29">
        <f t="shared" si="1"/>
        <v>1028465</v>
      </c>
      <c r="I64" s="29">
        <v>0</v>
      </c>
      <c r="J64" s="29">
        <v>0</v>
      </c>
      <c r="K64" s="29">
        <v>48656000</v>
      </c>
      <c r="L64" s="29">
        <v>0</v>
      </c>
      <c r="M64" s="29">
        <v>5533655370</v>
      </c>
    </row>
    <row r="65" spans="1:13">
      <c r="A65" s="26">
        <f>'法人一覧(25)'!A65</f>
        <v>62</v>
      </c>
      <c r="B65" s="38" t="str">
        <f>'法人一覧(25)'!B65</f>
        <v>農林水産省</v>
      </c>
      <c r="C65" s="38" t="str">
        <f>'法人一覧(25)'!C65</f>
        <v>国際農林水産業研究センター</v>
      </c>
      <c r="D65" s="29">
        <v>3169527000</v>
      </c>
      <c r="E65" s="29">
        <v>0</v>
      </c>
      <c r="F65" s="29">
        <v>134140845</v>
      </c>
      <c r="G65" s="29">
        <v>264728088</v>
      </c>
      <c r="H65" s="29">
        <f t="shared" si="1"/>
        <v>11049841</v>
      </c>
      <c r="I65" s="29">
        <v>0</v>
      </c>
      <c r="J65" s="29">
        <v>0</v>
      </c>
      <c r="K65" s="29">
        <v>131123119</v>
      </c>
      <c r="L65" s="29">
        <v>0</v>
      </c>
      <c r="M65" s="29">
        <v>3710568893</v>
      </c>
    </row>
    <row r="66" spans="1:13">
      <c r="A66" s="26">
        <f>'法人一覧(25)'!A66</f>
        <v>63</v>
      </c>
      <c r="B66" s="38" t="str">
        <f>'法人一覧(25)'!B66</f>
        <v>農林水産省</v>
      </c>
      <c r="C66" s="38" t="str">
        <f>'法人一覧(25)'!C66</f>
        <v>森林総合研究所</v>
      </c>
      <c r="D66" s="52">
        <f>8828662000</f>
        <v>8828662000</v>
      </c>
      <c r="E66" s="52">
        <v>1043456273</v>
      </c>
      <c r="F66" s="52">
        <f>169129542+1499424334+223968000+30740719192+4533125</f>
        <v>32637774193</v>
      </c>
      <c r="G66" s="52">
        <v>703086407</v>
      </c>
      <c r="H66" s="52">
        <f t="shared" si="1"/>
        <v>16262688341</v>
      </c>
      <c r="I66" s="52">
        <f>477000000+1800000000+6500000000</f>
        <v>8777000000</v>
      </c>
      <c r="J66" s="52">
        <v>10778000000</v>
      </c>
      <c r="K66" s="52">
        <v>0</v>
      </c>
      <c r="L66" s="52">
        <v>0</v>
      </c>
      <c r="M66" s="52">
        <f>10916857281+19243863420+48869946513</f>
        <v>79030667214</v>
      </c>
    </row>
    <row r="67" spans="1:13">
      <c r="A67" s="26">
        <f>'法人一覧(25)'!A67</f>
        <v>64</v>
      </c>
      <c r="B67" s="38" t="str">
        <f>'法人一覧(25)'!B67</f>
        <v>農林水産省</v>
      </c>
      <c r="C67" s="38" t="str">
        <f>'法人一覧(25)'!C67</f>
        <v>水産総合研究センター</v>
      </c>
      <c r="D67" s="29">
        <v>14545612000</v>
      </c>
      <c r="E67" s="29">
        <v>4198696400</v>
      </c>
      <c r="F67" s="29">
        <v>619161626</v>
      </c>
      <c r="G67" s="29">
        <v>2814322748</v>
      </c>
      <c r="H67" s="29">
        <f t="shared" si="1"/>
        <v>1230602477</v>
      </c>
      <c r="I67" s="29">
        <v>0</v>
      </c>
      <c r="J67" s="29">
        <v>0</v>
      </c>
      <c r="K67" s="29">
        <v>1082692375</v>
      </c>
      <c r="L67" s="29">
        <v>0</v>
      </c>
      <c r="M67" s="29">
        <v>24491087626</v>
      </c>
    </row>
    <row r="68" spans="1:13">
      <c r="A68" s="26">
        <f>'法人一覧(25)'!A68</f>
        <v>65</v>
      </c>
      <c r="B68" s="38" t="str">
        <f>'法人一覧(25)'!B68</f>
        <v>農林水産省</v>
      </c>
      <c r="C68" s="38" t="str">
        <f>'法人一覧(25)'!C68</f>
        <v>農畜産業振興機構</v>
      </c>
      <c r="D68" s="29">
        <v>1855000000</v>
      </c>
      <c r="E68" s="29">
        <v>0</v>
      </c>
      <c r="F68" s="29">
        <f>5120000000+88819000000</f>
        <v>93939000000</v>
      </c>
      <c r="G68" s="29">
        <v>0</v>
      </c>
      <c r="H68" s="29">
        <f t="shared" si="1"/>
        <v>202591000000</v>
      </c>
      <c r="I68" s="29">
        <v>20186000000</v>
      </c>
      <c r="J68" s="29">
        <v>0</v>
      </c>
      <c r="K68" s="29">
        <v>0</v>
      </c>
      <c r="L68" s="29">
        <v>0</v>
      </c>
      <c r="M68" s="29">
        <v>318571000000</v>
      </c>
    </row>
    <row r="69" spans="1:13">
      <c r="A69" s="26">
        <f>'法人一覧(25)'!A69</f>
        <v>66</v>
      </c>
      <c r="B69" s="38" t="str">
        <f>'法人一覧(25)'!B69</f>
        <v>農林水産省</v>
      </c>
      <c r="C69" s="38" t="str">
        <f>'法人一覧(25)'!C69</f>
        <v>農業者年金基金</v>
      </c>
      <c r="D69" s="29">
        <v>3319533000</v>
      </c>
      <c r="E69" s="29">
        <v>0</v>
      </c>
      <c r="F69" s="29">
        <f>1022576449+120379728000</f>
        <v>121402304449</v>
      </c>
      <c r="G69" s="29">
        <v>0</v>
      </c>
      <c r="H69" s="29">
        <f t="shared" ref="H69:H104" si="4">M69-SUM(D69:G69,I69:L69)</f>
        <v>15013253612</v>
      </c>
      <c r="I69" s="29">
        <v>82500000000</v>
      </c>
      <c r="J69" s="29">
        <v>0</v>
      </c>
      <c r="K69" s="29">
        <v>0</v>
      </c>
      <c r="L69" s="29">
        <v>0</v>
      </c>
      <c r="M69" s="29">
        <v>222235091061</v>
      </c>
    </row>
    <row r="70" spans="1:13">
      <c r="A70" s="26">
        <f>'法人一覧(25)'!A70</f>
        <v>67</v>
      </c>
      <c r="B70" s="38" t="str">
        <f>'法人一覧(25)'!B70</f>
        <v>農林水産省</v>
      </c>
      <c r="C70" s="38" t="str">
        <f>'法人一覧(25)'!C70</f>
        <v>農林漁業信用基金</v>
      </c>
      <c r="D70" s="29">
        <v>0</v>
      </c>
      <c r="E70" s="29">
        <v>0</v>
      </c>
      <c r="F70" s="29">
        <f>3577587320+30321881</f>
        <v>3607909201</v>
      </c>
      <c r="G70" s="29">
        <v>0</v>
      </c>
      <c r="H70" s="29">
        <f t="shared" si="4"/>
        <v>74727636922</v>
      </c>
      <c r="I70" s="29">
        <v>961000000</v>
      </c>
      <c r="J70" s="29">
        <f>580000000+38970000</f>
        <v>618970000</v>
      </c>
      <c r="K70" s="29">
        <v>0</v>
      </c>
      <c r="L70" s="29">
        <v>0</v>
      </c>
      <c r="M70" s="29">
        <v>79915516123</v>
      </c>
    </row>
    <row r="71" spans="1:13">
      <c r="A71" s="26">
        <f>'法人一覧(25)'!A71</f>
        <v>68</v>
      </c>
      <c r="B71" s="38" t="str">
        <f>'法人一覧(25)'!B71</f>
        <v>経済産業省</v>
      </c>
      <c r="C71" s="38" t="str">
        <f>'法人一覧(25)'!C71</f>
        <v>経済産業研究所</v>
      </c>
      <c r="D71" s="29">
        <v>1752098729</v>
      </c>
      <c r="E71" s="29">
        <v>0</v>
      </c>
      <c r="F71" s="29">
        <v>3045000</v>
      </c>
      <c r="G71" s="29">
        <v>8490168</v>
      </c>
      <c r="H71" s="29">
        <f t="shared" si="4"/>
        <v>2677048</v>
      </c>
      <c r="I71" s="29">
        <v>0</v>
      </c>
      <c r="J71" s="29">
        <v>0</v>
      </c>
      <c r="K71" s="29">
        <v>0</v>
      </c>
      <c r="L71" s="29">
        <v>0</v>
      </c>
      <c r="M71" s="29">
        <v>1766310945</v>
      </c>
    </row>
    <row r="72" spans="1:13">
      <c r="A72" s="26">
        <f>'法人一覧(25)'!A72</f>
        <v>69</v>
      </c>
      <c r="B72" s="38" t="str">
        <f>'法人一覧(25)'!B72</f>
        <v>経済産業省</v>
      </c>
      <c r="C72" s="38" t="str">
        <f>'法人一覧(25)'!C72</f>
        <v>工業所有権情報・研修館</v>
      </c>
      <c r="D72" s="29">
        <v>9311869000</v>
      </c>
      <c r="E72" s="29">
        <v>0</v>
      </c>
      <c r="F72" s="29">
        <v>0</v>
      </c>
      <c r="G72" s="29">
        <v>0</v>
      </c>
      <c r="H72" s="29">
        <f>M72-SUM(D72:G72,I72:L72)</f>
        <v>95950139</v>
      </c>
      <c r="I72" s="29">
        <v>0</v>
      </c>
      <c r="J72" s="29">
        <v>0</v>
      </c>
      <c r="K72" s="29">
        <v>0</v>
      </c>
      <c r="L72" s="29">
        <v>0</v>
      </c>
      <c r="M72" s="29">
        <v>9407819139</v>
      </c>
    </row>
    <row r="73" spans="1:13">
      <c r="A73" s="26">
        <f>'法人一覧(25)'!A73</f>
        <v>70</v>
      </c>
      <c r="B73" s="38" t="str">
        <f>'法人一覧(25)'!B73</f>
        <v>経済産業省</v>
      </c>
      <c r="C73" s="38" t="str">
        <f>'法人一覧(25)'!C73</f>
        <v>日本貿易保険</v>
      </c>
      <c r="D73" s="29">
        <v>0</v>
      </c>
      <c r="E73" s="29">
        <v>0</v>
      </c>
      <c r="F73" s="29">
        <v>0</v>
      </c>
      <c r="G73" s="29">
        <v>0</v>
      </c>
      <c r="H73" s="29">
        <f t="shared" si="4"/>
        <v>56067000000</v>
      </c>
      <c r="I73" s="29">
        <v>0</v>
      </c>
      <c r="J73" s="29">
        <v>0</v>
      </c>
      <c r="K73" s="29">
        <v>10937000000</v>
      </c>
      <c r="L73" s="29">
        <v>0</v>
      </c>
      <c r="M73" s="29">
        <v>67004000000</v>
      </c>
    </row>
    <row r="74" spans="1:13">
      <c r="A74" s="26">
        <f>'法人一覧(25)'!A74</f>
        <v>71</v>
      </c>
      <c r="B74" s="38" t="str">
        <f>'法人一覧(25)'!B74</f>
        <v>経済産業省</v>
      </c>
      <c r="C74" s="38" t="str">
        <f>'法人一覧(25)'!C74</f>
        <v>産業技術総合研究所</v>
      </c>
      <c r="D74" s="29">
        <v>59112548000</v>
      </c>
      <c r="E74" s="29">
        <v>11383284000</v>
      </c>
      <c r="F74" s="29">
        <v>0</v>
      </c>
      <c r="G74" s="29">
        <v>13186181717</v>
      </c>
      <c r="H74" s="29">
        <f t="shared" si="4"/>
        <v>10354336420</v>
      </c>
      <c r="I74" s="29">
        <v>0</v>
      </c>
      <c r="J74" s="29">
        <v>0</v>
      </c>
      <c r="K74" s="29">
        <v>0</v>
      </c>
      <c r="L74" s="29">
        <v>0</v>
      </c>
      <c r="M74" s="29">
        <v>94036350137</v>
      </c>
    </row>
    <row r="75" spans="1:13">
      <c r="A75" s="26">
        <f>'法人一覧(25)'!A75</f>
        <v>72</v>
      </c>
      <c r="B75" s="38" t="str">
        <f>'法人一覧(25)'!B75</f>
        <v>経済産業省</v>
      </c>
      <c r="C75" s="38" t="str">
        <f>'法人一覧(25)'!C75</f>
        <v>製品評価技術基盤機構</v>
      </c>
      <c r="D75" s="29">
        <v>6469156000</v>
      </c>
      <c r="E75" s="29">
        <v>512005000</v>
      </c>
      <c r="F75" s="29">
        <v>0</v>
      </c>
      <c r="G75" s="29">
        <v>303644500</v>
      </c>
      <c r="H75" s="29">
        <f t="shared" si="4"/>
        <v>301225415</v>
      </c>
      <c r="I75" s="29">
        <v>0</v>
      </c>
      <c r="J75" s="29">
        <v>0</v>
      </c>
      <c r="K75" s="29">
        <v>0</v>
      </c>
      <c r="L75" s="29">
        <v>0</v>
      </c>
      <c r="M75" s="29">
        <v>7586030915</v>
      </c>
    </row>
    <row r="76" spans="1:13">
      <c r="A76" s="26">
        <f>'法人一覧(25)'!A76</f>
        <v>73</v>
      </c>
      <c r="B76" s="38" t="str">
        <f>'法人一覧(25)'!B76</f>
        <v>経済産業省</v>
      </c>
      <c r="C76" s="38" t="str">
        <f>'法人一覧(25)'!C76</f>
        <v>新エネルギー・産業技術総合開発機構</v>
      </c>
      <c r="D76" s="52">
        <v>121092372000</v>
      </c>
      <c r="E76" s="29">
        <v>0</v>
      </c>
      <c r="F76" s="52">
        <v>8465314446</v>
      </c>
      <c r="G76" s="52">
        <v>8880571992</v>
      </c>
      <c r="H76" s="52">
        <f t="shared" si="4"/>
        <v>6824833000</v>
      </c>
      <c r="I76" s="29">
        <v>0</v>
      </c>
      <c r="J76" s="52">
        <v>580000000</v>
      </c>
      <c r="K76" s="29">
        <v>0</v>
      </c>
      <c r="L76" s="29">
        <v>0</v>
      </c>
      <c r="M76" s="52">
        <v>145843091438</v>
      </c>
    </row>
    <row r="77" spans="1:13">
      <c r="A77" s="26">
        <f>'法人一覧(25)'!A77</f>
        <v>74</v>
      </c>
      <c r="B77" s="38" t="str">
        <f>'法人一覧(25)'!B77</f>
        <v>経済産業省</v>
      </c>
      <c r="C77" s="38" t="str">
        <f>'法人一覧(25)'!C77</f>
        <v>日本貿易振興機構</v>
      </c>
      <c r="D77" s="52">
        <v>22848179000</v>
      </c>
      <c r="E77" s="29">
        <v>0</v>
      </c>
      <c r="F77" s="52">
        <v>2955891834</v>
      </c>
      <c r="G77" s="52">
        <v>1380427647</v>
      </c>
      <c r="H77" s="52">
        <f t="shared" si="4"/>
        <v>3031150044</v>
      </c>
      <c r="I77" s="29">
        <v>0</v>
      </c>
      <c r="J77" s="29">
        <v>0</v>
      </c>
      <c r="K77" s="29">
        <v>0</v>
      </c>
      <c r="L77" s="29">
        <v>0</v>
      </c>
      <c r="M77" s="52">
        <v>30215648525</v>
      </c>
    </row>
    <row r="78" spans="1:13">
      <c r="A78" s="26">
        <f>'法人一覧(25)'!A78</f>
        <v>75</v>
      </c>
      <c r="B78" s="38" t="str">
        <f>'法人一覧(25)'!B78</f>
        <v>経済産業省</v>
      </c>
      <c r="C78" s="38" t="str">
        <f>'法人一覧(25)'!C78</f>
        <v>情報処理推進機構</v>
      </c>
      <c r="D78" s="52">
        <v>3670858000</v>
      </c>
      <c r="E78" s="29">
        <v>0</v>
      </c>
      <c r="F78" s="29">
        <v>0</v>
      </c>
      <c r="G78" s="52">
        <v>3308958</v>
      </c>
      <c r="H78" s="52">
        <f t="shared" si="4"/>
        <v>2636071715</v>
      </c>
      <c r="I78" s="29">
        <v>0</v>
      </c>
      <c r="J78" s="29">
        <v>0</v>
      </c>
      <c r="K78" s="29">
        <v>0</v>
      </c>
      <c r="L78" s="29">
        <v>0</v>
      </c>
      <c r="M78" s="52">
        <v>6310238673</v>
      </c>
    </row>
    <row r="79" spans="1:13">
      <c r="A79" s="26">
        <f>'法人一覧(25)'!A79</f>
        <v>76</v>
      </c>
      <c r="B79" s="38" t="str">
        <f>'法人一覧(25)'!B79</f>
        <v>経済産業省</v>
      </c>
      <c r="C79" s="38" t="str">
        <f>'法人一覧(25)'!C79</f>
        <v>石油天然ガス・金属鉱物資源機構</v>
      </c>
      <c r="D79" s="29">
        <v>19579622000</v>
      </c>
      <c r="E79" s="29">
        <v>0</v>
      </c>
      <c r="F79" s="29">
        <v>10208431642</v>
      </c>
      <c r="G79" s="29">
        <v>94217810218</v>
      </c>
      <c r="H79" s="29">
        <f t="shared" si="4"/>
        <v>789868296641</v>
      </c>
      <c r="I79" s="29">
        <v>839620999900</v>
      </c>
      <c r="J79" s="29">
        <v>98400000000</v>
      </c>
      <c r="K79" s="29">
        <v>0</v>
      </c>
      <c r="L79" s="29">
        <v>0</v>
      </c>
      <c r="M79" s="29">
        <v>1851895160401</v>
      </c>
    </row>
    <row r="80" spans="1:13">
      <c r="A80" s="26">
        <f>'法人一覧(25)'!A80</f>
        <v>77</v>
      </c>
      <c r="B80" s="38" t="str">
        <f>'法人一覧(25)'!B80</f>
        <v>経済産業省</v>
      </c>
      <c r="C80" s="38" t="str">
        <f>'法人一覧(25)'!C80</f>
        <v>中小企業基盤整備機構</v>
      </c>
      <c r="D80" s="29">
        <f>17063728000+4170697000+1482544000</f>
        <v>22716969000</v>
      </c>
      <c r="E80" s="29">
        <v>0</v>
      </c>
      <c r="F80" s="29">
        <v>7440471035</v>
      </c>
      <c r="G80" s="29">
        <f>39061325+64066010</f>
        <v>103127335</v>
      </c>
      <c r="H80" s="29">
        <f t="shared" si="4"/>
        <v>1643052660049</v>
      </c>
      <c r="I80" s="29">
        <v>241982000</v>
      </c>
      <c r="J80" s="29">
        <v>1000000000</v>
      </c>
      <c r="K80" s="29">
        <v>0</v>
      </c>
      <c r="L80" s="29">
        <v>0</v>
      </c>
      <c r="M80" s="29">
        <f>87892075391+476101324+1908542664+1341011954405+235298876245+6224586004+1628045798+115027588</f>
        <v>1674555209419</v>
      </c>
    </row>
    <row r="81" spans="1:13">
      <c r="A81" s="26">
        <f>'法人一覧(25)'!A81</f>
        <v>78</v>
      </c>
      <c r="B81" s="38" t="str">
        <f>'法人一覧(25)'!B81</f>
        <v>国土交通省</v>
      </c>
      <c r="C81" s="38" t="str">
        <f>'法人一覧(25)'!C81</f>
        <v>土木研究所</v>
      </c>
      <c r="D81" s="52">
        <v>8100814000</v>
      </c>
      <c r="E81" s="52">
        <v>1674445000</v>
      </c>
      <c r="F81" s="52">
        <v>0</v>
      </c>
      <c r="G81" s="52">
        <v>291489000</v>
      </c>
      <c r="H81" s="52">
        <f t="shared" si="4"/>
        <v>156293000</v>
      </c>
      <c r="I81" s="52">
        <v>0</v>
      </c>
      <c r="J81" s="52">
        <v>0</v>
      </c>
      <c r="K81" s="52">
        <v>0</v>
      </c>
      <c r="L81" s="52">
        <v>0</v>
      </c>
      <c r="M81" s="52">
        <v>10223041000</v>
      </c>
    </row>
    <row r="82" spans="1:13">
      <c r="A82" s="26">
        <f>'法人一覧(25)'!A82</f>
        <v>79</v>
      </c>
      <c r="B82" s="38" t="str">
        <f>'法人一覧(25)'!B82</f>
        <v>国土交通省</v>
      </c>
      <c r="C82" s="38" t="str">
        <f>'法人一覧(25)'!C82</f>
        <v>建築研究所</v>
      </c>
      <c r="D82" s="52">
        <v>1691944000</v>
      </c>
      <c r="E82" s="52">
        <v>76602750</v>
      </c>
      <c r="F82" s="52">
        <v>0</v>
      </c>
      <c r="G82" s="52">
        <v>60215477</v>
      </c>
      <c r="H82" s="52">
        <f t="shared" si="4"/>
        <v>63913060</v>
      </c>
      <c r="I82" s="52">
        <v>0</v>
      </c>
      <c r="J82" s="52">
        <v>0</v>
      </c>
      <c r="K82" s="52">
        <v>0</v>
      </c>
      <c r="L82" s="52">
        <v>0</v>
      </c>
      <c r="M82" s="52">
        <v>1892675287</v>
      </c>
    </row>
    <row r="83" spans="1:13">
      <c r="A83" s="26">
        <f>'法人一覧(25)'!A83</f>
        <v>80</v>
      </c>
      <c r="B83" s="38" t="str">
        <f>'法人一覧(25)'!B83</f>
        <v>国土交通省</v>
      </c>
      <c r="C83" s="38" t="str">
        <f>'法人一覧(25)'!C83</f>
        <v>交通安全環境研究所</v>
      </c>
      <c r="D83" s="52">
        <v>1567792000</v>
      </c>
      <c r="E83" s="52">
        <v>1284287756</v>
      </c>
      <c r="F83" s="52">
        <v>0</v>
      </c>
      <c r="G83" s="52">
        <v>548183599</v>
      </c>
      <c r="H83" s="52">
        <f t="shared" si="4"/>
        <v>31228111</v>
      </c>
      <c r="I83" s="52">
        <v>0</v>
      </c>
      <c r="J83" s="52">
        <v>0</v>
      </c>
      <c r="K83" s="52">
        <v>0</v>
      </c>
      <c r="L83" s="52">
        <v>0</v>
      </c>
      <c r="M83" s="52">
        <v>3431491466</v>
      </c>
    </row>
    <row r="84" spans="1:13">
      <c r="A84" s="26">
        <f>'法人一覧(25)'!A84</f>
        <v>81</v>
      </c>
      <c r="B84" s="38" t="str">
        <f>'法人一覧(25)'!B84</f>
        <v>国土交通省</v>
      </c>
      <c r="C84" s="38" t="str">
        <f>'法人一覧(25)'!C84</f>
        <v>海上技術安全研究所</v>
      </c>
      <c r="D84" s="52">
        <v>2569795000</v>
      </c>
      <c r="E84" s="52">
        <v>150294671</v>
      </c>
      <c r="F84" s="52">
        <v>0</v>
      </c>
      <c r="G84" s="52">
        <v>1382865735</v>
      </c>
      <c r="H84" s="52">
        <f t="shared" si="4"/>
        <v>97772522</v>
      </c>
      <c r="I84" s="52">
        <v>0</v>
      </c>
      <c r="J84" s="52">
        <v>0</v>
      </c>
      <c r="K84" s="52">
        <v>0</v>
      </c>
      <c r="L84" s="52">
        <v>0</v>
      </c>
      <c r="M84" s="52">
        <v>4200727928</v>
      </c>
    </row>
    <row r="85" spans="1:13">
      <c r="A85" s="26">
        <f>'法人一覧(25)'!A85</f>
        <v>82</v>
      </c>
      <c r="B85" s="38" t="str">
        <f>'法人一覧(25)'!B85</f>
        <v>国土交通省</v>
      </c>
      <c r="C85" s="38" t="str">
        <f>'法人一覧(25)'!C85</f>
        <v>港湾空港技術研究所</v>
      </c>
      <c r="D85" s="52">
        <v>1174330000</v>
      </c>
      <c r="E85" s="52">
        <v>155302000</v>
      </c>
      <c r="F85" s="52">
        <v>0</v>
      </c>
      <c r="G85" s="52">
        <v>1606001038</v>
      </c>
      <c r="H85" s="52">
        <f t="shared" si="4"/>
        <v>118640589</v>
      </c>
      <c r="I85" s="52">
        <v>0</v>
      </c>
      <c r="J85" s="52">
        <v>0</v>
      </c>
      <c r="K85" s="52">
        <v>0</v>
      </c>
      <c r="L85" s="52">
        <v>0</v>
      </c>
      <c r="M85" s="52">
        <v>3054273627</v>
      </c>
    </row>
    <row r="86" spans="1:13">
      <c r="A86" s="26">
        <f>'法人一覧(25)'!A86</f>
        <v>83</v>
      </c>
      <c r="B86" s="38" t="str">
        <f>'法人一覧(25)'!B86</f>
        <v>国土交通省</v>
      </c>
      <c r="C86" s="38" t="str">
        <f>'法人一覧(25)'!C86</f>
        <v>電子航法研究所</v>
      </c>
      <c r="D86" s="52">
        <v>1394739000</v>
      </c>
      <c r="E86" s="52">
        <v>49900000</v>
      </c>
      <c r="F86" s="52">
        <v>0</v>
      </c>
      <c r="G86" s="52">
        <v>102975205</v>
      </c>
      <c r="H86" s="52">
        <f t="shared" si="4"/>
        <v>19890646</v>
      </c>
      <c r="I86" s="52">
        <v>0</v>
      </c>
      <c r="J86" s="52">
        <v>0</v>
      </c>
      <c r="K86" s="52">
        <v>0</v>
      </c>
      <c r="L86" s="52">
        <v>0</v>
      </c>
      <c r="M86" s="52">
        <v>1567504851</v>
      </c>
    </row>
    <row r="87" spans="1:13">
      <c r="A87" s="26">
        <f>'法人一覧(25)'!A87</f>
        <v>84</v>
      </c>
      <c r="B87" s="38" t="str">
        <f>'法人一覧(25)'!B87</f>
        <v>国土交通省</v>
      </c>
      <c r="C87" s="38" t="str">
        <f>'法人一覧(25)'!C87</f>
        <v>航海訓練所</v>
      </c>
      <c r="D87" s="52">
        <v>5195602000</v>
      </c>
      <c r="E87" s="52">
        <v>450000000</v>
      </c>
      <c r="F87" s="52">
        <v>0</v>
      </c>
      <c r="G87" s="52">
        <v>1059396</v>
      </c>
      <c r="H87" s="52">
        <f t="shared" si="4"/>
        <v>377026999</v>
      </c>
      <c r="I87" s="52">
        <v>0</v>
      </c>
      <c r="J87" s="52">
        <v>0</v>
      </c>
      <c r="K87" s="52">
        <v>0</v>
      </c>
      <c r="L87" s="52">
        <v>0</v>
      </c>
      <c r="M87" s="52">
        <v>6023688395</v>
      </c>
    </row>
    <row r="88" spans="1:13">
      <c r="A88" s="26">
        <f>'法人一覧(25)'!A88</f>
        <v>85</v>
      </c>
      <c r="B88" s="38" t="str">
        <f>'法人一覧(25)'!B88</f>
        <v>国土交通省</v>
      </c>
      <c r="C88" s="38" t="str">
        <f>'法人一覧(25)'!C88</f>
        <v>海技教育機構</v>
      </c>
      <c r="D88" s="52">
        <v>2200198000</v>
      </c>
      <c r="E88" s="52">
        <v>0</v>
      </c>
      <c r="F88" s="52">
        <v>0</v>
      </c>
      <c r="G88" s="52">
        <v>27091800</v>
      </c>
      <c r="H88" s="52">
        <f t="shared" si="4"/>
        <v>231857766</v>
      </c>
      <c r="I88" s="52">
        <v>0</v>
      </c>
      <c r="J88" s="52">
        <v>0</v>
      </c>
      <c r="K88" s="52">
        <v>0</v>
      </c>
      <c r="L88" s="52">
        <v>0</v>
      </c>
      <c r="M88" s="52">
        <v>2459147566</v>
      </c>
    </row>
    <row r="89" spans="1:13">
      <c r="A89" s="26">
        <f>'法人一覧(25)'!A89</f>
        <v>86</v>
      </c>
      <c r="B89" s="38" t="str">
        <f>'法人一覧(25)'!B89</f>
        <v>国土交通省</v>
      </c>
      <c r="C89" s="38" t="str">
        <f>'法人一覧(25)'!C89</f>
        <v>航空大学校</v>
      </c>
      <c r="D89" s="29">
        <v>1985009000</v>
      </c>
      <c r="E89" s="29">
        <v>77768250</v>
      </c>
      <c r="F89" s="29">
        <v>0</v>
      </c>
      <c r="G89" s="29">
        <v>0</v>
      </c>
      <c r="H89" s="29">
        <f t="shared" si="4"/>
        <v>851170395</v>
      </c>
      <c r="I89" s="29">
        <v>0</v>
      </c>
      <c r="J89" s="29">
        <v>0</v>
      </c>
      <c r="K89" s="29">
        <v>0</v>
      </c>
      <c r="L89" s="29">
        <v>0</v>
      </c>
      <c r="M89" s="29">
        <v>2913947645</v>
      </c>
    </row>
    <row r="90" spans="1:13">
      <c r="A90" s="26">
        <f>'法人一覧(25)'!A90</f>
        <v>87</v>
      </c>
      <c r="B90" s="38" t="str">
        <f>'法人一覧(25)'!B90</f>
        <v>国土交通省</v>
      </c>
      <c r="C90" s="38" t="str">
        <f>'法人一覧(25)'!C90</f>
        <v>自動車検査</v>
      </c>
      <c r="D90" s="52">
        <v>830446000</v>
      </c>
      <c r="E90" s="52">
        <v>2241865813</v>
      </c>
      <c r="F90" s="52">
        <v>0</v>
      </c>
      <c r="G90" s="52">
        <v>0</v>
      </c>
      <c r="H90" s="52">
        <f t="shared" si="4"/>
        <v>9127131743</v>
      </c>
      <c r="I90" s="52">
        <v>0</v>
      </c>
      <c r="J90" s="52">
        <v>0</v>
      </c>
      <c r="K90" s="52">
        <v>0</v>
      </c>
      <c r="L90" s="52">
        <v>0</v>
      </c>
      <c r="M90" s="52">
        <v>12199443556</v>
      </c>
    </row>
    <row r="91" spans="1:13">
      <c r="A91" s="26">
        <f>'法人一覧(25)'!A91</f>
        <v>88</v>
      </c>
      <c r="B91" s="38" t="str">
        <f>'法人一覧(25)'!B91</f>
        <v>国土交通省</v>
      </c>
      <c r="C91" s="38" t="str">
        <f>'法人一覧(25)'!C91</f>
        <v>鉄道建設・運輸施設整備支援機構</v>
      </c>
      <c r="D91" s="52">
        <v>224925000</v>
      </c>
      <c r="E91" s="69" t="s">
        <v>311</v>
      </c>
      <c r="F91" s="52">
        <f>90369168517+5250184683+202000000</f>
        <v>95821353200</v>
      </c>
      <c r="G91" s="52">
        <v>29892636746</v>
      </c>
      <c r="H91" s="52">
        <f t="shared" si="4"/>
        <v>837078563270</v>
      </c>
      <c r="I91" s="52">
        <f>56100000000+202961000000+190500000000</f>
        <v>449561000000</v>
      </c>
      <c r="J91" s="52">
        <v>0</v>
      </c>
      <c r="K91" s="69" t="s">
        <v>311</v>
      </c>
      <c r="L91" s="69" t="s">
        <v>311</v>
      </c>
      <c r="M91" s="52">
        <v>1412578478216</v>
      </c>
    </row>
    <row r="92" spans="1:13">
      <c r="A92" s="26">
        <f>'法人一覧(25)'!A92</f>
        <v>89</v>
      </c>
      <c r="B92" s="38" t="str">
        <f>'法人一覧(25)'!B92</f>
        <v>国土交通省</v>
      </c>
      <c r="C92" s="38" t="str">
        <f>'法人一覧(25)'!C92</f>
        <v>国際観光振興機構</v>
      </c>
      <c r="D92" s="52">
        <v>1837307000</v>
      </c>
      <c r="E92" s="52">
        <v>0</v>
      </c>
      <c r="F92" s="52">
        <v>0</v>
      </c>
      <c r="G92" s="52">
        <v>0</v>
      </c>
      <c r="H92" s="52">
        <f t="shared" si="4"/>
        <v>493648124</v>
      </c>
      <c r="I92" s="52">
        <v>0</v>
      </c>
      <c r="J92" s="52">
        <v>0</v>
      </c>
      <c r="K92" s="52">
        <v>0</v>
      </c>
      <c r="L92" s="52">
        <v>0</v>
      </c>
      <c r="M92" s="52">
        <f>SUM(2296959437,33995687)</f>
        <v>2330955124</v>
      </c>
    </row>
    <row r="93" spans="1:13">
      <c r="A93" s="26">
        <f>'法人一覧(25)'!A93</f>
        <v>90</v>
      </c>
      <c r="B93" s="38" t="str">
        <f>'法人一覧(25)'!B93</f>
        <v>国土交通省</v>
      </c>
      <c r="C93" s="38" t="str">
        <f>'法人一覧(25)'!C93</f>
        <v>水資源機構</v>
      </c>
      <c r="D93" s="69" t="s">
        <v>311</v>
      </c>
      <c r="E93" s="69" t="s">
        <v>311</v>
      </c>
      <c r="F93" s="52">
        <f>20951995431+11179373000</f>
        <v>32131368431</v>
      </c>
      <c r="G93" s="52">
        <v>751789946</v>
      </c>
      <c r="H93" s="52">
        <f t="shared" si="4"/>
        <v>109027868431</v>
      </c>
      <c r="I93" s="52">
        <f>7400000000+5700000000</f>
        <v>13100000000</v>
      </c>
      <c r="J93" s="52">
        <v>0</v>
      </c>
      <c r="K93" s="52">
        <v>0</v>
      </c>
      <c r="L93" s="52">
        <v>0</v>
      </c>
      <c r="M93" s="52">
        <v>155011026808</v>
      </c>
    </row>
    <row r="94" spans="1:13">
      <c r="A94" s="26">
        <f>'法人一覧(25)'!A94</f>
        <v>91</v>
      </c>
      <c r="B94" s="38" t="str">
        <f>'法人一覧(25)'!B94</f>
        <v>国土交通省</v>
      </c>
      <c r="C94" s="38" t="str">
        <f>'法人一覧(25)'!C94</f>
        <v>自動車事故対策機構</v>
      </c>
      <c r="D94" s="52">
        <v>6772218000</v>
      </c>
      <c r="E94" s="52">
        <v>391255798</v>
      </c>
      <c r="F94" s="52">
        <v>3187060000</v>
      </c>
      <c r="G94" s="52">
        <v>0</v>
      </c>
      <c r="H94" s="52">
        <f t="shared" si="4"/>
        <v>3095568659</v>
      </c>
      <c r="I94" s="52">
        <v>0</v>
      </c>
      <c r="J94" s="52">
        <v>0</v>
      </c>
      <c r="K94" s="52">
        <v>0</v>
      </c>
      <c r="L94" s="52">
        <v>0</v>
      </c>
      <c r="M94" s="52">
        <v>13446102457</v>
      </c>
    </row>
    <row r="95" spans="1:13">
      <c r="A95" s="26">
        <f>'法人一覧(25)'!A95</f>
        <v>92</v>
      </c>
      <c r="B95" s="38" t="str">
        <f>'法人一覧(25)'!B95</f>
        <v>国土交通省</v>
      </c>
      <c r="C95" s="38" t="str">
        <f>'法人一覧(25)'!C95</f>
        <v>空港周辺整備機構</v>
      </c>
      <c r="D95" s="69" t="s">
        <v>311</v>
      </c>
      <c r="E95" s="69" t="s">
        <v>237</v>
      </c>
      <c r="F95" s="52">
        <v>130521476</v>
      </c>
      <c r="G95" s="52">
        <v>1589552854</v>
      </c>
      <c r="H95" s="52">
        <f t="shared" si="4"/>
        <v>631316101</v>
      </c>
      <c r="I95" s="69" t="s">
        <v>311</v>
      </c>
      <c r="J95" s="69" t="s">
        <v>311</v>
      </c>
      <c r="K95" s="69" t="s">
        <v>311</v>
      </c>
      <c r="L95" s="69" t="s">
        <v>311</v>
      </c>
      <c r="M95" s="52">
        <v>2351390431</v>
      </c>
    </row>
    <row r="96" spans="1:13">
      <c r="A96" s="26">
        <f>'法人一覧(25)'!A96</f>
        <v>93</v>
      </c>
      <c r="B96" s="38" t="str">
        <f>'法人一覧(25)'!B96</f>
        <v>国土交通省</v>
      </c>
      <c r="C96" s="38" t="str">
        <f>'法人一覧(25)'!C96</f>
        <v>海上災害防止センター</v>
      </c>
      <c r="D96" s="52">
        <v>0</v>
      </c>
      <c r="E96" s="52">
        <v>0</v>
      </c>
      <c r="F96" s="52">
        <v>0</v>
      </c>
      <c r="G96" s="52">
        <v>708120394</v>
      </c>
      <c r="H96" s="52">
        <v>35118495</v>
      </c>
      <c r="I96" s="52">
        <v>0</v>
      </c>
      <c r="J96" s="52">
        <v>0</v>
      </c>
      <c r="K96" s="52">
        <v>0</v>
      </c>
      <c r="L96" s="52">
        <v>0</v>
      </c>
      <c r="M96" s="52">
        <v>743238889</v>
      </c>
    </row>
    <row r="97" spans="1:13">
      <c r="A97" s="26">
        <f>'法人一覧(25)'!A97</f>
        <v>94</v>
      </c>
      <c r="B97" s="38" t="str">
        <f>'法人一覧(25)'!B97</f>
        <v>国土交通省</v>
      </c>
      <c r="C97" s="38" t="str">
        <f>'法人一覧(25)'!C97</f>
        <v>都市再生機構</v>
      </c>
      <c r="D97" s="52">
        <v>0</v>
      </c>
      <c r="E97" s="52">
        <v>0</v>
      </c>
      <c r="F97" s="52">
        <v>41455770000</v>
      </c>
      <c r="G97" s="52">
        <v>61419082816</v>
      </c>
      <c r="H97" s="52">
        <f t="shared" si="4"/>
        <v>1119157929489</v>
      </c>
      <c r="I97" s="52">
        <v>672332000000</v>
      </c>
      <c r="J97" s="52">
        <v>0</v>
      </c>
      <c r="K97" s="52">
        <v>0</v>
      </c>
      <c r="L97" s="52">
        <v>0</v>
      </c>
      <c r="M97" s="52">
        <v>1894364782305</v>
      </c>
    </row>
    <row r="98" spans="1:13">
      <c r="A98" s="26">
        <f>'法人一覧(25)'!A98</f>
        <v>95</v>
      </c>
      <c r="B98" s="38" t="str">
        <f>'法人一覧(25)'!B98</f>
        <v>国土交通省</v>
      </c>
      <c r="C98" s="38" t="str">
        <f>'法人一覧(25)'!C98</f>
        <v>奄美群島振興開発基金</v>
      </c>
      <c r="D98" s="29">
        <v>0</v>
      </c>
      <c r="E98" s="29">
        <v>0</v>
      </c>
      <c r="F98" s="29">
        <v>0</v>
      </c>
      <c r="G98" s="29">
        <v>0</v>
      </c>
      <c r="H98" s="29">
        <f t="shared" si="4"/>
        <v>1973333779</v>
      </c>
      <c r="I98" s="29">
        <v>0</v>
      </c>
      <c r="J98" s="29">
        <v>334000000</v>
      </c>
      <c r="K98" s="29">
        <v>0</v>
      </c>
      <c r="L98" s="29">
        <v>0</v>
      </c>
      <c r="M98" s="29">
        <v>2307333779</v>
      </c>
    </row>
    <row r="99" spans="1:13">
      <c r="A99" s="26">
        <f>'法人一覧(25)'!A99</f>
        <v>96</v>
      </c>
      <c r="B99" s="38" t="str">
        <f>'法人一覧(25)'!B99</f>
        <v>国土交通省</v>
      </c>
      <c r="C99" s="38" t="str">
        <f>'法人一覧(25)'!C99</f>
        <v>日本高速道路保有・債務返済機構</v>
      </c>
      <c r="D99" s="69" t="s">
        <v>311</v>
      </c>
      <c r="E99" s="69" t="s">
        <v>311</v>
      </c>
      <c r="F99" s="52">
        <v>62025095000</v>
      </c>
      <c r="G99" s="69" t="s">
        <v>311</v>
      </c>
      <c r="H99" s="52">
        <f t="shared" si="4"/>
        <v>1762606693258</v>
      </c>
      <c r="I99" s="52">
        <v>2956000000000</v>
      </c>
      <c r="J99" s="52">
        <v>115351986000</v>
      </c>
      <c r="K99" s="52">
        <v>0</v>
      </c>
      <c r="L99" s="52">
        <v>0</v>
      </c>
      <c r="M99" s="52">
        <v>4895983774258</v>
      </c>
    </row>
    <row r="100" spans="1:13">
      <c r="A100" s="26">
        <f>'法人一覧(25)'!A100</f>
        <v>97</v>
      </c>
      <c r="B100" s="38" t="str">
        <f>'法人一覧(25)'!B100</f>
        <v>国土交通省</v>
      </c>
      <c r="C100" s="38" t="str">
        <f>'法人一覧(25)'!C100</f>
        <v>住宅金融支援機構</v>
      </c>
      <c r="D100" s="29">
        <v>0</v>
      </c>
      <c r="E100" s="29">
        <v>0</v>
      </c>
      <c r="F100" s="29">
        <v>14588000000</v>
      </c>
      <c r="G100" s="29">
        <v>0</v>
      </c>
      <c r="H100" s="29">
        <f t="shared" si="4"/>
        <v>4855468210039</v>
      </c>
      <c r="I100" s="29">
        <f>67500000000+90800000000+1769755000000+54309300000+19702500000</f>
        <v>2002066800000</v>
      </c>
      <c r="J100" s="29">
        <v>34511000000</v>
      </c>
      <c r="K100" s="29">
        <v>0</v>
      </c>
      <c r="L100" s="29">
        <v>0</v>
      </c>
      <c r="M100" s="29">
        <v>6906634010039</v>
      </c>
    </row>
    <row r="101" spans="1:13">
      <c r="A101" s="26">
        <f>'法人一覧(25)'!A101</f>
        <v>98</v>
      </c>
      <c r="B101" s="38" t="str">
        <f>'法人一覧(25)'!B101</f>
        <v>環境省</v>
      </c>
      <c r="C101" s="38" t="str">
        <f>'法人一覧(25)'!C101</f>
        <v>国立環境研究所</v>
      </c>
      <c r="D101" s="29">
        <v>11687752000</v>
      </c>
      <c r="E101" s="29">
        <v>184267044</v>
      </c>
      <c r="F101" s="29">
        <v>0</v>
      </c>
      <c r="G101" s="29">
        <v>0</v>
      </c>
      <c r="H101" s="29">
        <f t="shared" si="4"/>
        <v>3604717236</v>
      </c>
      <c r="I101" s="29">
        <v>0</v>
      </c>
      <c r="J101" s="29">
        <v>0</v>
      </c>
      <c r="K101" s="29">
        <v>0</v>
      </c>
      <c r="L101" s="29">
        <v>0</v>
      </c>
      <c r="M101" s="29">
        <v>15476736280</v>
      </c>
    </row>
    <row r="102" spans="1:13">
      <c r="A102" s="26">
        <f>'法人一覧(25)'!A102</f>
        <v>99</v>
      </c>
      <c r="B102" s="38" t="str">
        <f>'法人一覧(25)'!B102</f>
        <v>環境省</v>
      </c>
      <c r="C102" s="38" t="str">
        <f>'法人一覧(25)'!C102</f>
        <v>環境再生保全機構</v>
      </c>
      <c r="D102" s="29">
        <v>1504804000</v>
      </c>
      <c r="E102" s="29">
        <v>0</v>
      </c>
      <c r="F102" s="29">
        <f>1742138000+17647712625+1395750000</f>
        <v>20785600625</v>
      </c>
      <c r="G102" s="29">
        <v>2702544</v>
      </c>
      <c r="H102" s="29">
        <f>M102-SUM(D102:G102,I102:L102)</f>
        <v>52244140516</v>
      </c>
      <c r="I102" s="29">
        <v>0</v>
      </c>
      <c r="J102" s="29">
        <v>0</v>
      </c>
      <c r="K102" s="29">
        <v>0</v>
      </c>
      <c r="L102" s="29">
        <v>0</v>
      </c>
      <c r="M102" s="29">
        <v>74537247685</v>
      </c>
    </row>
    <row r="103" spans="1:13">
      <c r="A103" s="26">
        <f>'法人一覧(25)'!A103</f>
        <v>100</v>
      </c>
      <c r="B103" s="38" t="str">
        <f>'法人一覧(25)'!B103</f>
        <v>原子力規制委員会</v>
      </c>
      <c r="C103" s="38" t="str">
        <f>'法人一覧(25)'!C103</f>
        <v>原子力安全基盤機構</v>
      </c>
      <c r="D103" s="29">
        <v>8781123000</v>
      </c>
      <c r="E103" s="29">
        <v>0</v>
      </c>
      <c r="F103" s="29">
        <v>0</v>
      </c>
      <c r="G103" s="29">
        <v>0</v>
      </c>
      <c r="H103" s="29">
        <f t="shared" ref="H103" si="5">M103-SUM(D103:G103,I103:L103)</f>
        <v>247013775</v>
      </c>
      <c r="I103" s="29">
        <v>0</v>
      </c>
      <c r="J103" s="29">
        <v>0</v>
      </c>
      <c r="K103" s="29">
        <v>0</v>
      </c>
      <c r="L103" s="29">
        <v>0</v>
      </c>
      <c r="M103" s="29">
        <v>9028136775</v>
      </c>
    </row>
    <row r="104" spans="1:13" ht="13.8" thickBot="1">
      <c r="A104" s="116">
        <f>'法人一覧(25)'!A104</f>
        <v>101</v>
      </c>
      <c r="B104" s="117" t="str">
        <f>'法人一覧(25)'!B104</f>
        <v>防衛省</v>
      </c>
      <c r="C104" s="117" t="str">
        <f>'法人一覧(25)'!C104</f>
        <v>駐留軍等労働者労務管理機構</v>
      </c>
      <c r="D104" s="118">
        <v>3140860000</v>
      </c>
      <c r="E104" s="118">
        <v>0</v>
      </c>
      <c r="F104" s="118">
        <v>0</v>
      </c>
      <c r="G104" s="118">
        <v>0</v>
      </c>
      <c r="H104" s="118">
        <f t="shared" si="4"/>
        <v>1077327</v>
      </c>
      <c r="I104" s="118">
        <v>0</v>
      </c>
      <c r="J104" s="118">
        <v>0</v>
      </c>
      <c r="K104" s="118">
        <v>0</v>
      </c>
      <c r="L104" s="118">
        <v>0</v>
      </c>
      <c r="M104" s="118">
        <v>3141937327</v>
      </c>
    </row>
    <row r="105" spans="1:13" s="37" customFormat="1" ht="20.399999999999999" customHeight="1" thickTop="1">
      <c r="A105" s="167" t="s">
        <v>583</v>
      </c>
      <c r="B105" s="187"/>
      <c r="C105" s="170"/>
      <c r="D105" s="115">
        <f t="shared" ref="D105:L105" si="6">SUM(D4:D104)</f>
        <v>1463228290125</v>
      </c>
      <c r="E105" s="115">
        <f t="shared" si="6"/>
        <v>220018036430</v>
      </c>
      <c r="F105" s="115">
        <f t="shared" si="6"/>
        <v>1269216549893</v>
      </c>
      <c r="G105" s="115">
        <f t="shared" si="6"/>
        <v>337827415324</v>
      </c>
      <c r="H105" s="115">
        <f t="shared" si="6"/>
        <v>72895981649475</v>
      </c>
      <c r="I105" s="115">
        <f t="shared" si="6"/>
        <v>8646767010900</v>
      </c>
      <c r="J105" s="115">
        <f t="shared" si="6"/>
        <v>262042193476</v>
      </c>
      <c r="K105" s="115">
        <f t="shared" si="6"/>
        <v>175702595420</v>
      </c>
      <c r="L105" s="115">
        <f t="shared" si="6"/>
        <v>706621822</v>
      </c>
      <c r="M105" s="115">
        <f>SUM(M4:M104)</f>
        <v>85271490362865</v>
      </c>
    </row>
    <row r="107" spans="1:13" ht="13.2" customHeight="1">
      <c r="B107" s="45" t="s">
        <v>589</v>
      </c>
      <c r="C107" s="44"/>
      <c r="D107" s="44"/>
      <c r="E107" s="44"/>
      <c r="F107" s="44"/>
      <c r="G107" s="44"/>
      <c r="H107" s="44"/>
      <c r="I107" s="44"/>
      <c r="J107" s="44"/>
    </row>
    <row r="108" spans="1:13">
      <c r="B108" s="45" t="s">
        <v>666</v>
      </c>
      <c r="C108" s="44"/>
      <c r="D108" s="44"/>
      <c r="E108" s="44"/>
      <c r="F108" s="44"/>
      <c r="G108" s="44"/>
      <c r="H108" s="44"/>
      <c r="I108" s="44"/>
      <c r="J108" s="44"/>
    </row>
  </sheetData>
  <mergeCells count="6">
    <mergeCell ref="A105:C105"/>
    <mergeCell ref="A2:A3"/>
    <mergeCell ref="D2:L2"/>
    <mergeCell ref="M2:M3"/>
    <mergeCell ref="B2:B3"/>
    <mergeCell ref="C2:C3"/>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zoomScale="80" zoomScaleNormal="80" workbookViewId="0">
      <pane xSplit="3" ySplit="3" topLeftCell="F82" activePane="bottomRight" state="frozen"/>
      <selection activeCell="B2" sqref="B2:B3"/>
      <selection pane="topRight" activeCell="B2" sqref="B2:B3"/>
      <selection pane="bottomLeft" activeCell="B2" sqref="B2:B3"/>
      <selection pane="bottomRight" activeCell="I104" sqref="I104"/>
    </sheetView>
  </sheetViews>
  <sheetFormatPr defaultColWidth="8.88671875" defaultRowHeight="13.2"/>
  <cols>
    <col min="1" max="1" width="4.33203125" style="37" customWidth="1"/>
    <col min="2" max="2" width="15.44140625" style="1" customWidth="1"/>
    <col min="3" max="3" width="45" style="1" bestFit="1" customWidth="1"/>
    <col min="4" max="4" width="15.44140625" style="1" customWidth="1"/>
    <col min="5" max="5" width="17.88671875" style="1" bestFit="1" customWidth="1"/>
    <col min="6" max="6" width="20.44140625" style="1" bestFit="1" customWidth="1"/>
    <col min="7" max="7" width="15.44140625" style="1" customWidth="1"/>
    <col min="8" max="8" width="20.44140625" style="1" bestFit="1" customWidth="1"/>
    <col min="9" max="13" width="15.44140625" style="1" customWidth="1"/>
    <col min="14" max="16384" width="8.88671875" style="1"/>
  </cols>
  <sheetData>
    <row r="1" spans="1:13" ht="19.95" customHeight="1">
      <c r="B1" s="144" t="s">
        <v>640</v>
      </c>
      <c r="M1" s="39" t="s">
        <v>204</v>
      </c>
    </row>
    <row r="2" spans="1:13">
      <c r="A2" s="161" t="s">
        <v>195</v>
      </c>
      <c r="B2" s="161" t="s">
        <v>0</v>
      </c>
      <c r="C2" s="161" t="s">
        <v>1</v>
      </c>
      <c r="D2" s="164" t="s">
        <v>241</v>
      </c>
      <c r="E2" s="165"/>
      <c r="F2" s="165"/>
      <c r="G2" s="165"/>
      <c r="H2" s="165"/>
      <c r="I2" s="165"/>
      <c r="J2" s="165"/>
      <c r="K2" s="165"/>
      <c r="L2" s="166"/>
      <c r="M2" s="161" t="s">
        <v>9</v>
      </c>
    </row>
    <row r="3" spans="1:13">
      <c r="A3" s="162"/>
      <c r="B3" s="162"/>
      <c r="C3" s="162"/>
      <c r="D3" s="26" t="s">
        <v>3</v>
      </c>
      <c r="E3" s="26" t="s">
        <v>245</v>
      </c>
      <c r="F3" s="26" t="s">
        <v>246</v>
      </c>
      <c r="G3" s="26" t="s">
        <v>5</v>
      </c>
      <c r="H3" s="26" t="s">
        <v>243</v>
      </c>
      <c r="I3" s="26" t="s">
        <v>206</v>
      </c>
      <c r="J3" s="26" t="s">
        <v>84</v>
      </c>
      <c r="K3" s="23" t="s">
        <v>7</v>
      </c>
      <c r="L3" s="23" t="s">
        <v>8</v>
      </c>
      <c r="M3" s="162"/>
    </row>
    <row r="4" spans="1:13">
      <c r="A4" s="26">
        <f>'法人一覧(26)'!A4</f>
        <v>1</v>
      </c>
      <c r="B4" s="38" t="str">
        <f>'法人一覧(26)'!B4</f>
        <v>内閣府</v>
      </c>
      <c r="C4" s="38" t="str">
        <f>'法人一覧(26)'!C4</f>
        <v>国立公文書館</v>
      </c>
      <c r="D4" s="52">
        <v>1960021000</v>
      </c>
      <c r="E4" s="52">
        <v>34560000</v>
      </c>
      <c r="F4" s="52">
        <v>0</v>
      </c>
      <c r="G4" s="52">
        <v>0</v>
      </c>
      <c r="H4" s="52">
        <f t="shared" ref="H4:H5" si="0">M4-SUM(D4:G4,I4:L4)</f>
        <v>79695750</v>
      </c>
      <c r="I4" s="52">
        <v>0</v>
      </c>
      <c r="J4" s="52">
        <v>0</v>
      </c>
      <c r="K4" s="52">
        <v>0</v>
      </c>
      <c r="L4" s="52">
        <v>0</v>
      </c>
      <c r="M4" s="52">
        <v>2074276750</v>
      </c>
    </row>
    <row r="5" spans="1:13">
      <c r="A5" s="26">
        <f>'法人一覧(26)'!A5</f>
        <v>2</v>
      </c>
      <c r="B5" s="38" t="str">
        <f>'法人一覧(26)'!B5</f>
        <v>内閣府</v>
      </c>
      <c r="C5" s="38" t="str">
        <f>'法人一覧(26)'!C5</f>
        <v>北方領土問題対策協会</v>
      </c>
      <c r="D5" s="52">
        <v>1214535000</v>
      </c>
      <c r="E5" s="52">
        <v>52484411</v>
      </c>
      <c r="F5" s="52">
        <v>109415356</v>
      </c>
      <c r="G5" s="52">
        <v>0</v>
      </c>
      <c r="H5" s="52">
        <f t="shared" si="0"/>
        <v>122835570</v>
      </c>
      <c r="I5" s="52">
        <v>0</v>
      </c>
      <c r="J5" s="52">
        <v>0</v>
      </c>
      <c r="K5" s="52">
        <v>0</v>
      </c>
      <c r="L5" s="52">
        <v>0</v>
      </c>
      <c r="M5" s="52">
        <v>1499270337</v>
      </c>
    </row>
    <row r="6" spans="1:13">
      <c r="A6" s="26">
        <f>'法人一覧(26)'!A6</f>
        <v>3</v>
      </c>
      <c r="B6" s="38" t="str">
        <f>'法人一覧(26)'!B6</f>
        <v>消費者庁</v>
      </c>
      <c r="C6" s="38" t="str">
        <f>'法人一覧(26)'!C6</f>
        <v>国民生活センター</v>
      </c>
      <c r="D6" s="29">
        <v>2716540000</v>
      </c>
      <c r="E6" s="29">
        <v>0</v>
      </c>
      <c r="F6" s="29">
        <v>0</v>
      </c>
      <c r="G6" s="29">
        <v>0</v>
      </c>
      <c r="H6" s="29">
        <f t="shared" ref="H6:H56" si="1">M6-SUM(D6:G6,I6:L6)</f>
        <v>84293185</v>
      </c>
      <c r="I6" s="29">
        <v>0</v>
      </c>
      <c r="J6" s="29">
        <v>0</v>
      </c>
      <c r="K6" s="29">
        <v>84017290</v>
      </c>
      <c r="L6" s="29">
        <v>0</v>
      </c>
      <c r="M6" s="29">
        <v>2884850475</v>
      </c>
    </row>
    <row r="7" spans="1:13">
      <c r="A7" s="26">
        <f>'法人一覧(26)'!A7</f>
        <v>4</v>
      </c>
      <c r="B7" s="38" t="str">
        <f>'法人一覧(26)'!B7</f>
        <v>総務省</v>
      </c>
      <c r="C7" s="38" t="str">
        <f>'法人一覧(26)'!C7</f>
        <v>情報通信研究機構</v>
      </c>
      <c r="D7" s="52">
        <v>28071000000</v>
      </c>
      <c r="E7" s="52">
        <v>43000000</v>
      </c>
      <c r="F7" s="52">
        <v>432000000</v>
      </c>
      <c r="G7" s="52">
        <v>12932000000</v>
      </c>
      <c r="H7" s="52">
        <f t="shared" si="1"/>
        <v>444000000</v>
      </c>
      <c r="I7" s="52">
        <v>0</v>
      </c>
      <c r="J7" s="52">
        <v>0</v>
      </c>
      <c r="K7" s="52">
        <v>0</v>
      </c>
      <c r="L7" s="52">
        <v>0</v>
      </c>
      <c r="M7" s="52">
        <v>41922000000</v>
      </c>
    </row>
    <row r="8" spans="1:13">
      <c r="A8" s="26">
        <f>'法人一覧(26)'!A8</f>
        <v>5</v>
      </c>
      <c r="B8" s="38" t="str">
        <f>'法人一覧(26)'!B8</f>
        <v>総務省</v>
      </c>
      <c r="C8" s="38" t="str">
        <f>'法人一覧(26)'!C8</f>
        <v>統計センター</v>
      </c>
      <c r="D8" s="52">
        <v>8631000000</v>
      </c>
      <c r="E8" s="52">
        <v>0</v>
      </c>
      <c r="F8" s="52">
        <v>0</v>
      </c>
      <c r="G8" s="52">
        <f>22000000+714000000+225000000+20000000</f>
        <v>981000000</v>
      </c>
      <c r="H8" s="52">
        <f t="shared" si="1"/>
        <v>39000000</v>
      </c>
      <c r="I8" s="52">
        <v>0</v>
      </c>
      <c r="J8" s="52">
        <v>0</v>
      </c>
      <c r="K8" s="52">
        <v>0</v>
      </c>
      <c r="L8" s="52">
        <v>0</v>
      </c>
      <c r="M8" s="52">
        <v>9651000000</v>
      </c>
    </row>
    <row r="9" spans="1:13">
      <c r="A9" s="26">
        <f>'法人一覧(26)'!A9</f>
        <v>6</v>
      </c>
      <c r="B9" s="38" t="str">
        <f>'法人一覧(26)'!B9</f>
        <v>総務省</v>
      </c>
      <c r="C9" s="38" t="str">
        <f>'法人一覧(26)'!C9</f>
        <v>郵便貯金・簡易生命保険管理機構</v>
      </c>
      <c r="D9" s="52">
        <v>0</v>
      </c>
      <c r="E9" s="52">
        <v>0</v>
      </c>
      <c r="F9" s="52">
        <v>0</v>
      </c>
      <c r="G9" s="52">
        <v>0</v>
      </c>
      <c r="H9" s="52">
        <f t="shared" si="1"/>
        <v>12954252000000</v>
      </c>
      <c r="I9" s="52">
        <v>0</v>
      </c>
      <c r="J9" s="52">
        <v>0</v>
      </c>
      <c r="K9" s="52">
        <v>0</v>
      </c>
      <c r="L9" s="52">
        <v>0</v>
      </c>
      <c r="M9" s="52">
        <v>12954252000000</v>
      </c>
    </row>
    <row r="10" spans="1:13">
      <c r="A10" s="26">
        <f>'法人一覧(26)'!A10</f>
        <v>7</v>
      </c>
      <c r="B10" s="38" t="str">
        <f>'法人一覧(26)'!B10</f>
        <v>外務省</v>
      </c>
      <c r="C10" s="38" t="str">
        <f>'法人一覧(26)'!C10</f>
        <v>国際協力機構</v>
      </c>
      <c r="D10" s="29">
        <v>159293481000</v>
      </c>
      <c r="E10" s="29">
        <v>2074985241</v>
      </c>
      <c r="F10" s="29">
        <v>106527822879</v>
      </c>
      <c r="G10" s="29">
        <v>943610926</v>
      </c>
      <c r="H10" s="29">
        <f t="shared" si="1"/>
        <v>207286343315</v>
      </c>
      <c r="I10" s="29"/>
      <c r="J10" s="29"/>
      <c r="K10" s="29"/>
      <c r="L10" s="29">
        <v>5560950</v>
      </c>
      <c r="M10" s="29">
        <f>271180874041+204950930270</f>
        <v>476131804311</v>
      </c>
    </row>
    <row r="11" spans="1:13">
      <c r="A11" s="26">
        <f>'法人一覧(26)'!A11</f>
        <v>8</v>
      </c>
      <c r="B11" s="38" t="str">
        <f>'法人一覧(26)'!B11</f>
        <v>外務省</v>
      </c>
      <c r="C11" s="38" t="str">
        <f>'法人一覧(26)'!C11</f>
        <v>国際交流基金</v>
      </c>
      <c r="D11" s="29">
        <v>15476149000</v>
      </c>
      <c r="E11" s="29">
        <v>0</v>
      </c>
      <c r="F11" s="29">
        <v>0</v>
      </c>
      <c r="G11" s="29">
        <v>34586694</v>
      </c>
      <c r="H11" s="29">
        <f t="shared" si="1"/>
        <v>2811352969</v>
      </c>
      <c r="I11" s="29">
        <v>0</v>
      </c>
      <c r="J11" s="29">
        <v>0</v>
      </c>
      <c r="K11" s="29">
        <v>0</v>
      </c>
      <c r="L11" s="29">
        <v>0</v>
      </c>
      <c r="M11" s="29">
        <v>18322088663</v>
      </c>
    </row>
    <row r="12" spans="1:13">
      <c r="A12" s="26">
        <f>'法人一覧(26)'!A12</f>
        <v>9</v>
      </c>
      <c r="B12" s="38" t="str">
        <f>'法人一覧(26)'!B12</f>
        <v>財務省</v>
      </c>
      <c r="C12" s="38" t="str">
        <f>'法人一覧(26)'!C12</f>
        <v>酒類総合研究所</v>
      </c>
      <c r="D12" s="29">
        <v>956474000</v>
      </c>
      <c r="E12" s="29">
        <v>0</v>
      </c>
      <c r="F12" s="29">
        <v>0</v>
      </c>
      <c r="G12" s="29">
        <v>17317793</v>
      </c>
      <c r="H12" s="29">
        <f t="shared" si="1"/>
        <v>57102896</v>
      </c>
      <c r="I12" s="29">
        <v>0</v>
      </c>
      <c r="J12" s="29">
        <v>0</v>
      </c>
      <c r="K12" s="29">
        <v>0</v>
      </c>
      <c r="L12" s="29">
        <v>0</v>
      </c>
      <c r="M12" s="29">
        <v>1030894689</v>
      </c>
    </row>
    <row r="13" spans="1:13">
      <c r="A13" s="26">
        <f>'法人一覧(26)'!A13</f>
        <v>10</v>
      </c>
      <c r="B13" s="38" t="str">
        <f>'法人一覧(26)'!B13</f>
        <v>財務省</v>
      </c>
      <c r="C13" s="38" t="str">
        <f>'法人一覧(26)'!C13</f>
        <v>造幣局</v>
      </c>
      <c r="D13" s="29">
        <v>0</v>
      </c>
      <c r="E13" s="29">
        <v>0</v>
      </c>
      <c r="F13" s="29">
        <v>0</v>
      </c>
      <c r="G13" s="29">
        <v>0</v>
      </c>
      <c r="H13" s="29">
        <f t="shared" si="1"/>
        <v>27076000000</v>
      </c>
      <c r="I13" s="29">
        <v>0</v>
      </c>
      <c r="J13" s="29">
        <v>0</v>
      </c>
      <c r="K13" s="29">
        <v>0</v>
      </c>
      <c r="L13" s="29">
        <v>0</v>
      </c>
      <c r="M13" s="29">
        <v>27076000000</v>
      </c>
    </row>
    <row r="14" spans="1:13">
      <c r="A14" s="26">
        <f>'法人一覧(26)'!A14</f>
        <v>11</v>
      </c>
      <c r="B14" s="38" t="str">
        <f>'法人一覧(26)'!B14</f>
        <v>財務省</v>
      </c>
      <c r="C14" s="38" t="str">
        <f>'法人一覧(26)'!C14</f>
        <v>国立印刷局</v>
      </c>
      <c r="D14" s="29">
        <v>0</v>
      </c>
      <c r="E14" s="29">
        <v>0</v>
      </c>
      <c r="F14" s="29">
        <v>0</v>
      </c>
      <c r="G14" s="29">
        <v>0</v>
      </c>
      <c r="H14" s="29">
        <f t="shared" si="1"/>
        <v>73120709177</v>
      </c>
      <c r="I14" s="29">
        <v>0</v>
      </c>
      <c r="J14" s="29">
        <v>0</v>
      </c>
      <c r="K14" s="29">
        <v>0</v>
      </c>
      <c r="L14" s="29">
        <v>0</v>
      </c>
      <c r="M14" s="29">
        <v>73120709177</v>
      </c>
    </row>
    <row r="15" spans="1:13">
      <c r="A15" s="26">
        <f>'法人一覧(26)'!A15</f>
        <v>12</v>
      </c>
      <c r="B15" s="38" t="str">
        <f>'法人一覧(26)'!B15</f>
        <v>文部科学省</v>
      </c>
      <c r="C15" s="38" t="str">
        <f>'法人一覧(26)'!C15</f>
        <v>国立特別支援教育総合研究所</v>
      </c>
      <c r="D15" s="52">
        <f>980880000+26584974</f>
        <v>1007464974</v>
      </c>
      <c r="E15" s="52">
        <v>0</v>
      </c>
      <c r="F15" s="52">
        <v>7187722</v>
      </c>
      <c r="G15" s="52">
        <v>0</v>
      </c>
      <c r="H15" s="52">
        <f t="shared" si="1"/>
        <v>13503237</v>
      </c>
      <c r="I15" s="52">
        <v>0</v>
      </c>
      <c r="J15" s="52">
        <v>0</v>
      </c>
      <c r="K15" s="52">
        <v>0</v>
      </c>
      <c r="L15" s="52">
        <v>0</v>
      </c>
      <c r="M15" s="52">
        <v>1028155933</v>
      </c>
    </row>
    <row r="16" spans="1:13">
      <c r="A16" s="26">
        <f>'法人一覧(26)'!A16</f>
        <v>13</v>
      </c>
      <c r="B16" s="38" t="str">
        <f>'法人一覧(26)'!B16</f>
        <v>文部科学省</v>
      </c>
      <c r="C16" s="38" t="str">
        <f>'法人一覧(26)'!C16</f>
        <v>大学入試センター</v>
      </c>
      <c r="D16" s="52">
        <v>0</v>
      </c>
      <c r="E16" s="52">
        <v>0</v>
      </c>
      <c r="F16" s="52">
        <v>0</v>
      </c>
      <c r="G16" s="52">
        <v>0</v>
      </c>
      <c r="H16" s="52">
        <f t="shared" si="1"/>
        <v>11157474649</v>
      </c>
      <c r="I16" s="52">
        <v>0</v>
      </c>
      <c r="J16" s="52">
        <v>0</v>
      </c>
      <c r="K16" s="52">
        <v>0</v>
      </c>
      <c r="L16" s="52">
        <v>0</v>
      </c>
      <c r="M16" s="52">
        <v>11157474649</v>
      </c>
    </row>
    <row r="17" spans="1:13">
      <c r="A17" s="26">
        <f>'法人一覧(26)'!A17</f>
        <v>14</v>
      </c>
      <c r="B17" s="38" t="str">
        <f>'法人一覧(26)'!B17</f>
        <v>文部科学省</v>
      </c>
      <c r="C17" s="38" t="str">
        <f>'法人一覧(26)'!C17</f>
        <v>国立青少年教育振興機構</v>
      </c>
      <c r="D17" s="52">
        <v>9161638000</v>
      </c>
      <c r="E17" s="52">
        <v>325253000</v>
      </c>
      <c r="F17" s="52">
        <v>0</v>
      </c>
      <c r="G17" s="52">
        <v>89709372</v>
      </c>
      <c r="H17" s="52">
        <f t="shared" si="1"/>
        <v>2055327525</v>
      </c>
      <c r="I17" s="52">
        <v>0</v>
      </c>
      <c r="J17" s="52">
        <v>807694769</v>
      </c>
      <c r="K17" s="52">
        <v>1143681544</v>
      </c>
      <c r="L17" s="52">
        <v>0</v>
      </c>
      <c r="M17" s="52">
        <v>13583304210</v>
      </c>
    </row>
    <row r="18" spans="1:13">
      <c r="A18" s="26">
        <f>'法人一覧(26)'!A18</f>
        <v>15</v>
      </c>
      <c r="B18" s="38" t="str">
        <f>'法人一覧(26)'!B18</f>
        <v>文部科学省</v>
      </c>
      <c r="C18" s="38" t="str">
        <f>'法人一覧(26)'!C18</f>
        <v>国立女性教育会館</v>
      </c>
      <c r="D18" s="52">
        <v>521641000</v>
      </c>
      <c r="E18" s="52">
        <v>0</v>
      </c>
      <c r="F18" s="52">
        <v>0</v>
      </c>
      <c r="G18" s="52">
        <v>4925161</v>
      </c>
      <c r="H18" s="52">
        <f t="shared" si="1"/>
        <v>109730770</v>
      </c>
      <c r="I18" s="52">
        <v>0</v>
      </c>
      <c r="J18" s="52">
        <v>0</v>
      </c>
      <c r="K18" s="52">
        <v>0</v>
      </c>
      <c r="L18" s="52">
        <v>0</v>
      </c>
      <c r="M18" s="52">
        <v>636296931</v>
      </c>
    </row>
    <row r="19" spans="1:13">
      <c r="A19" s="26">
        <f>'法人一覧(26)'!A19</f>
        <v>16</v>
      </c>
      <c r="B19" s="38" t="str">
        <f>'法人一覧(26)'!B19</f>
        <v>文部科学省</v>
      </c>
      <c r="C19" s="38" t="str">
        <f>'法人一覧(26)'!C19</f>
        <v>国立科学博物館</v>
      </c>
      <c r="D19" s="52">
        <v>2783174000</v>
      </c>
      <c r="E19" s="52">
        <v>2076617580</v>
      </c>
      <c r="F19" s="52">
        <v>25220000</v>
      </c>
      <c r="G19" s="52">
        <v>0</v>
      </c>
      <c r="H19" s="52">
        <f t="shared" si="1"/>
        <v>710550726</v>
      </c>
      <c r="I19" s="52">
        <v>0</v>
      </c>
      <c r="J19" s="52">
        <v>0</v>
      </c>
      <c r="K19" s="52">
        <v>0</v>
      </c>
      <c r="L19" s="52">
        <v>0</v>
      </c>
      <c r="M19" s="52">
        <v>5595562306</v>
      </c>
    </row>
    <row r="20" spans="1:13">
      <c r="A20" s="26">
        <f>'法人一覧(26)'!A20</f>
        <v>17</v>
      </c>
      <c r="B20" s="38" t="str">
        <f>'法人一覧(26)'!B20</f>
        <v>文部科学省</v>
      </c>
      <c r="C20" s="38" t="str">
        <f>'法人一覧(26)'!C20</f>
        <v>物質・材料研究機構</v>
      </c>
      <c r="D20" s="52">
        <v>12329000000</v>
      </c>
      <c r="E20" s="52">
        <f>4084000000</f>
        <v>4084000000</v>
      </c>
      <c r="F20" s="52">
        <f>1361000000+70000000</f>
        <v>1431000000</v>
      </c>
      <c r="G20" s="52">
        <v>4939000000</v>
      </c>
      <c r="H20" s="52">
        <f t="shared" si="1"/>
        <v>1014000000</v>
      </c>
      <c r="I20" s="52">
        <v>0</v>
      </c>
      <c r="J20" s="52">
        <v>0</v>
      </c>
      <c r="K20" s="52">
        <v>0</v>
      </c>
      <c r="L20" s="52">
        <v>0</v>
      </c>
      <c r="M20" s="52">
        <v>23797000000</v>
      </c>
    </row>
    <row r="21" spans="1:13">
      <c r="A21" s="26">
        <f>'法人一覧(26)'!A21</f>
        <v>18</v>
      </c>
      <c r="B21" s="38" t="str">
        <f>'法人一覧(26)'!B21</f>
        <v>文部科学省</v>
      </c>
      <c r="C21" s="38" t="str">
        <f>'法人一覧(26)'!C21</f>
        <v>防災科学技術研究所</v>
      </c>
      <c r="D21" s="52">
        <v>7020000000</v>
      </c>
      <c r="E21" s="52">
        <v>6603000000</v>
      </c>
      <c r="F21" s="52">
        <f>59000000+4177000000</f>
        <v>4236000000</v>
      </c>
      <c r="G21" s="52">
        <v>1295000000</v>
      </c>
      <c r="H21" s="52">
        <f t="shared" si="1"/>
        <v>196000000</v>
      </c>
      <c r="I21" s="52">
        <v>0</v>
      </c>
      <c r="J21" s="52">
        <v>0</v>
      </c>
      <c r="K21" s="52">
        <v>0</v>
      </c>
      <c r="L21" s="52">
        <v>0</v>
      </c>
      <c r="M21" s="52">
        <v>19350000000</v>
      </c>
    </row>
    <row r="22" spans="1:13">
      <c r="A22" s="26">
        <f>'法人一覧(26)'!A22</f>
        <v>19</v>
      </c>
      <c r="B22" s="38" t="str">
        <f>'法人一覧(26)'!B22</f>
        <v>文部科学省</v>
      </c>
      <c r="C22" s="38" t="str">
        <f>'法人一覧(26)'!C22</f>
        <v>放射線医学総合研究所</v>
      </c>
      <c r="D22" s="52">
        <v>9793335000</v>
      </c>
      <c r="E22" s="52">
        <v>1954568000</v>
      </c>
      <c r="F22" s="52">
        <v>117875180</v>
      </c>
      <c r="G22" s="52">
        <v>847252005</v>
      </c>
      <c r="H22" s="52">
        <f t="shared" si="1"/>
        <v>3287058397</v>
      </c>
      <c r="I22" s="52">
        <v>0</v>
      </c>
      <c r="J22" s="52">
        <v>0</v>
      </c>
      <c r="K22" s="52">
        <v>0</v>
      </c>
      <c r="L22" s="52">
        <v>0</v>
      </c>
      <c r="M22" s="52">
        <v>16000088582</v>
      </c>
    </row>
    <row r="23" spans="1:13">
      <c r="A23" s="26">
        <f>'法人一覧(26)'!A23</f>
        <v>20</v>
      </c>
      <c r="B23" s="38" t="str">
        <f>'法人一覧(26)'!B23</f>
        <v>文部科学省</v>
      </c>
      <c r="C23" s="38" t="str">
        <f>'法人一覧(26)'!C23</f>
        <v>国立美術館</v>
      </c>
      <c r="D23" s="52">
        <v>7459899000</v>
      </c>
      <c r="E23" s="52">
        <v>3864871057</v>
      </c>
      <c r="F23" s="52">
        <v>227376023</v>
      </c>
      <c r="G23" s="52">
        <v>0</v>
      </c>
      <c r="H23" s="52">
        <f t="shared" si="1"/>
        <v>1883994567</v>
      </c>
      <c r="I23" s="52">
        <v>0</v>
      </c>
      <c r="J23" s="52">
        <v>0</v>
      </c>
      <c r="K23" s="52">
        <v>0</v>
      </c>
      <c r="L23" s="52">
        <v>0</v>
      </c>
      <c r="M23" s="52">
        <v>13436140647</v>
      </c>
    </row>
    <row r="24" spans="1:13">
      <c r="A24" s="26">
        <f>'法人一覧(26)'!A24</f>
        <v>21</v>
      </c>
      <c r="B24" s="38" t="str">
        <f>'法人一覧(26)'!B24</f>
        <v>文部科学省</v>
      </c>
      <c r="C24" s="38" t="str">
        <f>'法人一覧(26)'!C24</f>
        <v>国立文化財機構</v>
      </c>
      <c r="D24" s="52">
        <v>8238870000</v>
      </c>
      <c r="E24" s="52">
        <v>3156912460</v>
      </c>
      <c r="F24" s="52">
        <f>205002927+8300000</f>
        <v>213302927</v>
      </c>
      <c r="G24" s="52">
        <v>540664832</v>
      </c>
      <c r="H24" s="52">
        <f t="shared" si="1"/>
        <v>2520025827</v>
      </c>
      <c r="I24" s="52">
        <v>0</v>
      </c>
      <c r="J24" s="52">
        <v>0</v>
      </c>
      <c r="K24" s="52">
        <v>0</v>
      </c>
      <c r="L24" s="52">
        <v>0</v>
      </c>
      <c r="M24" s="52">
        <v>14669776046</v>
      </c>
    </row>
    <row r="25" spans="1:13">
      <c r="A25" s="26">
        <f>'法人一覧(26)'!A25</f>
        <v>22</v>
      </c>
      <c r="B25" s="38" t="str">
        <f>'法人一覧(26)'!B25</f>
        <v>文部科学省</v>
      </c>
      <c r="C25" s="38" t="str">
        <f>'法人一覧(26)'!C25</f>
        <v>教員研修センター</v>
      </c>
      <c r="D25" s="52">
        <v>963000000</v>
      </c>
      <c r="E25" s="52">
        <v>276000000</v>
      </c>
      <c r="F25" s="52">
        <v>0</v>
      </c>
      <c r="G25" s="52">
        <v>0</v>
      </c>
      <c r="H25" s="52">
        <f t="shared" si="1"/>
        <v>164000000</v>
      </c>
      <c r="I25" s="52">
        <v>0</v>
      </c>
      <c r="J25" s="52">
        <v>0</v>
      </c>
      <c r="K25" s="52">
        <v>0</v>
      </c>
      <c r="L25" s="52">
        <v>0</v>
      </c>
      <c r="M25" s="52">
        <v>1403000000</v>
      </c>
    </row>
    <row r="26" spans="1:13">
      <c r="A26" s="26">
        <f>'法人一覧(26)'!A26</f>
        <v>23</v>
      </c>
      <c r="B26" s="38" t="str">
        <f>'法人一覧(26)'!B26</f>
        <v>文部科学省</v>
      </c>
      <c r="C26" s="38" t="str">
        <f>'法人一覧(26)'!C26</f>
        <v>科学技術振興機構</v>
      </c>
      <c r="D26" s="52">
        <v>139956000000</v>
      </c>
      <c r="E26" s="52">
        <f>125000000</f>
        <v>125000000</v>
      </c>
      <c r="F26" s="52">
        <v>1581000000</v>
      </c>
      <c r="G26" s="52">
        <v>2603000000</v>
      </c>
      <c r="H26" s="52">
        <f>M26-SUM(D26:G26,I26:L26)</f>
        <v>5981000000</v>
      </c>
      <c r="I26" s="52">
        <v>0</v>
      </c>
      <c r="J26" s="52">
        <v>0</v>
      </c>
      <c r="K26" s="52">
        <v>1551000000</v>
      </c>
      <c r="L26" s="52">
        <v>0</v>
      </c>
      <c r="M26" s="52">
        <f>148149000000+3565000000+83000000</f>
        <v>151797000000</v>
      </c>
    </row>
    <row r="27" spans="1:13">
      <c r="A27" s="26">
        <f>'法人一覧(26)'!A27</f>
        <v>24</v>
      </c>
      <c r="B27" s="38" t="str">
        <f>'法人一覧(26)'!B27</f>
        <v>文部科学省</v>
      </c>
      <c r="C27" s="38" t="str">
        <f>'法人一覧(26)'!C27</f>
        <v>日本学術振興会</v>
      </c>
      <c r="D27" s="52">
        <v>28006000000</v>
      </c>
      <c r="E27" s="52">
        <v>0</v>
      </c>
      <c r="F27" s="52">
        <v>231816000000</v>
      </c>
      <c r="G27" s="52">
        <v>181000000</v>
      </c>
      <c r="H27" s="52">
        <f t="shared" ref="H27:H29" si="2">M27-SUM(D27:G27,I27:L27)</f>
        <v>859000000</v>
      </c>
      <c r="I27" s="52">
        <v>0</v>
      </c>
      <c r="J27" s="52">
        <v>0</v>
      </c>
      <c r="K27" s="52">
        <v>0</v>
      </c>
      <c r="L27" s="52">
        <v>0</v>
      </c>
      <c r="M27" s="52">
        <v>260862000000</v>
      </c>
    </row>
    <row r="28" spans="1:13">
      <c r="A28" s="26">
        <f>'法人一覧(26)'!A28</f>
        <v>25</v>
      </c>
      <c r="B28" s="38" t="str">
        <f>'法人一覧(26)'!B28</f>
        <v>文部科学省</v>
      </c>
      <c r="C28" s="38" t="str">
        <f>'法人一覧(26)'!C28</f>
        <v>理化学研究所</v>
      </c>
      <c r="D28" s="52">
        <v>53119000000</v>
      </c>
      <c r="E28" s="52">
        <f>7122000000+1200000000</f>
        <v>8322000000</v>
      </c>
      <c r="F28" s="52">
        <f>24606000000+2275000000</f>
        <v>26881000000</v>
      </c>
      <c r="G28" s="52">
        <v>18226000000</v>
      </c>
      <c r="H28" s="52">
        <f t="shared" si="2"/>
        <v>909000000</v>
      </c>
      <c r="I28" s="52">
        <v>0</v>
      </c>
      <c r="J28" s="52">
        <v>0</v>
      </c>
      <c r="K28" s="52">
        <v>0</v>
      </c>
      <c r="L28" s="52">
        <v>0</v>
      </c>
      <c r="M28" s="52">
        <v>107457000000</v>
      </c>
    </row>
    <row r="29" spans="1:13">
      <c r="A29" s="26">
        <f>'法人一覧(26)'!A29</f>
        <v>26</v>
      </c>
      <c r="B29" s="38" t="str">
        <f>'法人一覧(26)'!B29</f>
        <v>文部科学省</v>
      </c>
      <c r="C29" s="38" t="str">
        <f>'法人一覧(26)'!C29</f>
        <v>宇宙航空研究開発機構</v>
      </c>
      <c r="D29" s="52">
        <v>113967984000</v>
      </c>
      <c r="E29" s="52">
        <v>9833146500</v>
      </c>
      <c r="F29" s="52">
        <f>27372008540+15178042350+6357498526+2605857000</f>
        <v>51513406416</v>
      </c>
      <c r="G29" s="52">
        <v>46258616097</v>
      </c>
      <c r="H29" s="52">
        <f t="shared" si="2"/>
        <v>892824074</v>
      </c>
      <c r="I29" s="52">
        <v>0</v>
      </c>
      <c r="J29" s="52">
        <v>0</v>
      </c>
      <c r="K29" s="52">
        <v>0</v>
      </c>
      <c r="L29" s="52">
        <v>0</v>
      </c>
      <c r="M29" s="52">
        <v>222465977087</v>
      </c>
    </row>
    <row r="30" spans="1:13">
      <c r="A30" s="26">
        <f>'法人一覧(26)'!A30</f>
        <v>27</v>
      </c>
      <c r="B30" s="38" t="str">
        <f>'法人一覧(26)'!B30</f>
        <v>文部科学省</v>
      </c>
      <c r="C30" s="38" t="str">
        <f>'法人一覧(26)'!C30</f>
        <v>日本スポーツ振興センター</v>
      </c>
      <c r="D30" s="52">
        <v>5274804000</v>
      </c>
      <c r="E30" s="52">
        <v>1344381580</v>
      </c>
      <c r="F30" s="52">
        <v>2378511870</v>
      </c>
      <c r="G30" s="52">
        <v>2001658373</v>
      </c>
      <c r="H30" s="52">
        <f t="shared" si="1"/>
        <v>148217067527</v>
      </c>
      <c r="I30" s="52">
        <v>0</v>
      </c>
      <c r="J30" s="52">
        <v>12471975000</v>
      </c>
      <c r="K30" s="52">
        <v>0</v>
      </c>
      <c r="L30" s="52">
        <v>0</v>
      </c>
      <c r="M30" s="52">
        <v>171688398350</v>
      </c>
    </row>
    <row r="31" spans="1:13">
      <c r="A31" s="26">
        <f>'法人一覧(26)'!A31</f>
        <v>28</v>
      </c>
      <c r="B31" s="38" t="str">
        <f>'法人一覧(26)'!B31</f>
        <v>文部科学省</v>
      </c>
      <c r="C31" s="38" t="str">
        <f>'法人一覧(26)'!C31</f>
        <v>日本芸術文化振興会</v>
      </c>
      <c r="D31" s="52">
        <v>9434113000</v>
      </c>
      <c r="E31" s="52">
        <v>1366180390</v>
      </c>
      <c r="F31" s="52">
        <v>3721801000</v>
      </c>
      <c r="G31" s="52">
        <v>30111876</v>
      </c>
      <c r="H31" s="52">
        <f t="shared" si="1"/>
        <v>4348340528</v>
      </c>
      <c r="I31" s="52">
        <v>0</v>
      </c>
      <c r="J31" s="52">
        <v>0</v>
      </c>
      <c r="K31" s="52">
        <v>0</v>
      </c>
      <c r="L31" s="52">
        <v>0</v>
      </c>
      <c r="M31" s="52">
        <v>18900546794</v>
      </c>
    </row>
    <row r="32" spans="1:13">
      <c r="A32" s="26">
        <f>'法人一覧(26)'!A32</f>
        <v>29</v>
      </c>
      <c r="B32" s="38" t="str">
        <f>'法人一覧(26)'!B32</f>
        <v>文部科学省</v>
      </c>
      <c r="C32" s="38" t="str">
        <f>'法人一覧(26)'!C32</f>
        <v>日本学生支援機構</v>
      </c>
      <c r="D32" s="52">
        <v>14029475000</v>
      </c>
      <c r="E32" s="52">
        <v>0</v>
      </c>
      <c r="F32" s="52">
        <f>8078857000+14252145000+790548000</f>
        <v>23121550000</v>
      </c>
      <c r="G32" s="52">
        <v>6302434</v>
      </c>
      <c r="H32" s="52">
        <f t="shared" si="1"/>
        <v>701589670605</v>
      </c>
      <c r="I32" s="52">
        <v>1445003499000</v>
      </c>
      <c r="J32" s="52">
        <v>0</v>
      </c>
      <c r="K32" s="52">
        <v>0</v>
      </c>
      <c r="L32" s="52">
        <v>0</v>
      </c>
      <c r="M32" s="52">
        <v>2183750497039</v>
      </c>
    </row>
    <row r="33" spans="1:13">
      <c r="A33" s="26">
        <f>'法人一覧(26)'!A33</f>
        <v>30</v>
      </c>
      <c r="B33" s="38" t="str">
        <f>'法人一覧(26)'!B33</f>
        <v>文部科学省</v>
      </c>
      <c r="C33" s="38" t="str">
        <f>'法人一覧(26)'!C33</f>
        <v>海洋研究開発機構</v>
      </c>
      <c r="D33" s="52">
        <v>39672000000</v>
      </c>
      <c r="E33" s="52">
        <v>2815000000</v>
      </c>
      <c r="F33" s="52">
        <v>1328000000</v>
      </c>
      <c r="G33" s="52">
        <v>4431000000</v>
      </c>
      <c r="H33" s="52">
        <f t="shared" si="1"/>
        <v>1035000000</v>
      </c>
      <c r="I33" s="52">
        <v>0</v>
      </c>
      <c r="J33" s="52">
        <v>0</v>
      </c>
      <c r="K33" s="52">
        <v>0</v>
      </c>
      <c r="L33" s="52">
        <v>0</v>
      </c>
      <c r="M33" s="52">
        <v>49281000000</v>
      </c>
    </row>
    <row r="34" spans="1:13">
      <c r="A34" s="26">
        <f>'法人一覧(26)'!A34</f>
        <v>31</v>
      </c>
      <c r="B34" s="38" t="str">
        <f>'法人一覧(26)'!B34</f>
        <v>文部科学省</v>
      </c>
      <c r="C34" s="38" t="str">
        <f>'法人一覧(26)'!C34</f>
        <v>国立高等専門学校機構</v>
      </c>
      <c r="D34" s="52">
        <v>62168000000</v>
      </c>
      <c r="E34" s="52">
        <v>2385000000</v>
      </c>
      <c r="F34" s="52">
        <f>808000000</f>
        <v>808000000</v>
      </c>
      <c r="G34" s="52">
        <v>0</v>
      </c>
      <c r="H34" s="52">
        <f t="shared" si="1"/>
        <v>16155000000</v>
      </c>
      <c r="I34" s="52">
        <v>0</v>
      </c>
      <c r="J34" s="52">
        <v>0</v>
      </c>
      <c r="K34" s="52">
        <v>0</v>
      </c>
      <c r="L34" s="52">
        <v>0</v>
      </c>
      <c r="M34" s="52">
        <v>81516000000</v>
      </c>
    </row>
    <row r="35" spans="1:13">
      <c r="A35" s="26">
        <f>'法人一覧(26)'!A35</f>
        <v>32</v>
      </c>
      <c r="B35" s="38" t="str">
        <f>'法人一覧(26)'!B35</f>
        <v>文部科学省</v>
      </c>
      <c r="C35" s="38" t="str">
        <f>'法人一覧(26)'!C35</f>
        <v>大学評価・学位授与機構</v>
      </c>
      <c r="D35" s="52">
        <v>1250145000</v>
      </c>
      <c r="E35" s="52">
        <v>0</v>
      </c>
      <c r="F35" s="52">
        <v>28592102</v>
      </c>
      <c r="G35" s="52">
        <v>54859593</v>
      </c>
      <c r="H35" s="52">
        <f t="shared" si="1"/>
        <v>518501123</v>
      </c>
      <c r="I35" s="52">
        <v>0</v>
      </c>
      <c r="J35" s="52">
        <v>0</v>
      </c>
      <c r="K35" s="52">
        <v>0</v>
      </c>
      <c r="L35" s="52">
        <v>0</v>
      </c>
      <c r="M35" s="52">
        <v>1852097818</v>
      </c>
    </row>
    <row r="36" spans="1:13">
      <c r="A36" s="26">
        <f>'法人一覧(26)'!A36</f>
        <v>33</v>
      </c>
      <c r="B36" s="38" t="str">
        <f>'法人一覧(26)'!B36</f>
        <v>文部科学省</v>
      </c>
      <c r="C36" s="38" t="str">
        <f>'法人一覧(26)'!C36</f>
        <v>国立大学財務・経営センター</v>
      </c>
      <c r="D36" s="52">
        <v>306424000</v>
      </c>
      <c r="E36" s="52">
        <v>0</v>
      </c>
      <c r="F36" s="52">
        <v>0</v>
      </c>
      <c r="G36" s="52">
        <v>0</v>
      </c>
      <c r="H36" s="52">
        <f t="shared" si="1"/>
        <v>93791266354</v>
      </c>
      <c r="I36" s="52">
        <v>57286614000</v>
      </c>
      <c r="J36" s="52">
        <v>0</v>
      </c>
      <c r="K36" s="52">
        <v>0</v>
      </c>
      <c r="L36" s="52">
        <v>0</v>
      </c>
      <c r="M36" s="52">
        <v>151384304354</v>
      </c>
    </row>
    <row r="37" spans="1:13">
      <c r="A37" s="26">
        <f>'法人一覧(26)'!A37</f>
        <v>34</v>
      </c>
      <c r="B37" s="38" t="str">
        <f>'法人一覧(26)'!B37</f>
        <v>文部科学省</v>
      </c>
      <c r="C37" s="38" t="str">
        <f>'法人一覧(26)'!C37</f>
        <v>日本原子力研究開発機構</v>
      </c>
      <c r="D37" s="52">
        <v>144132328000</v>
      </c>
      <c r="E37" s="52">
        <v>9552819000</v>
      </c>
      <c r="F37" s="52">
        <f>3929179500+468320000+806325000+20845530368+2293006147+12954000+1997908350+9789455000+590577000+146500000+348227000+1561979154</f>
        <v>42789961519</v>
      </c>
      <c r="G37" s="52">
        <v>15167486998</v>
      </c>
      <c r="H37" s="52">
        <f t="shared" si="1"/>
        <v>19106302210</v>
      </c>
      <c r="I37" s="52">
        <v>0</v>
      </c>
      <c r="J37" s="52">
        <v>0</v>
      </c>
      <c r="K37" s="52">
        <f>36579860505+2761848275+20657322568+84982337950</f>
        <v>144981369298</v>
      </c>
      <c r="L37" s="52">
        <v>0</v>
      </c>
      <c r="M37" s="52">
        <f>230748897727+36579860505+2761848275+20657322568+84982337950</f>
        <v>375730267025</v>
      </c>
    </row>
    <row r="38" spans="1:13">
      <c r="A38" s="26">
        <f>'法人一覧(26)'!A38</f>
        <v>35</v>
      </c>
      <c r="B38" s="38" t="str">
        <f>'法人一覧(26)'!B38</f>
        <v>厚生労働省</v>
      </c>
      <c r="C38" s="38" t="str">
        <f>'法人一覧(26)'!C38</f>
        <v>国立健康・栄養研究所</v>
      </c>
      <c r="D38" s="52">
        <v>640627000</v>
      </c>
      <c r="E38" s="52">
        <v>0</v>
      </c>
      <c r="F38" s="52">
        <v>0</v>
      </c>
      <c r="G38" s="52">
        <v>82737914</v>
      </c>
      <c r="H38" s="52">
        <f t="shared" si="1"/>
        <v>45906383</v>
      </c>
      <c r="I38" s="52">
        <v>0</v>
      </c>
      <c r="J38" s="52">
        <v>0</v>
      </c>
      <c r="K38" s="52">
        <v>142690130</v>
      </c>
      <c r="L38" s="52">
        <v>0</v>
      </c>
      <c r="M38" s="52">
        <v>911961427</v>
      </c>
    </row>
    <row r="39" spans="1:13">
      <c r="A39" s="26">
        <f>'法人一覧(26)'!A39</f>
        <v>36</v>
      </c>
      <c r="B39" s="38" t="str">
        <f>'法人一覧(26)'!B39</f>
        <v>厚生労働省</v>
      </c>
      <c r="C39" s="38" t="str">
        <f>'法人一覧(26)'!C39</f>
        <v>労働安全衛生総合研究所</v>
      </c>
      <c r="D39" s="52">
        <v>1970724000</v>
      </c>
      <c r="E39" s="52">
        <v>108954000</v>
      </c>
      <c r="F39" s="52">
        <v>0</v>
      </c>
      <c r="G39" s="52">
        <v>46612701</v>
      </c>
      <c r="H39" s="52">
        <f t="shared" si="1"/>
        <v>21865850</v>
      </c>
      <c r="I39" s="52">
        <v>0</v>
      </c>
      <c r="J39" s="52">
        <v>0</v>
      </c>
      <c r="K39" s="52">
        <v>0</v>
      </c>
      <c r="L39" s="52">
        <v>0</v>
      </c>
      <c r="M39" s="52">
        <v>2148156551</v>
      </c>
    </row>
    <row r="40" spans="1:13">
      <c r="A40" s="26">
        <f>'法人一覧(26)'!A40</f>
        <v>37</v>
      </c>
      <c r="B40" s="38" t="str">
        <f>'法人一覧(26)'!B40</f>
        <v>厚生労働省</v>
      </c>
      <c r="C40" s="38" t="str">
        <f>'法人一覧(26)'!C40</f>
        <v>勤労者退職金共済機構</v>
      </c>
      <c r="D40" s="52">
        <v>33000000</v>
      </c>
      <c r="E40" s="52">
        <v>0</v>
      </c>
      <c r="F40" s="52">
        <v>7842000000</v>
      </c>
      <c r="G40" s="52">
        <v>0</v>
      </c>
      <c r="H40" s="52">
        <f t="shared" si="1"/>
        <v>690842000000</v>
      </c>
      <c r="I40" s="52">
        <v>0</v>
      </c>
      <c r="J40" s="52">
        <v>0</v>
      </c>
      <c r="K40" s="52">
        <v>0</v>
      </c>
      <c r="L40" s="52">
        <v>0</v>
      </c>
      <c r="M40" s="52">
        <v>698717000000</v>
      </c>
    </row>
    <row r="41" spans="1:13">
      <c r="A41" s="26">
        <f>'法人一覧(26)'!A41</f>
        <v>38</v>
      </c>
      <c r="B41" s="38" t="str">
        <f>'法人一覧(26)'!B41</f>
        <v>厚生労働省</v>
      </c>
      <c r="C41" s="38" t="str">
        <f>'法人一覧(26)'!C41</f>
        <v>高齢・障害・求職者雇用支援機構</v>
      </c>
      <c r="D41" s="52">
        <v>72280372000</v>
      </c>
      <c r="E41" s="52">
        <v>2203849880</v>
      </c>
      <c r="F41" s="52">
        <f>984003000+123444903</f>
        <v>1107447903</v>
      </c>
      <c r="G41" s="52">
        <v>29516780</v>
      </c>
      <c r="H41" s="52">
        <f t="shared" si="1"/>
        <v>55006769772</v>
      </c>
      <c r="I41" s="52">
        <v>0</v>
      </c>
      <c r="J41" s="52">
        <v>0</v>
      </c>
      <c r="K41" s="52">
        <v>0</v>
      </c>
      <c r="L41" s="52">
        <v>0</v>
      </c>
      <c r="M41" s="52">
        <v>130627956335</v>
      </c>
    </row>
    <row r="42" spans="1:13">
      <c r="A42" s="26">
        <f>'法人一覧(26)'!A42</f>
        <v>39</v>
      </c>
      <c r="B42" s="38" t="str">
        <f>'法人一覧(26)'!B42</f>
        <v>厚生労働省</v>
      </c>
      <c r="C42" s="38" t="str">
        <f>'法人一覧(26)'!C42</f>
        <v>福祉医療機構</v>
      </c>
      <c r="D42" s="52">
        <v>3470128000</v>
      </c>
      <c r="E42" s="52">
        <v>0</v>
      </c>
      <c r="F42" s="52">
        <f>26329990000+5622312000+24861703200</f>
        <v>56814005200</v>
      </c>
      <c r="G42" s="52">
        <v>0</v>
      </c>
      <c r="H42" s="52">
        <f t="shared" si="1"/>
        <v>171543344320</v>
      </c>
      <c r="I42" s="52">
        <v>0</v>
      </c>
      <c r="J42" s="52">
        <v>0</v>
      </c>
      <c r="K42" s="52">
        <v>0</v>
      </c>
      <c r="L42" s="52">
        <v>0</v>
      </c>
      <c r="M42" s="52">
        <v>231827477520</v>
      </c>
    </row>
    <row r="43" spans="1:13">
      <c r="A43" s="26">
        <f>'法人一覧(26)'!A43</f>
        <v>40</v>
      </c>
      <c r="B43" s="38" t="str">
        <f>'法人一覧(26)'!B43</f>
        <v>厚生労働省</v>
      </c>
      <c r="C43" s="38" t="str">
        <f>'法人一覧(26)'!C43</f>
        <v>国立重度知的障害者総合施設のぞみの園</v>
      </c>
      <c r="D43" s="52">
        <v>1909032000</v>
      </c>
      <c r="E43" s="52">
        <v>86248000</v>
      </c>
      <c r="F43" s="52">
        <v>10178000</v>
      </c>
      <c r="G43" s="52">
        <v>3878200</v>
      </c>
      <c r="H43" s="52">
        <f t="shared" si="1"/>
        <v>1762178459</v>
      </c>
      <c r="I43" s="52">
        <v>0</v>
      </c>
      <c r="J43" s="52">
        <v>0</v>
      </c>
      <c r="K43" s="52">
        <v>0</v>
      </c>
      <c r="L43" s="52">
        <v>0</v>
      </c>
      <c r="M43" s="52">
        <v>3771514659</v>
      </c>
    </row>
    <row r="44" spans="1:13">
      <c r="A44" s="26">
        <f>'法人一覧(26)'!A44</f>
        <v>41</v>
      </c>
      <c r="B44" s="38" t="str">
        <f>'法人一覧(26)'!B44</f>
        <v>厚生労働省</v>
      </c>
      <c r="C44" s="38" t="str">
        <f>'法人一覧(26)'!C44</f>
        <v>労働政策研究・研修機構</v>
      </c>
      <c r="D44" s="52">
        <v>2466837000</v>
      </c>
      <c r="E44" s="52">
        <v>251445600</v>
      </c>
      <c r="F44" s="52">
        <v>0</v>
      </c>
      <c r="G44" s="52">
        <v>0</v>
      </c>
      <c r="H44" s="52">
        <f t="shared" si="1"/>
        <v>49120074</v>
      </c>
      <c r="I44" s="52">
        <v>0</v>
      </c>
      <c r="J44" s="52">
        <v>0</v>
      </c>
      <c r="K44" s="52">
        <v>0</v>
      </c>
      <c r="L44" s="52">
        <v>0</v>
      </c>
      <c r="M44" s="52">
        <v>2767402674</v>
      </c>
    </row>
    <row r="45" spans="1:13">
      <c r="A45" s="26">
        <f>'法人一覧(26)'!A45</f>
        <v>42</v>
      </c>
      <c r="B45" s="38" t="str">
        <f>'法人一覧(26)'!B45</f>
        <v>厚生労働省</v>
      </c>
      <c r="C45" s="38" t="str">
        <f>'法人一覧(26)'!C45</f>
        <v>労働者健康福祉機構</v>
      </c>
      <c r="D45" s="52">
        <v>7111072000</v>
      </c>
      <c r="E45" s="52">
        <v>865341416</v>
      </c>
      <c r="F45" s="52">
        <v>13506415826</v>
      </c>
      <c r="G45" s="52">
        <v>53900601</v>
      </c>
      <c r="H45" s="52">
        <f t="shared" si="1"/>
        <v>293110892660</v>
      </c>
      <c r="I45" s="52">
        <v>1373920000</v>
      </c>
      <c r="J45" s="52">
        <v>0</v>
      </c>
      <c r="K45" s="52">
        <v>0</v>
      </c>
      <c r="L45" s="52">
        <v>0</v>
      </c>
      <c r="M45" s="52">
        <v>316021542503</v>
      </c>
    </row>
    <row r="46" spans="1:13">
      <c r="A46" s="26">
        <f>'法人一覧(26)'!A46</f>
        <v>43</v>
      </c>
      <c r="B46" s="38" t="str">
        <f>'法人一覧(26)'!B46</f>
        <v>厚生労働省</v>
      </c>
      <c r="C46" s="38" t="str">
        <f>'法人一覧(26)'!C46</f>
        <v>国立病院機構</v>
      </c>
      <c r="D46" s="52">
        <v>19787590000</v>
      </c>
      <c r="E46" s="52">
        <v>0</v>
      </c>
      <c r="F46" s="52">
        <v>0</v>
      </c>
      <c r="G46" s="52">
        <v>0</v>
      </c>
      <c r="H46" s="52">
        <f t="shared" si="1"/>
        <v>929574740024</v>
      </c>
      <c r="I46" s="52">
        <v>23171000000</v>
      </c>
      <c r="J46" s="52">
        <v>0</v>
      </c>
      <c r="K46" s="52">
        <v>0</v>
      </c>
      <c r="L46" s="52">
        <v>0</v>
      </c>
      <c r="M46" s="52">
        <v>972533330024</v>
      </c>
    </row>
    <row r="47" spans="1:13">
      <c r="A47" s="26">
        <f>'法人一覧(26)'!A47</f>
        <v>44</v>
      </c>
      <c r="B47" s="38" t="str">
        <f>'法人一覧(26)'!B47</f>
        <v>厚生労働省</v>
      </c>
      <c r="C47" s="38" t="str">
        <f>'法人一覧(26)'!C47</f>
        <v>医薬品医療機器総合機構</v>
      </c>
      <c r="D47" s="52">
        <v>1280986000</v>
      </c>
      <c r="E47" s="52">
        <v>0</v>
      </c>
      <c r="F47" s="52">
        <v>818115000</v>
      </c>
      <c r="G47" s="52">
        <v>0</v>
      </c>
      <c r="H47" s="52">
        <f t="shared" si="1"/>
        <v>19979501432</v>
      </c>
      <c r="I47" s="52">
        <v>0</v>
      </c>
      <c r="J47" s="52">
        <v>0</v>
      </c>
      <c r="K47" s="52">
        <v>0</v>
      </c>
      <c r="L47" s="52">
        <v>0</v>
      </c>
      <c r="M47" s="52">
        <v>22078602432</v>
      </c>
    </row>
    <row r="48" spans="1:13">
      <c r="A48" s="26">
        <f>'法人一覧(26)'!A48</f>
        <v>45</v>
      </c>
      <c r="B48" s="38" t="str">
        <f>'法人一覧(26)'!B48</f>
        <v>厚生労働省</v>
      </c>
      <c r="C48" s="38" t="str">
        <f>'法人一覧(26)'!C48</f>
        <v>医薬基盤研究所</v>
      </c>
      <c r="D48" s="52">
        <v>7542542000</v>
      </c>
      <c r="E48" s="52">
        <v>0</v>
      </c>
      <c r="F48" s="52">
        <v>68000000</v>
      </c>
      <c r="G48" s="52">
        <v>1835146060</v>
      </c>
      <c r="H48" s="52">
        <f t="shared" si="1"/>
        <v>909306945</v>
      </c>
      <c r="I48" s="52">
        <v>0</v>
      </c>
      <c r="J48" s="52">
        <v>0</v>
      </c>
      <c r="K48" s="52">
        <v>0</v>
      </c>
      <c r="L48" s="52">
        <v>0</v>
      </c>
      <c r="M48" s="52">
        <v>10354995005</v>
      </c>
    </row>
    <row r="49" spans="1:13">
      <c r="A49" s="26">
        <f>'法人一覧(26)'!A49</f>
        <v>46</v>
      </c>
      <c r="B49" s="38" t="str">
        <f>'法人一覧(26)'!B49</f>
        <v>厚生労働省</v>
      </c>
      <c r="C49" s="38" t="str">
        <f>'法人一覧(26)'!C49</f>
        <v>地域医療機能推進機構</v>
      </c>
      <c r="D49" s="52">
        <v>0</v>
      </c>
      <c r="E49" s="52">
        <v>0</v>
      </c>
      <c r="F49" s="52">
        <v>0</v>
      </c>
      <c r="G49" s="52">
        <v>0</v>
      </c>
      <c r="H49" s="52">
        <f t="shared" si="1"/>
        <v>457464328823</v>
      </c>
      <c r="I49" s="52">
        <v>1169316000</v>
      </c>
      <c r="J49" s="52">
        <v>0</v>
      </c>
      <c r="K49" s="52">
        <v>0</v>
      </c>
      <c r="L49" s="52">
        <v>0</v>
      </c>
      <c r="M49" s="52">
        <v>458633644823</v>
      </c>
    </row>
    <row r="50" spans="1:13">
      <c r="A50" s="26">
        <f>'法人一覧(26)'!A50</f>
        <v>47</v>
      </c>
      <c r="B50" s="38" t="str">
        <f>'法人一覧(26)'!B50</f>
        <v>厚生労働省</v>
      </c>
      <c r="C50" s="38" t="str">
        <f>'法人一覧(26)'!C50</f>
        <v>年金積立金管理運用</v>
      </c>
      <c r="D50" s="52">
        <v>0</v>
      </c>
      <c r="E50" s="52">
        <v>0</v>
      </c>
      <c r="F50" s="52">
        <v>0</v>
      </c>
      <c r="G50" s="52">
        <v>0</v>
      </c>
      <c r="H50" s="52">
        <f t="shared" si="1"/>
        <v>51301395521512</v>
      </c>
      <c r="I50" s="52">
        <v>0</v>
      </c>
      <c r="J50" s="52">
        <v>0</v>
      </c>
      <c r="K50" s="52">
        <v>0</v>
      </c>
      <c r="L50" s="52">
        <v>0</v>
      </c>
      <c r="M50" s="52">
        <f>19163801446506+1374292363044+30763301711962</f>
        <v>51301395521512</v>
      </c>
    </row>
    <row r="51" spans="1:13">
      <c r="A51" s="26">
        <f>'法人一覧(26)'!A51</f>
        <v>48</v>
      </c>
      <c r="B51" s="38" t="str">
        <f>'法人一覧(26)'!B51</f>
        <v>厚生労働省</v>
      </c>
      <c r="C51" s="38" t="str">
        <f>'法人一覧(26)'!C51</f>
        <v>国立がん研究センター</v>
      </c>
      <c r="D51" s="52">
        <v>6686664000</v>
      </c>
      <c r="E51" s="52">
        <v>0</v>
      </c>
      <c r="F51" s="52">
        <v>0</v>
      </c>
      <c r="G51" s="52">
        <v>0</v>
      </c>
      <c r="H51" s="52">
        <f t="shared" si="1"/>
        <v>60916832337</v>
      </c>
      <c r="I51" s="52">
        <v>439931000</v>
      </c>
      <c r="J51" s="52">
        <v>0</v>
      </c>
      <c r="K51" s="52">
        <v>0</v>
      </c>
      <c r="L51" s="52">
        <v>0</v>
      </c>
      <c r="M51" s="52">
        <v>68043427337</v>
      </c>
    </row>
    <row r="52" spans="1:13">
      <c r="A52" s="26">
        <f>'法人一覧(26)'!A52</f>
        <v>49</v>
      </c>
      <c r="B52" s="38" t="str">
        <f>'法人一覧(26)'!B52</f>
        <v>厚生労働省</v>
      </c>
      <c r="C52" s="38" t="str">
        <f>'法人一覧(26)'!C52</f>
        <v>国立循環器病研究センター</v>
      </c>
      <c r="D52" s="52">
        <v>4316340000</v>
      </c>
      <c r="E52" s="52">
        <v>0</v>
      </c>
      <c r="F52" s="52">
        <v>0</v>
      </c>
      <c r="G52" s="52">
        <v>0</v>
      </c>
      <c r="H52" s="52">
        <f t="shared" si="1"/>
        <v>35436125660</v>
      </c>
      <c r="I52" s="52">
        <v>0</v>
      </c>
      <c r="J52" s="52">
        <v>0</v>
      </c>
      <c r="K52" s="52">
        <v>0</v>
      </c>
      <c r="L52" s="52">
        <v>0</v>
      </c>
      <c r="M52" s="52">
        <v>39752465660</v>
      </c>
    </row>
    <row r="53" spans="1:13">
      <c r="A53" s="26">
        <f>'法人一覧(26)'!A53</f>
        <v>50</v>
      </c>
      <c r="B53" s="38" t="str">
        <f>'法人一覧(26)'!B53</f>
        <v>厚生労働省</v>
      </c>
      <c r="C53" s="38" t="str">
        <f>'法人一覧(26)'!C53</f>
        <v>国立精神・神経医療研究センター</v>
      </c>
      <c r="D53" s="52">
        <v>4291557000</v>
      </c>
      <c r="E53" s="52">
        <v>384301000</v>
      </c>
      <c r="F53" s="52">
        <v>0</v>
      </c>
      <c r="G53" s="52">
        <v>0</v>
      </c>
      <c r="H53" s="52">
        <f t="shared" si="1"/>
        <v>10450475929</v>
      </c>
      <c r="I53" s="52">
        <v>0</v>
      </c>
      <c r="J53" s="52">
        <v>0</v>
      </c>
      <c r="K53" s="52">
        <v>0</v>
      </c>
      <c r="L53" s="52">
        <v>0</v>
      </c>
      <c r="M53" s="52">
        <v>15126333929</v>
      </c>
    </row>
    <row r="54" spans="1:13">
      <c r="A54" s="26">
        <f>'法人一覧(26)'!A54</f>
        <v>51</v>
      </c>
      <c r="B54" s="38" t="str">
        <f>'法人一覧(26)'!B54</f>
        <v>厚生労働省</v>
      </c>
      <c r="C54" s="38" t="str">
        <f>'法人一覧(26)'!C54</f>
        <v>国立国際医療研究センター</v>
      </c>
      <c r="D54" s="52">
        <v>6316640000</v>
      </c>
      <c r="E54" s="52">
        <v>0</v>
      </c>
      <c r="F54" s="52">
        <v>0</v>
      </c>
      <c r="G54" s="52">
        <v>0</v>
      </c>
      <c r="H54" s="52">
        <f t="shared" si="1"/>
        <v>37202780566</v>
      </c>
      <c r="I54" s="52">
        <v>2400000000</v>
      </c>
      <c r="J54" s="52">
        <v>0</v>
      </c>
      <c r="K54" s="52">
        <v>0</v>
      </c>
      <c r="L54" s="52">
        <v>0</v>
      </c>
      <c r="M54" s="52">
        <v>45919420566</v>
      </c>
    </row>
    <row r="55" spans="1:13">
      <c r="A55" s="26">
        <f>'法人一覧(26)'!A55</f>
        <v>52</v>
      </c>
      <c r="B55" s="38" t="str">
        <f>'法人一覧(26)'!B55</f>
        <v>厚生労働省</v>
      </c>
      <c r="C55" s="38" t="str">
        <f>'法人一覧(26)'!C55</f>
        <v>国立成育医療研究センター</v>
      </c>
      <c r="D55" s="52">
        <v>3587243000</v>
      </c>
      <c r="E55" s="52">
        <v>0</v>
      </c>
      <c r="F55" s="52">
        <v>0</v>
      </c>
      <c r="G55" s="52">
        <v>0</v>
      </c>
      <c r="H55" s="52">
        <f t="shared" si="1"/>
        <v>17726266344</v>
      </c>
      <c r="I55" s="52">
        <v>0</v>
      </c>
      <c r="J55" s="52">
        <v>0</v>
      </c>
      <c r="K55" s="52">
        <v>0</v>
      </c>
      <c r="L55" s="52">
        <v>0</v>
      </c>
      <c r="M55" s="52">
        <v>21313509344</v>
      </c>
    </row>
    <row r="56" spans="1:13">
      <c r="A56" s="26">
        <f>'法人一覧(26)'!A56</f>
        <v>53</v>
      </c>
      <c r="B56" s="38" t="str">
        <f>'法人一覧(26)'!B56</f>
        <v>厚生労働省</v>
      </c>
      <c r="C56" s="38" t="str">
        <f>'法人一覧(26)'!C56</f>
        <v>国立長寿医療研究センター</v>
      </c>
      <c r="D56" s="52">
        <v>3057588000</v>
      </c>
      <c r="E56" s="52">
        <v>136853000</v>
      </c>
      <c r="F56" s="52">
        <v>0</v>
      </c>
      <c r="G56" s="52">
        <v>0</v>
      </c>
      <c r="H56" s="52">
        <f t="shared" si="1"/>
        <v>8063237916</v>
      </c>
      <c r="I56" s="52">
        <v>0</v>
      </c>
      <c r="J56" s="52">
        <v>0</v>
      </c>
      <c r="K56" s="52">
        <v>0</v>
      </c>
      <c r="L56" s="52">
        <v>0</v>
      </c>
      <c r="M56" s="52">
        <v>11257678916</v>
      </c>
    </row>
    <row r="57" spans="1:13">
      <c r="A57" s="26">
        <f>'法人一覧(26)'!A57</f>
        <v>54</v>
      </c>
      <c r="B57" s="38" t="str">
        <f>'法人一覧(26)'!B57</f>
        <v>農林水産省</v>
      </c>
      <c r="C57" s="38" t="str">
        <f>'法人一覧(26)'!C57</f>
        <v>農林水産消費安全技術センター</v>
      </c>
      <c r="D57" s="52">
        <v>6616169000</v>
      </c>
      <c r="E57" s="52">
        <v>73631572</v>
      </c>
      <c r="F57" s="52">
        <v>0</v>
      </c>
      <c r="G57" s="52">
        <v>0</v>
      </c>
      <c r="H57" s="52">
        <f t="shared" ref="H57:H67" si="3">M57-SUM(D57:G57,I57:L57)</f>
        <v>46435446</v>
      </c>
      <c r="I57" s="52">
        <v>0</v>
      </c>
      <c r="J57" s="52">
        <v>0</v>
      </c>
      <c r="K57" s="52">
        <v>216637899</v>
      </c>
      <c r="L57" s="52">
        <v>0</v>
      </c>
      <c r="M57" s="52">
        <v>6952873917</v>
      </c>
    </row>
    <row r="58" spans="1:13">
      <c r="A58" s="26">
        <f>'法人一覧(26)'!A58</f>
        <v>55</v>
      </c>
      <c r="B58" s="38" t="str">
        <f>'法人一覧(26)'!B58</f>
        <v>農林水産省</v>
      </c>
      <c r="C58" s="38" t="str">
        <f>'法人一覧(26)'!C58</f>
        <v>種苗管理センター</v>
      </c>
      <c r="D58" s="29">
        <f>2720000000+29000000</f>
        <v>2749000000</v>
      </c>
      <c r="E58" s="29">
        <v>197000000</v>
      </c>
      <c r="F58" s="29">
        <v>0</v>
      </c>
      <c r="G58" s="29">
        <v>51000000</v>
      </c>
      <c r="H58" s="29">
        <f t="shared" si="3"/>
        <v>273000000</v>
      </c>
      <c r="I58" s="29">
        <v>0</v>
      </c>
      <c r="J58" s="29">
        <v>0</v>
      </c>
      <c r="K58" s="29">
        <v>14000000</v>
      </c>
      <c r="L58" s="29">
        <v>0</v>
      </c>
      <c r="M58" s="29">
        <v>3284000000</v>
      </c>
    </row>
    <row r="59" spans="1:13">
      <c r="A59" s="26">
        <f>'法人一覧(26)'!A59</f>
        <v>56</v>
      </c>
      <c r="B59" s="38" t="str">
        <f>'法人一覧(26)'!B59</f>
        <v>農林水産省</v>
      </c>
      <c r="C59" s="38" t="str">
        <f>'法人一覧(26)'!C59</f>
        <v>家畜改良センター</v>
      </c>
      <c r="D59" s="29">
        <v>7237000000</v>
      </c>
      <c r="E59" s="29">
        <v>230000000</v>
      </c>
      <c r="F59" s="29">
        <v>0</v>
      </c>
      <c r="G59" s="29">
        <v>212000000</v>
      </c>
      <c r="H59" s="29">
        <f t="shared" si="3"/>
        <v>1497000000</v>
      </c>
      <c r="I59" s="29">
        <v>0</v>
      </c>
      <c r="J59" s="29">
        <v>0</v>
      </c>
      <c r="K59" s="29">
        <v>820000000</v>
      </c>
      <c r="L59" s="29">
        <v>0</v>
      </c>
      <c r="M59" s="29">
        <v>9996000000</v>
      </c>
    </row>
    <row r="60" spans="1:13">
      <c r="A60" s="26">
        <f>'法人一覧(26)'!A60</f>
        <v>57</v>
      </c>
      <c r="B60" s="38" t="str">
        <f>'法人一覧(26)'!B60</f>
        <v>農林水産省</v>
      </c>
      <c r="C60" s="38" t="str">
        <f>'法人一覧(26)'!C60</f>
        <v>水産大学校</v>
      </c>
      <c r="D60" s="29">
        <v>1760114000</v>
      </c>
      <c r="E60" s="29">
        <v>177616800</v>
      </c>
      <c r="F60" s="29">
        <v>17500000</v>
      </c>
      <c r="G60" s="29">
        <v>77427096</v>
      </c>
      <c r="H60" s="29">
        <f t="shared" si="3"/>
        <v>539957737</v>
      </c>
      <c r="I60" s="29">
        <v>0</v>
      </c>
      <c r="J60" s="29">
        <v>0</v>
      </c>
      <c r="K60" s="29">
        <v>143511794</v>
      </c>
      <c r="L60" s="29">
        <v>0</v>
      </c>
      <c r="M60" s="29">
        <v>2716127427</v>
      </c>
    </row>
    <row r="61" spans="1:13">
      <c r="A61" s="26">
        <f>'法人一覧(26)'!A61</f>
        <v>58</v>
      </c>
      <c r="B61" s="38" t="str">
        <f>'法人一覧(26)'!B61</f>
        <v>農林水産省</v>
      </c>
      <c r="C61" s="38" t="str">
        <f>'法人一覧(26)'!C61</f>
        <v>農業・食品産業技術総合研究機構</v>
      </c>
      <c r="D61" s="29">
        <f>36178772000+4927252000+1577240000</f>
        <v>42683264000</v>
      </c>
      <c r="E61" s="29">
        <f>4510213250+94494108</f>
        <v>4604707358</v>
      </c>
      <c r="F61" s="29">
        <v>1902302</v>
      </c>
      <c r="G61" s="29">
        <f>4157497506+55359526</f>
        <v>4212857032</v>
      </c>
      <c r="H61" s="29">
        <f t="shared" si="3"/>
        <v>1054504775</v>
      </c>
      <c r="I61" s="29">
        <v>0</v>
      </c>
      <c r="J61" s="29">
        <v>0</v>
      </c>
      <c r="K61" s="29">
        <f>3918337343+8008344678+37072873</f>
        <v>11963754894</v>
      </c>
      <c r="L61" s="29">
        <v>0</v>
      </c>
      <c r="M61" s="29">
        <f>49259921530+12960728689+306374940+112935578+1881029624</f>
        <v>64520990361</v>
      </c>
    </row>
    <row r="62" spans="1:13">
      <c r="A62" s="26">
        <f>'法人一覧(26)'!A62</f>
        <v>59</v>
      </c>
      <c r="B62" s="38" t="str">
        <f>'法人一覧(26)'!B62</f>
        <v>農林水産省</v>
      </c>
      <c r="C62" s="38" t="str">
        <f>'法人一覧(26)'!C62</f>
        <v>農業生物資源研究所</v>
      </c>
      <c r="D62" s="29">
        <v>6616665000</v>
      </c>
      <c r="E62" s="29">
        <v>2889511514</v>
      </c>
      <c r="F62" s="29">
        <v>2200000</v>
      </c>
      <c r="G62" s="29">
        <v>2028244807</v>
      </c>
      <c r="H62" s="29">
        <f t="shared" si="3"/>
        <v>25244284</v>
      </c>
      <c r="I62" s="29">
        <v>0</v>
      </c>
      <c r="J62" s="29">
        <v>0</v>
      </c>
      <c r="K62" s="29">
        <v>478710832</v>
      </c>
      <c r="L62" s="29">
        <v>0</v>
      </c>
      <c r="M62" s="29">
        <v>12040576437</v>
      </c>
    </row>
    <row r="63" spans="1:13">
      <c r="A63" s="26">
        <f>'法人一覧(26)'!A63</f>
        <v>60</v>
      </c>
      <c r="B63" s="38" t="str">
        <f>'法人一覧(26)'!B63</f>
        <v>農林水産省</v>
      </c>
      <c r="C63" s="38" t="str">
        <f>'法人一覧(26)'!C63</f>
        <v>農業環境技術研究所</v>
      </c>
      <c r="D63" s="29">
        <v>2930476000</v>
      </c>
      <c r="E63" s="29">
        <v>84240000</v>
      </c>
      <c r="F63" s="29">
        <v>0</v>
      </c>
      <c r="G63" s="29">
        <v>661170062</v>
      </c>
      <c r="H63" s="29">
        <f t="shared" si="3"/>
        <v>2001728</v>
      </c>
      <c r="I63" s="29">
        <v>0</v>
      </c>
      <c r="J63" s="29">
        <v>0</v>
      </c>
      <c r="K63" s="29">
        <v>37729000</v>
      </c>
      <c r="L63" s="29">
        <v>0</v>
      </c>
      <c r="M63" s="29">
        <v>3715616790</v>
      </c>
    </row>
    <row r="64" spans="1:13">
      <c r="A64" s="26">
        <f>'法人一覧(26)'!A64</f>
        <v>61</v>
      </c>
      <c r="B64" s="38" t="str">
        <f>'法人一覧(26)'!B64</f>
        <v>農林水産省</v>
      </c>
      <c r="C64" s="38" t="str">
        <f>'法人一覧(26)'!C64</f>
        <v>国際農林水産業研究センター</v>
      </c>
      <c r="D64" s="29">
        <v>3433061000</v>
      </c>
      <c r="E64" s="29">
        <v>41504080</v>
      </c>
      <c r="F64" s="29">
        <v>118353125</v>
      </c>
      <c r="G64" s="29">
        <v>185658496</v>
      </c>
      <c r="H64" s="29">
        <f t="shared" si="3"/>
        <v>4417871</v>
      </c>
      <c r="I64" s="29">
        <v>0</v>
      </c>
      <c r="J64" s="29">
        <v>0</v>
      </c>
      <c r="K64" s="29">
        <v>45242867</v>
      </c>
      <c r="L64" s="29">
        <v>0</v>
      </c>
      <c r="M64" s="29">
        <v>3828237439</v>
      </c>
    </row>
    <row r="65" spans="1:13">
      <c r="A65" s="26">
        <f>'法人一覧(26)'!A65</f>
        <v>62</v>
      </c>
      <c r="B65" s="38" t="str">
        <f>'法人一覧(26)'!B65</f>
        <v>農林水産省</v>
      </c>
      <c r="C65" s="38" t="str">
        <f>'法人一覧(26)'!C65</f>
        <v>森林総合研究所</v>
      </c>
      <c r="D65" s="52">
        <v>9535454000</v>
      </c>
      <c r="E65" s="52">
        <v>80509629</v>
      </c>
      <c r="F65" s="52">
        <f>157627129+163801466+182509000+20964106218+1290000</f>
        <v>21469333813</v>
      </c>
      <c r="G65" s="52">
        <v>1235964676</v>
      </c>
      <c r="H65" s="52">
        <f t="shared" si="3"/>
        <v>15955917122</v>
      </c>
      <c r="I65" s="52">
        <f>420000000+2200000000+6400000000</f>
        <v>9020000000</v>
      </c>
      <c r="J65" s="52">
        <v>10777000000</v>
      </c>
      <c r="K65" s="52">
        <v>0</v>
      </c>
      <c r="L65" s="52">
        <v>0</v>
      </c>
      <c r="M65" s="52">
        <f>11167597214+17675516597+39231065429</f>
        <v>68074179240</v>
      </c>
    </row>
    <row r="66" spans="1:13">
      <c r="A66" s="26">
        <f>'法人一覧(26)'!A66</f>
        <v>63</v>
      </c>
      <c r="B66" s="38" t="str">
        <f>'法人一覧(26)'!B66</f>
        <v>農林水産省</v>
      </c>
      <c r="C66" s="38" t="str">
        <f>'法人一覧(26)'!C66</f>
        <v>水産総合研究センター</v>
      </c>
      <c r="D66" s="29">
        <v>14866487000</v>
      </c>
      <c r="E66" s="29">
        <v>171252720</v>
      </c>
      <c r="F66" s="29">
        <v>574223155</v>
      </c>
      <c r="G66" s="29">
        <v>3320731054</v>
      </c>
      <c r="H66" s="29">
        <f t="shared" si="3"/>
        <v>1451240114</v>
      </c>
      <c r="I66" s="29">
        <v>0</v>
      </c>
      <c r="J66" s="29">
        <v>0</v>
      </c>
      <c r="K66" s="29">
        <v>1348314736</v>
      </c>
      <c r="L66" s="29">
        <v>0</v>
      </c>
      <c r="M66" s="29">
        <v>21732248779</v>
      </c>
    </row>
    <row r="67" spans="1:13">
      <c r="A67" s="26">
        <f>'法人一覧(26)'!A67</f>
        <v>64</v>
      </c>
      <c r="B67" s="38" t="str">
        <f>'法人一覧(26)'!B67</f>
        <v>農林水産省</v>
      </c>
      <c r="C67" s="38" t="str">
        <f>'法人一覧(26)'!C67</f>
        <v>農畜産業振興機構</v>
      </c>
      <c r="D67" s="29">
        <v>1965000000</v>
      </c>
      <c r="E67" s="29">
        <v>0</v>
      </c>
      <c r="F67" s="29">
        <f>6370000000+105423000000</f>
        <v>111793000000</v>
      </c>
      <c r="G67" s="29">
        <v>0</v>
      </c>
      <c r="H67" s="29">
        <f t="shared" si="3"/>
        <v>165457000000</v>
      </c>
      <c r="I67" s="29">
        <v>19462000000</v>
      </c>
      <c r="J67" s="29">
        <v>0</v>
      </c>
      <c r="K67" s="29">
        <v>0</v>
      </c>
      <c r="L67" s="29">
        <v>0</v>
      </c>
      <c r="M67" s="29">
        <v>298677000000</v>
      </c>
    </row>
    <row r="68" spans="1:13">
      <c r="A68" s="26">
        <f>'法人一覧(26)'!A68</f>
        <v>65</v>
      </c>
      <c r="B68" s="38" t="str">
        <f>'法人一覧(26)'!B68</f>
        <v>農林水産省</v>
      </c>
      <c r="C68" s="38" t="str">
        <f>'法人一覧(26)'!C68</f>
        <v>農業者年金基金</v>
      </c>
      <c r="D68" s="29">
        <v>3467340000</v>
      </c>
      <c r="E68" s="29">
        <v>0</v>
      </c>
      <c r="F68" s="29">
        <f>1008795878+119351228000</f>
        <v>120360023878</v>
      </c>
      <c r="G68" s="29">
        <v>0</v>
      </c>
      <c r="H68" s="29">
        <f t="shared" ref="H68:H99" si="4">M68-SUM(D68:G68,I68:L68)</f>
        <v>14983951545</v>
      </c>
      <c r="I68" s="29">
        <v>77700000000</v>
      </c>
      <c r="J68" s="29">
        <v>0</v>
      </c>
      <c r="K68" s="29">
        <v>0</v>
      </c>
      <c r="L68" s="29">
        <v>0</v>
      </c>
      <c r="M68" s="29">
        <v>216511315423</v>
      </c>
    </row>
    <row r="69" spans="1:13">
      <c r="A69" s="26">
        <f>'法人一覧(26)'!A69</f>
        <v>66</v>
      </c>
      <c r="B69" s="38" t="str">
        <f>'法人一覧(26)'!B69</f>
        <v>農林水産省</v>
      </c>
      <c r="C69" s="38" t="str">
        <f>'法人一覧(26)'!C69</f>
        <v>農林漁業信用基金</v>
      </c>
      <c r="D69" s="29">
        <v>0</v>
      </c>
      <c r="E69" s="29">
        <v>0</v>
      </c>
      <c r="F69" s="29">
        <f>2131496889+16808014</f>
        <v>2148304903</v>
      </c>
      <c r="G69" s="29">
        <v>0</v>
      </c>
      <c r="H69" s="29">
        <f t="shared" si="4"/>
        <v>61604805689</v>
      </c>
      <c r="I69" s="29">
        <v>0</v>
      </c>
      <c r="J69" s="29">
        <v>320000000</v>
      </c>
      <c r="K69" s="29">
        <v>0</v>
      </c>
      <c r="L69" s="29">
        <v>0</v>
      </c>
      <c r="M69" s="29">
        <v>64073110592</v>
      </c>
    </row>
    <row r="70" spans="1:13">
      <c r="A70" s="26">
        <f>'法人一覧(26)'!A70</f>
        <v>67</v>
      </c>
      <c r="B70" s="38" t="str">
        <f>'法人一覧(26)'!B70</f>
        <v>経済産業省</v>
      </c>
      <c r="C70" s="38" t="str">
        <f>'法人一覧(26)'!C70</f>
        <v>経済産業研究所</v>
      </c>
      <c r="D70" s="29">
        <v>1889737109</v>
      </c>
      <c r="E70" s="29">
        <v>0</v>
      </c>
      <c r="F70" s="29">
        <v>4853154</v>
      </c>
      <c r="G70" s="29">
        <v>5324928</v>
      </c>
      <c r="H70" s="29">
        <f t="shared" si="4"/>
        <v>2642273</v>
      </c>
      <c r="I70" s="29">
        <v>0</v>
      </c>
      <c r="J70" s="29">
        <v>0</v>
      </c>
      <c r="K70" s="29">
        <v>0</v>
      </c>
      <c r="L70" s="29">
        <v>0</v>
      </c>
      <c r="M70" s="29">
        <v>1902557464</v>
      </c>
    </row>
    <row r="71" spans="1:13">
      <c r="A71" s="26">
        <f>'法人一覧(26)'!A71</f>
        <v>68</v>
      </c>
      <c r="B71" s="38" t="str">
        <f>'法人一覧(26)'!B71</f>
        <v>経済産業省</v>
      </c>
      <c r="C71" s="38" t="str">
        <f>'法人一覧(26)'!C71</f>
        <v>工業所有権情報・研修館</v>
      </c>
      <c r="D71" s="29">
        <v>9484527000</v>
      </c>
      <c r="E71" s="29">
        <v>0</v>
      </c>
      <c r="F71" s="29">
        <v>0</v>
      </c>
      <c r="G71" s="29">
        <v>0</v>
      </c>
      <c r="H71" s="29">
        <f t="shared" si="4"/>
        <v>100242000</v>
      </c>
      <c r="I71" s="29">
        <v>0</v>
      </c>
      <c r="J71" s="29">
        <v>0</v>
      </c>
      <c r="K71" s="29">
        <v>0</v>
      </c>
      <c r="L71" s="29">
        <v>0</v>
      </c>
      <c r="M71" s="29">
        <v>9584769000</v>
      </c>
    </row>
    <row r="72" spans="1:13">
      <c r="A72" s="26">
        <f>'法人一覧(26)'!A72</f>
        <v>69</v>
      </c>
      <c r="B72" s="38" t="str">
        <f>'法人一覧(26)'!B72</f>
        <v>経済産業省</v>
      </c>
      <c r="C72" s="38" t="str">
        <f>'法人一覧(26)'!C72</f>
        <v>日本貿易保険</v>
      </c>
      <c r="D72" s="29">
        <v>0</v>
      </c>
      <c r="E72" s="29">
        <v>0</v>
      </c>
      <c r="F72" s="29">
        <v>0</v>
      </c>
      <c r="G72" s="29">
        <v>0</v>
      </c>
      <c r="H72" s="29">
        <f t="shared" si="4"/>
        <v>69858000000</v>
      </c>
      <c r="I72" s="29">
        <v>0</v>
      </c>
      <c r="J72" s="29">
        <v>0</v>
      </c>
      <c r="K72" s="29">
        <v>9101000000</v>
      </c>
      <c r="L72" s="29">
        <v>0</v>
      </c>
      <c r="M72" s="29">
        <v>78959000000</v>
      </c>
    </row>
    <row r="73" spans="1:13">
      <c r="A73" s="26">
        <f>'法人一覧(26)'!A73</f>
        <v>70</v>
      </c>
      <c r="B73" s="38" t="str">
        <f>'法人一覧(26)'!B73</f>
        <v>経済産業省</v>
      </c>
      <c r="C73" s="38" t="str">
        <f>'法人一覧(26)'!C73</f>
        <v>産業技術総合研究所</v>
      </c>
      <c r="D73" s="29">
        <v>62440754000</v>
      </c>
      <c r="E73" s="29">
        <v>33489955765</v>
      </c>
      <c r="F73" s="29">
        <v>0</v>
      </c>
      <c r="G73" s="29">
        <v>16377488023</v>
      </c>
      <c r="H73" s="29">
        <f t="shared" si="4"/>
        <v>8925337140</v>
      </c>
      <c r="I73" s="29">
        <v>0</v>
      </c>
      <c r="J73" s="29">
        <v>0</v>
      </c>
      <c r="K73" s="29">
        <v>0</v>
      </c>
      <c r="L73" s="29">
        <v>0</v>
      </c>
      <c r="M73" s="29">
        <v>121233534928</v>
      </c>
    </row>
    <row r="74" spans="1:13">
      <c r="A74" s="26">
        <f>'法人一覧(26)'!A74</f>
        <v>71</v>
      </c>
      <c r="B74" s="38" t="str">
        <f>'法人一覧(26)'!B74</f>
        <v>経済産業省</v>
      </c>
      <c r="C74" s="38" t="str">
        <f>'法人一覧(26)'!C74</f>
        <v>製品評価技術基盤機構</v>
      </c>
      <c r="D74" s="29">
        <v>6755878000</v>
      </c>
      <c r="E74" s="29">
        <v>8829331748</v>
      </c>
      <c r="F74" s="29">
        <v>0</v>
      </c>
      <c r="G74" s="29">
        <v>341021306</v>
      </c>
      <c r="H74" s="29">
        <f t="shared" si="4"/>
        <v>298611345</v>
      </c>
      <c r="I74" s="29">
        <v>0</v>
      </c>
      <c r="J74" s="29">
        <v>0</v>
      </c>
      <c r="K74" s="29">
        <v>0</v>
      </c>
      <c r="L74" s="29">
        <v>0</v>
      </c>
      <c r="M74" s="29">
        <v>16224842399</v>
      </c>
    </row>
    <row r="75" spans="1:13">
      <c r="A75" s="26">
        <f>'法人一覧(26)'!A75</f>
        <v>72</v>
      </c>
      <c r="B75" s="38" t="str">
        <f>'法人一覧(26)'!B75</f>
        <v>経済産業省</v>
      </c>
      <c r="C75" s="38" t="str">
        <f>'法人一覧(26)'!C75</f>
        <v>新エネルギー・産業技術総合開発機構</v>
      </c>
      <c r="D75" s="52">
        <v>159414644000</v>
      </c>
      <c r="E75" s="29">
        <v>0</v>
      </c>
      <c r="F75" s="29">
        <v>0</v>
      </c>
      <c r="G75" s="52">
        <v>55791552</v>
      </c>
      <c r="H75" s="52">
        <f t="shared" si="4"/>
        <v>5515532031</v>
      </c>
      <c r="I75" s="29">
        <v>0</v>
      </c>
      <c r="J75" s="29">
        <v>0</v>
      </c>
      <c r="K75" s="29">
        <v>0</v>
      </c>
      <c r="L75" s="29">
        <v>0</v>
      </c>
      <c r="M75" s="52">
        <v>164985967583</v>
      </c>
    </row>
    <row r="76" spans="1:13">
      <c r="A76" s="26">
        <f>'法人一覧(26)'!A76</f>
        <v>73</v>
      </c>
      <c r="B76" s="38" t="str">
        <f>'法人一覧(26)'!B76</f>
        <v>経済産業省</v>
      </c>
      <c r="C76" s="38" t="str">
        <f>'法人一覧(26)'!C76</f>
        <v>日本貿易振興機構</v>
      </c>
      <c r="D76" s="52">
        <v>21860138000</v>
      </c>
      <c r="E76" s="29">
        <v>0</v>
      </c>
      <c r="F76" s="52">
        <v>3546205251</v>
      </c>
      <c r="G76" s="52">
        <v>3954689764</v>
      </c>
      <c r="H76" s="52">
        <f t="shared" si="4"/>
        <v>3101607039</v>
      </c>
      <c r="I76" s="29">
        <v>0</v>
      </c>
      <c r="J76" s="29">
        <v>0</v>
      </c>
      <c r="K76" s="29">
        <v>0</v>
      </c>
      <c r="L76" s="29">
        <v>0</v>
      </c>
      <c r="M76" s="52">
        <v>32462640054</v>
      </c>
    </row>
    <row r="77" spans="1:13">
      <c r="A77" s="26">
        <f>'法人一覧(26)'!A77</f>
        <v>74</v>
      </c>
      <c r="B77" s="38" t="str">
        <f>'法人一覧(26)'!B77</f>
        <v>経済産業省</v>
      </c>
      <c r="C77" s="38" t="str">
        <f>'法人一覧(26)'!C77</f>
        <v>情報処理推進機構</v>
      </c>
      <c r="D77" s="52">
        <v>3742834000</v>
      </c>
      <c r="E77" s="29">
        <v>0</v>
      </c>
      <c r="F77" s="52">
        <v>290495127</v>
      </c>
      <c r="G77" s="52">
        <v>18517741</v>
      </c>
      <c r="H77" s="52">
        <f t="shared" si="4"/>
        <v>2534142859</v>
      </c>
      <c r="I77" s="29">
        <v>0</v>
      </c>
      <c r="J77" s="29">
        <v>0</v>
      </c>
      <c r="K77" s="29">
        <v>0</v>
      </c>
      <c r="L77" s="29">
        <v>0</v>
      </c>
      <c r="M77" s="52">
        <v>6585989727</v>
      </c>
    </row>
    <row r="78" spans="1:13">
      <c r="A78" s="26">
        <f>'法人一覧(26)'!A78</f>
        <v>75</v>
      </c>
      <c r="B78" s="38" t="str">
        <f>'法人一覧(26)'!B78</f>
        <v>経済産業省</v>
      </c>
      <c r="C78" s="38" t="str">
        <f>'法人一覧(26)'!C78</f>
        <v>石油天然ガス・金属鉱物資源機構</v>
      </c>
      <c r="D78" s="29">
        <v>20057324000</v>
      </c>
      <c r="E78" s="29">
        <v>0</v>
      </c>
      <c r="F78" s="29">
        <v>7070126598</v>
      </c>
      <c r="G78" s="29">
        <v>87289506260</v>
      </c>
      <c r="H78" s="29">
        <f t="shared" si="4"/>
        <v>834866045621</v>
      </c>
      <c r="I78" s="29">
        <v>861814493807</v>
      </c>
      <c r="J78" s="29">
        <v>59190000000</v>
      </c>
      <c r="K78" s="29">
        <v>0</v>
      </c>
      <c r="L78" s="29">
        <v>0</v>
      </c>
      <c r="M78" s="29">
        <v>1870287496286</v>
      </c>
    </row>
    <row r="79" spans="1:13">
      <c r="A79" s="26">
        <f>'法人一覧(26)'!A79</f>
        <v>76</v>
      </c>
      <c r="B79" s="38" t="str">
        <f>'法人一覧(26)'!B79</f>
        <v>経済産業省</v>
      </c>
      <c r="C79" s="38" t="str">
        <f>'法人一覧(26)'!C79</f>
        <v>中小企業基盤整備機構</v>
      </c>
      <c r="D79" s="29">
        <f>15313555000+4234339000+1535516000</f>
        <v>21083410000</v>
      </c>
      <c r="E79" s="29">
        <v>0</v>
      </c>
      <c r="F79" s="29">
        <v>1248486039</v>
      </c>
      <c r="G79" s="29">
        <v>108230438</v>
      </c>
      <c r="H79" s="29">
        <f t="shared" si="4"/>
        <v>1658955615187</v>
      </c>
      <c r="I79" s="29">
        <v>188979000</v>
      </c>
      <c r="J79" s="29">
        <v>0</v>
      </c>
      <c r="K79" s="29">
        <v>0</v>
      </c>
      <c r="L79" s="29">
        <v>0</v>
      </c>
      <c r="M79" s="29">
        <f>60909100497+449705673+1862083870+1355334940293+262982159430+46730901</f>
        <v>1681584720664</v>
      </c>
    </row>
    <row r="80" spans="1:13">
      <c r="A80" s="26">
        <f>'法人一覧(26)'!A80</f>
        <v>77</v>
      </c>
      <c r="B80" s="38" t="str">
        <f>'法人一覧(26)'!B80</f>
        <v>国土交通省</v>
      </c>
      <c r="C80" s="38" t="str">
        <f>'法人一覧(26)'!C80</f>
        <v>土木研究所</v>
      </c>
      <c r="D80" s="52">
        <v>8465471000</v>
      </c>
      <c r="E80" s="52">
        <v>1251372000</v>
      </c>
      <c r="F80" s="52">
        <v>0</v>
      </c>
      <c r="G80" s="52">
        <v>380862000</v>
      </c>
      <c r="H80" s="52">
        <f t="shared" si="4"/>
        <v>150476000</v>
      </c>
      <c r="I80" s="52">
        <v>0</v>
      </c>
      <c r="J80" s="52">
        <v>0</v>
      </c>
      <c r="K80" s="52">
        <v>0</v>
      </c>
      <c r="L80" s="52">
        <v>0</v>
      </c>
      <c r="M80" s="52">
        <v>10248181000</v>
      </c>
    </row>
    <row r="81" spans="1:13">
      <c r="A81" s="26">
        <f>'法人一覧(26)'!A81</f>
        <v>78</v>
      </c>
      <c r="B81" s="38" t="str">
        <f>'法人一覧(26)'!B81</f>
        <v>国土交通省</v>
      </c>
      <c r="C81" s="38" t="str">
        <f>'法人一覧(26)'!C81</f>
        <v>建築研究所</v>
      </c>
      <c r="D81" s="52">
        <v>1744505000</v>
      </c>
      <c r="E81" s="52">
        <v>226822626</v>
      </c>
      <c r="F81" s="52">
        <v>0</v>
      </c>
      <c r="G81" s="52">
        <v>78362818</v>
      </c>
      <c r="H81" s="52">
        <f t="shared" si="4"/>
        <v>66812369</v>
      </c>
      <c r="I81" s="52">
        <v>0</v>
      </c>
      <c r="J81" s="52">
        <v>0</v>
      </c>
      <c r="K81" s="52">
        <v>0</v>
      </c>
      <c r="L81" s="52">
        <v>0</v>
      </c>
      <c r="M81" s="52">
        <v>2116502813</v>
      </c>
    </row>
    <row r="82" spans="1:13">
      <c r="A82" s="26">
        <f>'法人一覧(26)'!A82</f>
        <v>79</v>
      </c>
      <c r="B82" s="38" t="str">
        <f>'法人一覧(26)'!B82</f>
        <v>国土交通省</v>
      </c>
      <c r="C82" s="38" t="str">
        <f>'法人一覧(26)'!C82</f>
        <v>交通安全環境研究所</v>
      </c>
      <c r="D82" s="52">
        <v>1699134000</v>
      </c>
      <c r="E82" s="52">
        <v>312740380</v>
      </c>
      <c r="F82" s="52">
        <v>0</v>
      </c>
      <c r="G82" s="52">
        <v>810424728</v>
      </c>
      <c r="H82" s="52">
        <f t="shared" si="4"/>
        <v>49489220</v>
      </c>
      <c r="I82" s="52">
        <v>0</v>
      </c>
      <c r="J82" s="52">
        <v>0</v>
      </c>
      <c r="K82" s="52">
        <v>0</v>
      </c>
      <c r="L82" s="52">
        <v>0</v>
      </c>
      <c r="M82" s="52">
        <v>2871788328</v>
      </c>
    </row>
    <row r="83" spans="1:13">
      <c r="A83" s="26">
        <f>'法人一覧(26)'!A83</f>
        <v>80</v>
      </c>
      <c r="B83" s="38" t="str">
        <f>'法人一覧(26)'!B83</f>
        <v>国土交通省</v>
      </c>
      <c r="C83" s="38" t="str">
        <f>'法人一覧(26)'!C83</f>
        <v>海上技術安全研究所</v>
      </c>
      <c r="D83" s="52">
        <v>2622826000</v>
      </c>
      <c r="E83" s="52">
        <v>354044657</v>
      </c>
      <c r="F83" s="52">
        <v>0</v>
      </c>
      <c r="G83" s="52">
        <v>1986530574</v>
      </c>
      <c r="H83" s="52">
        <f t="shared" si="4"/>
        <v>484821508</v>
      </c>
      <c r="I83" s="52">
        <v>0</v>
      </c>
      <c r="J83" s="52">
        <v>0</v>
      </c>
      <c r="K83" s="52">
        <v>0</v>
      </c>
      <c r="L83" s="52">
        <v>0</v>
      </c>
      <c r="M83" s="52">
        <v>5448222739</v>
      </c>
    </row>
    <row r="84" spans="1:13">
      <c r="A84" s="26">
        <f>'法人一覧(26)'!A84</f>
        <v>81</v>
      </c>
      <c r="B84" s="38" t="str">
        <f>'法人一覧(26)'!B84</f>
        <v>国土交通省</v>
      </c>
      <c r="C84" s="38" t="str">
        <f>'法人一覧(26)'!C84</f>
        <v>港湾空港技術研究所</v>
      </c>
      <c r="D84" s="52">
        <v>1218464000</v>
      </c>
      <c r="E84" s="52">
        <v>159690000</v>
      </c>
      <c r="F84" s="52">
        <v>0</v>
      </c>
      <c r="G84" s="52">
        <v>1714150778</v>
      </c>
      <c r="H84" s="52">
        <f t="shared" si="4"/>
        <v>94241444</v>
      </c>
      <c r="I84" s="52">
        <v>0</v>
      </c>
      <c r="J84" s="52">
        <v>0</v>
      </c>
      <c r="K84" s="52">
        <v>160057000</v>
      </c>
      <c r="L84" s="52">
        <v>0</v>
      </c>
      <c r="M84" s="52">
        <v>3346603222</v>
      </c>
    </row>
    <row r="85" spans="1:13">
      <c r="A85" s="26">
        <f>'法人一覧(26)'!A85</f>
        <v>82</v>
      </c>
      <c r="B85" s="38" t="str">
        <f>'法人一覧(26)'!B85</f>
        <v>国土交通省</v>
      </c>
      <c r="C85" s="38" t="str">
        <f>'法人一覧(26)'!C85</f>
        <v>電子航法研究所</v>
      </c>
      <c r="D85" s="52">
        <v>1530174000</v>
      </c>
      <c r="E85" s="52">
        <v>21891336</v>
      </c>
      <c r="F85" s="52">
        <v>0</v>
      </c>
      <c r="G85" s="52">
        <v>127687983</v>
      </c>
      <c r="H85" s="52">
        <f t="shared" si="4"/>
        <v>3220920</v>
      </c>
      <c r="I85" s="52">
        <v>0</v>
      </c>
      <c r="J85" s="52">
        <v>0</v>
      </c>
      <c r="K85" s="52">
        <v>0</v>
      </c>
      <c r="L85" s="52">
        <v>0</v>
      </c>
      <c r="M85" s="52">
        <v>1682974239</v>
      </c>
    </row>
    <row r="86" spans="1:13">
      <c r="A86" s="26">
        <f>'法人一覧(26)'!A86</f>
        <v>83</v>
      </c>
      <c r="B86" s="38" t="str">
        <f>'法人一覧(26)'!B86</f>
        <v>国土交通省</v>
      </c>
      <c r="C86" s="38" t="str">
        <f>'法人一覧(26)'!C86</f>
        <v>航海訓練所</v>
      </c>
      <c r="D86" s="52">
        <v>5680357000</v>
      </c>
      <c r="E86" s="52">
        <v>46285560</v>
      </c>
      <c r="F86" s="52">
        <v>0</v>
      </c>
      <c r="G86" s="52">
        <v>167378</v>
      </c>
      <c r="H86" s="52">
        <f t="shared" si="4"/>
        <v>444527593</v>
      </c>
      <c r="I86" s="52">
        <v>0</v>
      </c>
      <c r="J86" s="52">
        <v>0</v>
      </c>
      <c r="K86" s="52">
        <v>0</v>
      </c>
      <c r="L86" s="52">
        <v>0</v>
      </c>
      <c r="M86" s="52">
        <v>6171337531</v>
      </c>
    </row>
    <row r="87" spans="1:13">
      <c r="A87" s="26">
        <f>'法人一覧(26)'!A87</f>
        <v>84</v>
      </c>
      <c r="B87" s="38" t="str">
        <f>'法人一覧(26)'!B87</f>
        <v>国土交通省</v>
      </c>
      <c r="C87" s="38" t="str">
        <f>'法人一覧(26)'!C87</f>
        <v>海技教育機構</v>
      </c>
      <c r="D87" s="52">
        <v>2384974000</v>
      </c>
      <c r="E87" s="52">
        <v>0</v>
      </c>
      <c r="F87" s="52">
        <v>0</v>
      </c>
      <c r="G87" s="52">
        <v>30391335</v>
      </c>
      <c r="H87" s="52">
        <f t="shared" si="4"/>
        <v>263726402</v>
      </c>
      <c r="I87" s="52">
        <v>0</v>
      </c>
      <c r="J87" s="52">
        <v>0</v>
      </c>
      <c r="K87" s="52">
        <v>0</v>
      </c>
      <c r="L87" s="52">
        <v>0</v>
      </c>
      <c r="M87" s="52">
        <v>2679091737</v>
      </c>
    </row>
    <row r="88" spans="1:13">
      <c r="A88" s="26">
        <f>'法人一覧(26)'!A88</f>
        <v>85</v>
      </c>
      <c r="B88" s="38" t="str">
        <f>'法人一覧(26)'!B88</f>
        <v>国土交通省</v>
      </c>
      <c r="C88" s="38" t="str">
        <f>'法人一覧(26)'!C88</f>
        <v>航空大学校</v>
      </c>
      <c r="D88" s="29">
        <v>2113353000</v>
      </c>
      <c r="E88" s="29">
        <v>118378148</v>
      </c>
      <c r="F88" s="29">
        <v>0</v>
      </c>
      <c r="G88" s="29">
        <v>0</v>
      </c>
      <c r="H88" s="29">
        <f t="shared" si="4"/>
        <v>984667988</v>
      </c>
      <c r="I88" s="29">
        <v>0</v>
      </c>
      <c r="J88" s="29">
        <v>0</v>
      </c>
      <c r="K88" s="29">
        <v>0</v>
      </c>
      <c r="L88" s="29">
        <v>0</v>
      </c>
      <c r="M88" s="29">
        <v>3216399136</v>
      </c>
    </row>
    <row r="89" spans="1:13">
      <c r="A89" s="26">
        <f>'法人一覧(26)'!A89</f>
        <v>86</v>
      </c>
      <c r="B89" s="38" t="str">
        <f>'法人一覧(26)'!B89</f>
        <v>国土交通省</v>
      </c>
      <c r="C89" s="38" t="str">
        <f>'法人一覧(26)'!C89</f>
        <v>自動車検査</v>
      </c>
      <c r="D89" s="52">
        <v>828378000</v>
      </c>
      <c r="E89" s="52">
        <v>2385077196</v>
      </c>
      <c r="F89" s="52">
        <v>0</v>
      </c>
      <c r="G89" s="52">
        <v>0</v>
      </c>
      <c r="H89" s="52">
        <f t="shared" si="4"/>
        <v>8910718130</v>
      </c>
      <c r="I89" s="52">
        <v>0</v>
      </c>
      <c r="J89" s="52">
        <v>0</v>
      </c>
      <c r="K89" s="52">
        <v>0</v>
      </c>
      <c r="L89" s="52">
        <v>0</v>
      </c>
      <c r="M89" s="52">
        <v>12124173326</v>
      </c>
    </row>
    <row r="90" spans="1:13">
      <c r="A90" s="26">
        <f>'法人一覧(26)'!A90</f>
        <v>87</v>
      </c>
      <c r="B90" s="38" t="str">
        <f>'法人一覧(26)'!B90</f>
        <v>国土交通省</v>
      </c>
      <c r="C90" s="38" t="str">
        <f>'法人一覧(26)'!C90</f>
        <v>鉄道建設・運輸施設整備支援機構</v>
      </c>
      <c r="D90" s="52">
        <v>233634000</v>
      </c>
      <c r="E90" s="69" t="s">
        <v>311</v>
      </c>
      <c r="F90" s="52">
        <f>95834009557+5970549945+202000000</f>
        <v>102006559502</v>
      </c>
      <c r="G90" s="52">
        <v>10939077881</v>
      </c>
      <c r="H90" s="52">
        <f t="shared" si="4"/>
        <v>796320925590</v>
      </c>
      <c r="I90" s="52">
        <f>41800000000+241073000000+201000000000</f>
        <v>483873000000</v>
      </c>
      <c r="J90" s="52">
        <v>0</v>
      </c>
      <c r="K90" s="52">
        <v>0</v>
      </c>
      <c r="L90" s="52">
        <v>0</v>
      </c>
      <c r="M90" s="52">
        <v>1393373196973</v>
      </c>
    </row>
    <row r="91" spans="1:13">
      <c r="A91" s="26">
        <f>'法人一覧(26)'!A91</f>
        <v>88</v>
      </c>
      <c r="B91" s="38" t="str">
        <f>'法人一覧(26)'!B91</f>
        <v>国土交通省</v>
      </c>
      <c r="C91" s="38" t="str">
        <f>'法人一覧(26)'!C91</f>
        <v>国際観光振興機構</v>
      </c>
      <c r="D91" s="52">
        <f>SUM(5628373000)</f>
        <v>5628373000</v>
      </c>
      <c r="E91" s="52">
        <v>0</v>
      </c>
      <c r="F91" s="52">
        <v>0</v>
      </c>
      <c r="G91" s="52">
        <v>0</v>
      </c>
      <c r="H91" s="52">
        <f t="shared" si="4"/>
        <v>636855621</v>
      </c>
      <c r="I91" s="52">
        <v>0</v>
      </c>
      <c r="J91" s="52">
        <v>0</v>
      </c>
      <c r="K91" s="52">
        <v>0</v>
      </c>
      <c r="L91" s="52">
        <v>0</v>
      </c>
      <c r="M91" s="52">
        <f>SUM(6186104513,79124108)</f>
        <v>6265228621</v>
      </c>
    </row>
    <row r="92" spans="1:13">
      <c r="A92" s="26">
        <f>'法人一覧(26)'!A92</f>
        <v>89</v>
      </c>
      <c r="B92" s="38" t="str">
        <f>'法人一覧(26)'!B92</f>
        <v>国土交通省</v>
      </c>
      <c r="C92" s="38" t="str">
        <f>'法人一覧(26)'!C92</f>
        <v>水資源機構</v>
      </c>
      <c r="D92" s="69" t="s">
        <v>311</v>
      </c>
      <c r="E92" s="69" t="s">
        <v>311</v>
      </c>
      <c r="F92" s="52">
        <f>25323464431+13365039863</f>
        <v>38688504294</v>
      </c>
      <c r="G92" s="52">
        <v>645026926</v>
      </c>
      <c r="H92" s="52">
        <f t="shared" si="4"/>
        <v>100717256597</v>
      </c>
      <c r="I92" s="52">
        <f>10800000000+6000000000</f>
        <v>16800000000</v>
      </c>
      <c r="J92" s="52">
        <v>0</v>
      </c>
      <c r="K92" s="52">
        <v>0</v>
      </c>
      <c r="L92" s="52">
        <v>0</v>
      </c>
      <c r="M92" s="52">
        <v>156850787817</v>
      </c>
    </row>
    <row r="93" spans="1:13">
      <c r="A93" s="26">
        <f>'法人一覧(26)'!A93</f>
        <v>90</v>
      </c>
      <c r="B93" s="38" t="str">
        <f>'法人一覧(26)'!B93</f>
        <v>国土交通省</v>
      </c>
      <c r="C93" s="38" t="str">
        <f>'法人一覧(26)'!C93</f>
        <v>自動車事故対策機構</v>
      </c>
      <c r="D93" s="52">
        <v>6892911000</v>
      </c>
      <c r="E93" s="52">
        <v>316461600</v>
      </c>
      <c r="F93" s="52">
        <v>3091130190</v>
      </c>
      <c r="G93" s="52">
        <v>0</v>
      </c>
      <c r="H93" s="52">
        <f t="shared" si="4"/>
        <v>3068122234</v>
      </c>
      <c r="I93" s="52">
        <v>0</v>
      </c>
      <c r="J93" s="52">
        <v>0</v>
      </c>
      <c r="K93" s="52">
        <v>0</v>
      </c>
      <c r="L93" s="52">
        <v>0</v>
      </c>
      <c r="M93" s="52">
        <v>13368625024</v>
      </c>
    </row>
    <row r="94" spans="1:13">
      <c r="A94" s="26">
        <f>'法人一覧(26)'!A94</f>
        <v>91</v>
      </c>
      <c r="B94" s="38" t="str">
        <f>'法人一覧(26)'!B94</f>
        <v>国土交通省</v>
      </c>
      <c r="C94" s="38" t="str">
        <f>'法人一覧(26)'!C94</f>
        <v>空港周辺整備機構</v>
      </c>
      <c r="D94" s="69" t="s">
        <v>311</v>
      </c>
      <c r="E94" s="69" t="s">
        <v>311</v>
      </c>
      <c r="F94" s="52">
        <v>130759310</v>
      </c>
      <c r="G94" s="52">
        <v>710023332</v>
      </c>
      <c r="H94" s="52">
        <f t="shared" si="4"/>
        <v>648410822</v>
      </c>
      <c r="I94" s="69" t="s">
        <v>311</v>
      </c>
      <c r="J94" s="69" t="s">
        <v>311</v>
      </c>
      <c r="K94" s="69" t="s">
        <v>311</v>
      </c>
      <c r="L94" s="69" t="s">
        <v>311</v>
      </c>
      <c r="M94" s="52">
        <v>1489193464</v>
      </c>
    </row>
    <row r="95" spans="1:13">
      <c r="A95" s="26">
        <f>'法人一覧(26)'!A95</f>
        <v>92</v>
      </c>
      <c r="B95" s="38" t="str">
        <f>'法人一覧(26)'!B95</f>
        <v>国土交通省</v>
      </c>
      <c r="C95" s="38" t="str">
        <f>'法人一覧(26)'!C95</f>
        <v>都市再生機構</v>
      </c>
      <c r="D95" s="52">
        <v>0</v>
      </c>
      <c r="E95" s="52">
        <v>0</v>
      </c>
      <c r="F95" s="52">
        <v>33957712400</v>
      </c>
      <c r="G95" s="52">
        <v>91162163207</v>
      </c>
      <c r="H95" s="52">
        <f t="shared" si="4"/>
        <v>1134141688709</v>
      </c>
      <c r="I95" s="52">
        <v>652332000000</v>
      </c>
      <c r="J95" s="52">
        <v>0</v>
      </c>
      <c r="K95" s="52">
        <v>0</v>
      </c>
      <c r="L95" s="52">
        <v>0</v>
      </c>
      <c r="M95" s="52">
        <v>1911593564316</v>
      </c>
    </row>
    <row r="96" spans="1:13">
      <c r="A96" s="26">
        <f>'法人一覧(26)'!A96</f>
        <v>93</v>
      </c>
      <c r="B96" s="38" t="str">
        <f>'法人一覧(26)'!B96</f>
        <v>国土交通省</v>
      </c>
      <c r="C96" s="38" t="str">
        <f>'法人一覧(26)'!C96</f>
        <v>奄美群島振興開発基金</v>
      </c>
      <c r="D96" s="29">
        <v>0</v>
      </c>
      <c r="E96" s="29">
        <v>0</v>
      </c>
      <c r="F96" s="29">
        <v>0</v>
      </c>
      <c r="G96" s="29">
        <v>0</v>
      </c>
      <c r="H96" s="29">
        <f t="shared" si="4"/>
        <v>1835883299</v>
      </c>
      <c r="I96" s="29">
        <v>0</v>
      </c>
      <c r="J96" s="29">
        <v>334000000</v>
      </c>
      <c r="K96" s="29">
        <v>0</v>
      </c>
      <c r="L96" s="29">
        <v>0</v>
      </c>
      <c r="M96" s="29">
        <v>2169883299</v>
      </c>
    </row>
    <row r="97" spans="1:13">
      <c r="A97" s="26">
        <f>'法人一覧(26)'!A97</f>
        <v>94</v>
      </c>
      <c r="B97" s="38" t="str">
        <f>'法人一覧(26)'!B97</f>
        <v>国土交通省</v>
      </c>
      <c r="C97" s="38" t="str">
        <f>'法人一覧(26)'!C97</f>
        <v>日本高速道路保有・債務返済機構</v>
      </c>
      <c r="D97" s="69" t="s">
        <v>311</v>
      </c>
      <c r="E97" s="69" t="s">
        <v>311</v>
      </c>
      <c r="F97" s="52">
        <v>50762068394</v>
      </c>
      <c r="G97" s="69" t="s">
        <v>311</v>
      </c>
      <c r="H97" s="52">
        <f t="shared" si="4"/>
        <v>2068614243460</v>
      </c>
      <c r="I97" s="52">
        <v>2475000000000</v>
      </c>
      <c r="J97" s="52">
        <v>42425000000</v>
      </c>
      <c r="K97" s="52">
        <v>0</v>
      </c>
      <c r="L97" s="52">
        <v>0</v>
      </c>
      <c r="M97" s="52">
        <v>4636801311854</v>
      </c>
    </row>
    <row r="98" spans="1:13">
      <c r="A98" s="26">
        <f>'法人一覧(26)'!A98</f>
        <v>95</v>
      </c>
      <c r="B98" s="38" t="str">
        <f>'法人一覧(26)'!B98</f>
        <v>国土交通省</v>
      </c>
      <c r="C98" s="38" t="str">
        <f>'法人一覧(26)'!C98</f>
        <v>住宅金融支援機構</v>
      </c>
      <c r="D98" s="29">
        <v>0</v>
      </c>
      <c r="E98" s="29">
        <v>0</v>
      </c>
      <c r="F98" s="29">
        <v>130869000000</v>
      </c>
      <c r="G98" s="29">
        <v>0</v>
      </c>
      <c r="H98" s="29">
        <f t="shared" si="4"/>
        <v>4657044695967</v>
      </c>
      <c r="I98" s="29">
        <f>49500000000+88200000000+1401815500000+26134370000+13247000000</f>
        <v>1578896870000</v>
      </c>
      <c r="J98" s="29">
        <v>6689000000</v>
      </c>
      <c r="K98" s="29">
        <v>0</v>
      </c>
      <c r="L98" s="29">
        <v>0</v>
      </c>
      <c r="M98" s="29">
        <v>6373499565967</v>
      </c>
    </row>
    <row r="99" spans="1:13">
      <c r="A99" s="26">
        <f>'法人一覧(26)'!A99</f>
        <v>96</v>
      </c>
      <c r="B99" s="38" t="str">
        <f>'法人一覧(26)'!B99</f>
        <v>環境省</v>
      </c>
      <c r="C99" s="38" t="str">
        <f>'法人一覧(26)'!C99</f>
        <v>国立環境研究所</v>
      </c>
      <c r="D99" s="29">
        <v>14027766000</v>
      </c>
      <c r="E99" s="29">
        <v>1699678078</v>
      </c>
      <c r="F99" s="29">
        <v>0</v>
      </c>
      <c r="G99" s="29">
        <v>0</v>
      </c>
      <c r="H99" s="29">
        <f t="shared" si="4"/>
        <v>3741023842</v>
      </c>
      <c r="I99" s="29">
        <v>0</v>
      </c>
      <c r="J99" s="29">
        <v>0</v>
      </c>
      <c r="K99" s="29">
        <v>0</v>
      </c>
      <c r="L99" s="29">
        <v>0</v>
      </c>
      <c r="M99" s="29">
        <v>19468467920</v>
      </c>
    </row>
    <row r="100" spans="1:13">
      <c r="A100" s="26">
        <f>'法人一覧(26)'!A100</f>
        <v>97</v>
      </c>
      <c r="B100" s="38" t="str">
        <f>'法人一覧(26)'!B100</f>
        <v>環境省</v>
      </c>
      <c r="C100" s="38" t="str">
        <f>'法人一覧(26)'!C100</f>
        <v>環境再生保全機構</v>
      </c>
      <c r="D100" s="29">
        <v>1688691000</v>
      </c>
      <c r="E100" s="29">
        <v>0</v>
      </c>
      <c r="F100" s="29">
        <f>939684000+12303167733+676071000</f>
        <v>13918922733</v>
      </c>
      <c r="G100" s="29">
        <v>4842868</v>
      </c>
      <c r="H100" s="29">
        <f>M100-SUM(D100:G100,I100:L100)</f>
        <v>46936183376</v>
      </c>
      <c r="I100" s="29">
        <v>0</v>
      </c>
      <c r="J100" s="29">
        <v>0</v>
      </c>
      <c r="K100" s="29">
        <v>0</v>
      </c>
      <c r="L100" s="29">
        <v>0</v>
      </c>
      <c r="M100" s="29">
        <v>62548639977</v>
      </c>
    </row>
    <row r="101" spans="1:13" ht="13.8" thickBot="1">
      <c r="A101" s="116">
        <f>'法人一覧(26)'!A101</f>
        <v>98</v>
      </c>
      <c r="B101" s="117" t="str">
        <f>'法人一覧(26)'!B101</f>
        <v>防衛省</v>
      </c>
      <c r="C101" s="117" t="str">
        <f>'法人一覧(26)'!C101</f>
        <v>駐留軍等労働者労務管理機構</v>
      </c>
      <c r="D101" s="118">
        <v>3289746000</v>
      </c>
      <c r="E101" s="118">
        <v>0</v>
      </c>
      <c r="F101" s="118">
        <v>0</v>
      </c>
      <c r="G101" s="118">
        <v>0</v>
      </c>
      <c r="H101" s="118">
        <f t="shared" ref="H101" si="5">M101-SUM(D101:G101,I101:L101)</f>
        <v>1398015</v>
      </c>
      <c r="I101" s="118">
        <v>0</v>
      </c>
      <c r="J101" s="118">
        <v>0</v>
      </c>
      <c r="K101" s="118">
        <v>0</v>
      </c>
      <c r="L101" s="118">
        <v>0</v>
      </c>
      <c r="M101" s="118">
        <v>3291144015</v>
      </c>
    </row>
    <row r="102" spans="1:13" s="37" customFormat="1" ht="19.2" customHeight="1" thickTop="1">
      <c r="A102" s="194" t="s">
        <v>584</v>
      </c>
      <c r="B102" s="187"/>
      <c r="C102" s="170"/>
      <c r="D102" s="115">
        <f t="shared" ref="D102:L102" si="6">SUM(D4:D101)</f>
        <v>1506300470083</v>
      </c>
      <c r="E102" s="115">
        <f t="shared" si="6"/>
        <v>122088474882</v>
      </c>
      <c r="F102" s="115">
        <f t="shared" si="6"/>
        <v>1221530849091</v>
      </c>
      <c r="G102" s="115">
        <f t="shared" si="6"/>
        <v>342362229453</v>
      </c>
      <c r="H102" s="115">
        <f t="shared" si="6"/>
        <v>80045601806899</v>
      </c>
      <c r="I102" s="115">
        <f t="shared" si="6"/>
        <v>7705931622807</v>
      </c>
      <c r="J102" s="115">
        <f t="shared" si="6"/>
        <v>133014669769</v>
      </c>
      <c r="K102" s="115">
        <f t="shared" si="6"/>
        <v>172231717284</v>
      </c>
      <c r="L102" s="115">
        <f t="shared" si="6"/>
        <v>5560950</v>
      </c>
      <c r="M102" s="115">
        <f>SUM(M4:M101)</f>
        <v>91249067401218</v>
      </c>
    </row>
    <row r="104" spans="1:13" ht="13.2" customHeight="1">
      <c r="B104" s="45" t="s">
        <v>590</v>
      </c>
      <c r="C104" s="45"/>
      <c r="D104" s="45"/>
      <c r="E104" s="45"/>
      <c r="F104" s="45"/>
      <c r="G104" s="45"/>
      <c r="H104" s="45"/>
      <c r="I104" s="45"/>
      <c r="J104" s="45"/>
    </row>
    <row r="105" spans="1:13">
      <c r="B105" s="45" t="s">
        <v>666</v>
      </c>
      <c r="C105" s="45"/>
      <c r="D105" s="45"/>
      <c r="E105" s="45"/>
      <c r="F105" s="45"/>
      <c r="G105" s="45"/>
      <c r="H105" s="45"/>
      <c r="I105" s="45"/>
      <c r="J105" s="45"/>
    </row>
    <row r="106" spans="1:13">
      <c r="B106" s="45"/>
      <c r="C106" s="45"/>
      <c r="D106" s="45"/>
      <c r="E106" s="45"/>
      <c r="F106" s="45"/>
      <c r="G106" s="45"/>
      <c r="H106" s="45"/>
      <c r="I106" s="45"/>
      <c r="J106" s="45"/>
    </row>
    <row r="107" spans="1:13">
      <c r="B107" s="45"/>
      <c r="C107" s="45"/>
      <c r="D107" s="45"/>
      <c r="E107" s="45"/>
      <c r="F107" s="45"/>
      <c r="G107" s="45"/>
      <c r="H107" s="45"/>
      <c r="I107" s="45"/>
      <c r="J107" s="45"/>
    </row>
    <row r="108" spans="1:13">
      <c r="B108" s="45"/>
      <c r="C108" s="45"/>
      <c r="D108" s="45"/>
      <c r="E108" s="45"/>
      <c r="F108" s="45"/>
      <c r="G108" s="45"/>
      <c r="H108" s="45"/>
      <c r="I108" s="45"/>
      <c r="J108" s="45"/>
    </row>
    <row r="109" spans="1:13">
      <c r="B109" s="45"/>
      <c r="C109" s="45"/>
      <c r="D109" s="45"/>
      <c r="E109" s="45"/>
      <c r="F109" s="45"/>
      <c r="G109" s="45"/>
      <c r="H109" s="45"/>
      <c r="I109" s="45"/>
      <c r="J109" s="45"/>
    </row>
    <row r="110" spans="1:13">
      <c r="B110" s="45"/>
      <c r="C110" s="45"/>
      <c r="D110" s="45"/>
      <c r="E110" s="45"/>
      <c r="F110" s="45"/>
      <c r="G110" s="45"/>
      <c r="H110" s="45"/>
      <c r="I110" s="45"/>
      <c r="J110" s="45"/>
    </row>
    <row r="111" spans="1:13">
      <c r="B111" s="45"/>
      <c r="C111" s="45"/>
      <c r="D111" s="45"/>
      <c r="E111" s="45"/>
      <c r="F111" s="45"/>
      <c r="G111" s="45"/>
      <c r="H111" s="45"/>
      <c r="I111" s="45"/>
      <c r="J111" s="45"/>
    </row>
  </sheetData>
  <mergeCells count="6">
    <mergeCell ref="A102:C102"/>
    <mergeCell ref="A2:A3"/>
    <mergeCell ref="D2:L2"/>
    <mergeCell ref="M2:M3"/>
    <mergeCell ref="B2:B3"/>
    <mergeCell ref="C2:C3"/>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9"/>
  <sheetViews>
    <sheetView zoomScale="80" zoomScaleNormal="80" workbookViewId="0">
      <pane xSplit="3" ySplit="4" topLeftCell="D83" activePane="bottomRight" state="frozen"/>
      <selection activeCell="B2" sqref="B2:B3"/>
      <selection pane="topRight" activeCell="B2" sqref="B2:B3"/>
      <selection pane="bottomLeft" activeCell="B2" sqref="B2:B3"/>
      <selection pane="bottomRight" activeCell="B109" sqref="B109"/>
    </sheetView>
  </sheetViews>
  <sheetFormatPr defaultColWidth="8.88671875" defaultRowHeight="13.2"/>
  <cols>
    <col min="1" max="1" width="6.109375" style="37" customWidth="1"/>
    <col min="2" max="2" width="19.44140625" style="1" customWidth="1"/>
    <col min="3" max="3" width="40.21875" style="1" bestFit="1" customWidth="1"/>
    <col min="4" max="4" width="15.44140625" style="1" customWidth="1"/>
    <col min="5" max="5" width="15.44140625" style="37" customWidth="1"/>
    <col min="6" max="9" width="15.44140625" style="1" customWidth="1"/>
    <col min="10" max="10" width="15.44140625" style="37" customWidth="1"/>
    <col min="11" max="13" width="15.44140625" style="1" customWidth="1"/>
    <col min="14" max="16384" width="8.88671875" style="1"/>
  </cols>
  <sheetData>
    <row r="1" spans="1:13" ht="19.95" customHeight="1">
      <c r="B1" s="144" t="s">
        <v>641</v>
      </c>
      <c r="M1" s="39" t="s">
        <v>204</v>
      </c>
    </row>
    <row r="2" spans="1:13">
      <c r="A2" s="161" t="s">
        <v>195</v>
      </c>
      <c r="B2" s="161" t="s">
        <v>0</v>
      </c>
      <c r="C2" s="161" t="s">
        <v>1</v>
      </c>
      <c r="D2" s="164" t="s">
        <v>241</v>
      </c>
      <c r="E2" s="165"/>
      <c r="F2" s="165"/>
      <c r="G2" s="165"/>
      <c r="H2" s="165"/>
      <c r="I2" s="165"/>
      <c r="J2" s="165"/>
      <c r="K2" s="165"/>
      <c r="L2" s="166"/>
      <c r="M2" s="161" t="s">
        <v>9</v>
      </c>
    </row>
    <row r="3" spans="1:13" s="37" customFormat="1">
      <c r="A3" s="180"/>
      <c r="B3" s="180"/>
      <c r="C3" s="180"/>
      <c r="D3" s="175" t="s">
        <v>10</v>
      </c>
      <c r="E3" s="84"/>
      <c r="F3" s="161" t="s">
        <v>4</v>
      </c>
      <c r="G3" s="161" t="s">
        <v>11</v>
      </c>
      <c r="H3" s="176" t="s">
        <v>12</v>
      </c>
      <c r="I3" s="25"/>
      <c r="J3" s="161" t="s">
        <v>412</v>
      </c>
      <c r="K3" s="161" t="s">
        <v>6</v>
      </c>
      <c r="L3" s="161" t="s">
        <v>13</v>
      </c>
      <c r="M3" s="180"/>
    </row>
    <row r="4" spans="1:13">
      <c r="A4" s="162"/>
      <c r="B4" s="162"/>
      <c r="C4" s="162"/>
      <c r="D4" s="162"/>
      <c r="E4" s="83" t="s">
        <v>242</v>
      </c>
      <c r="F4" s="162"/>
      <c r="G4" s="162"/>
      <c r="H4" s="187"/>
      <c r="I4" s="24" t="s">
        <v>242</v>
      </c>
      <c r="J4" s="162"/>
      <c r="K4" s="162"/>
      <c r="L4" s="162"/>
      <c r="M4" s="162"/>
    </row>
    <row r="5" spans="1:13">
      <c r="A5" s="26">
        <f>'法人一覧(25)'!A4</f>
        <v>1</v>
      </c>
      <c r="B5" s="38" t="str">
        <f>'法人一覧(25)'!B4</f>
        <v>内閣府</v>
      </c>
      <c r="C5" s="38" t="str">
        <f>'法人一覧(25)'!C4</f>
        <v>国立公文書館</v>
      </c>
      <c r="D5" s="29">
        <f>SUM(964129540,237095778)</f>
        <v>1201225318</v>
      </c>
      <c r="E5" s="29">
        <v>0</v>
      </c>
      <c r="F5" s="29">
        <v>45693900</v>
      </c>
      <c r="G5" s="29">
        <v>0</v>
      </c>
      <c r="H5" s="52">
        <f>SUM(300718567)</f>
        <v>300718567</v>
      </c>
      <c r="I5" s="52">
        <v>0</v>
      </c>
      <c r="J5" s="52">
        <v>441381506</v>
      </c>
      <c r="K5" s="29">
        <v>0</v>
      </c>
      <c r="L5" s="29">
        <v>0</v>
      </c>
      <c r="M5" s="29">
        <v>1989019291</v>
      </c>
    </row>
    <row r="6" spans="1:13">
      <c r="A6" s="26">
        <f>'法人一覧(25)'!A5</f>
        <v>2</v>
      </c>
      <c r="B6" s="38" t="str">
        <f>'法人一覧(25)'!B5</f>
        <v>内閣府</v>
      </c>
      <c r="C6" s="38" t="str">
        <f>'法人一覧(25)'!C5</f>
        <v>北方領土問題対策協会</v>
      </c>
      <c r="D6" s="29">
        <f>SUM(1083330257,80068691)</f>
        <v>1163398948</v>
      </c>
      <c r="E6" s="29">
        <v>0</v>
      </c>
      <c r="F6" s="29">
        <v>4271060</v>
      </c>
      <c r="G6" s="29">
        <v>72933317</v>
      </c>
      <c r="H6" s="52">
        <f>SUM(40449042)</f>
        <v>40449042</v>
      </c>
      <c r="I6" s="52">
        <v>0</v>
      </c>
      <c r="J6" s="52">
        <v>189818013</v>
      </c>
      <c r="K6" s="29">
        <v>0</v>
      </c>
      <c r="L6" s="29">
        <v>0</v>
      </c>
      <c r="M6" s="29">
        <v>1470870380</v>
      </c>
    </row>
    <row r="7" spans="1:13">
      <c r="A7" s="26">
        <f>'法人一覧(25)'!A6</f>
        <v>3</v>
      </c>
      <c r="B7" s="38" t="str">
        <f>'法人一覧(25)'!B6</f>
        <v>消費者庁</v>
      </c>
      <c r="C7" s="38" t="str">
        <f>'法人一覧(25)'!C6</f>
        <v>国民生活センター</v>
      </c>
      <c r="D7" s="29">
        <v>1455828236</v>
      </c>
      <c r="E7" s="29">
        <v>0</v>
      </c>
      <c r="F7" s="29">
        <v>0</v>
      </c>
      <c r="G7" s="29">
        <v>0</v>
      </c>
      <c r="H7" s="52">
        <f>154955897+I7</f>
        <v>1218913768</v>
      </c>
      <c r="I7" s="52">
        <v>1063957871</v>
      </c>
      <c r="J7" s="52">
        <v>0</v>
      </c>
      <c r="K7" s="29">
        <v>0</v>
      </c>
      <c r="L7" s="29">
        <v>0</v>
      </c>
      <c r="M7" s="29">
        <v>2674742004</v>
      </c>
    </row>
    <row r="8" spans="1:13">
      <c r="A8" s="26">
        <f>'法人一覧(25)'!A7</f>
        <v>4</v>
      </c>
      <c r="B8" s="38" t="str">
        <f>'法人一覧(25)'!B7</f>
        <v>総務省</v>
      </c>
      <c r="C8" s="38" t="str">
        <f>'法人一覧(25)'!C7</f>
        <v>情報通信研究機構</v>
      </c>
      <c r="D8" s="29">
        <v>26369000000</v>
      </c>
      <c r="E8" s="29">
        <v>0</v>
      </c>
      <c r="F8" s="29">
        <v>53358000000</v>
      </c>
      <c r="G8" s="29">
        <v>6788000000</v>
      </c>
      <c r="H8" s="29">
        <v>2055000000</v>
      </c>
      <c r="I8" s="29">
        <v>0</v>
      </c>
      <c r="J8" s="29">
        <v>0</v>
      </c>
      <c r="K8" s="29">
        <v>0</v>
      </c>
      <c r="L8" s="29">
        <v>0</v>
      </c>
      <c r="M8" s="29">
        <v>88570000000</v>
      </c>
    </row>
    <row r="9" spans="1:13">
      <c r="A9" s="26">
        <f>'法人一覧(25)'!A8</f>
        <v>5</v>
      </c>
      <c r="B9" s="38" t="str">
        <f>'法人一覧(25)'!B8</f>
        <v>総務省</v>
      </c>
      <c r="C9" s="38" t="str">
        <f>'法人一覧(25)'!C8</f>
        <v>統計センター</v>
      </c>
      <c r="D9" s="29">
        <v>771000000</v>
      </c>
      <c r="E9" s="29">
        <v>0</v>
      </c>
      <c r="F9" s="29">
        <v>0</v>
      </c>
      <c r="G9" s="52">
        <f>2000000</f>
        <v>2000000</v>
      </c>
      <c r="H9" s="52">
        <f>304000000</f>
        <v>304000000</v>
      </c>
      <c r="I9" s="52">
        <v>0</v>
      </c>
      <c r="J9" s="52">
        <v>5854000000</v>
      </c>
      <c r="K9" s="52">
        <f>681000000+32000000</f>
        <v>713000000</v>
      </c>
      <c r="L9" s="29">
        <v>0</v>
      </c>
      <c r="M9" s="29">
        <v>7645000000</v>
      </c>
    </row>
    <row r="10" spans="1:13">
      <c r="A10" s="26">
        <f>'法人一覧(25)'!A9</f>
        <v>6</v>
      </c>
      <c r="B10" s="38" t="str">
        <f>'法人一覧(25)'!B9</f>
        <v>総務省</v>
      </c>
      <c r="C10" s="38" t="str">
        <f>'法人一覧(25)'!C9</f>
        <v>郵便貯金・簡易生命保険管理機構</v>
      </c>
      <c r="D10" s="29">
        <v>12016389000000</v>
      </c>
      <c r="E10" s="29">
        <v>0</v>
      </c>
      <c r="F10" s="29">
        <v>0</v>
      </c>
      <c r="G10" s="52">
        <v>0</v>
      </c>
      <c r="H10" s="52">
        <f>57000000</f>
        <v>57000000</v>
      </c>
      <c r="I10" s="52">
        <v>0</v>
      </c>
      <c r="J10" s="52">
        <v>423000000</v>
      </c>
      <c r="K10" s="52">
        <v>3806572000000</v>
      </c>
      <c r="L10" s="29">
        <v>0</v>
      </c>
      <c r="M10" s="29">
        <v>15823442000000</v>
      </c>
    </row>
    <row r="11" spans="1:13">
      <c r="A11" s="26">
        <f>'法人一覧(25)'!A10</f>
        <v>7</v>
      </c>
      <c r="B11" s="38" t="str">
        <f>'法人一覧(25)'!B10</f>
        <v>外務省</v>
      </c>
      <c r="C11" s="38" t="str">
        <f>'法人一覧(25)'!C10</f>
        <v>国際協力機構</v>
      </c>
      <c r="D11" s="52">
        <f>140217122821+84914702216</f>
        <v>225131825037</v>
      </c>
      <c r="E11" s="52">
        <v>3151764274</v>
      </c>
      <c r="F11" s="29">
        <v>2027919686</v>
      </c>
      <c r="G11" s="52">
        <v>1152045557</v>
      </c>
      <c r="H11" s="52">
        <v>8825724855</v>
      </c>
      <c r="I11" s="52">
        <v>2384593417</v>
      </c>
      <c r="J11" s="52">
        <v>0</v>
      </c>
      <c r="K11" s="52">
        <f>85423013645+118168848</f>
        <v>85541182493</v>
      </c>
      <c r="L11" s="29">
        <v>0</v>
      </c>
      <c r="M11" s="29">
        <f>237763995412+84914702216</f>
        <v>322678697628</v>
      </c>
    </row>
    <row r="12" spans="1:13">
      <c r="A12" s="26">
        <f>'法人一覧(25)'!A11</f>
        <v>8</v>
      </c>
      <c r="B12" s="38" t="str">
        <f>'法人一覧(25)'!B11</f>
        <v>外務省</v>
      </c>
      <c r="C12" s="38" t="str">
        <f>'法人一覧(25)'!C11</f>
        <v>国際交流基金</v>
      </c>
      <c r="D12" s="29">
        <v>14479248958</v>
      </c>
      <c r="E12" s="52">
        <v>0</v>
      </c>
      <c r="F12" s="29">
        <v>0</v>
      </c>
      <c r="G12" s="52">
        <v>0</v>
      </c>
      <c r="H12" s="52">
        <v>2081473753</v>
      </c>
      <c r="I12" s="52">
        <v>1376367873</v>
      </c>
      <c r="J12" s="52">
        <v>0</v>
      </c>
      <c r="K12" s="52">
        <v>0</v>
      </c>
      <c r="L12" s="29">
        <v>0</v>
      </c>
      <c r="M12" s="29">
        <v>16560722711</v>
      </c>
    </row>
    <row r="13" spans="1:13">
      <c r="A13" s="26">
        <f>'法人一覧(25)'!A12</f>
        <v>9</v>
      </c>
      <c r="B13" s="38" t="str">
        <f>'法人一覧(25)'!B12</f>
        <v>財務省</v>
      </c>
      <c r="C13" s="38" t="str">
        <f>'法人一覧(25)'!C12</f>
        <v>酒類総合研究所</v>
      </c>
      <c r="D13" s="29">
        <v>329865905</v>
      </c>
      <c r="E13" s="29">
        <v>0</v>
      </c>
      <c r="F13" s="29">
        <v>0</v>
      </c>
      <c r="G13" s="52">
        <v>10296913</v>
      </c>
      <c r="H13" s="52">
        <f>257934129</f>
        <v>257934129</v>
      </c>
      <c r="I13" s="52">
        <v>0</v>
      </c>
      <c r="J13" s="52">
        <v>388602766</v>
      </c>
      <c r="K13" s="52">
        <v>0</v>
      </c>
      <c r="L13" s="29">
        <v>0</v>
      </c>
      <c r="M13" s="29">
        <v>986699713</v>
      </c>
    </row>
    <row r="14" spans="1:13">
      <c r="A14" s="26">
        <f>'法人一覧(25)'!A13</f>
        <v>10</v>
      </c>
      <c r="B14" s="38" t="str">
        <f>'法人一覧(25)'!B13</f>
        <v>財務省</v>
      </c>
      <c r="C14" s="38" t="str">
        <f>'法人一覧(25)'!C13</f>
        <v>造幣局</v>
      </c>
      <c r="D14" s="52">
        <v>23607000000</v>
      </c>
      <c r="E14" s="52">
        <v>8735000000</v>
      </c>
      <c r="F14" s="29">
        <v>11223000000</v>
      </c>
      <c r="G14" s="29">
        <v>0</v>
      </c>
      <c r="H14" s="29">
        <v>0</v>
      </c>
      <c r="I14" s="29">
        <v>0</v>
      </c>
      <c r="J14" s="29">
        <v>0</v>
      </c>
      <c r="K14" s="29">
        <v>0</v>
      </c>
      <c r="L14" s="29">
        <v>0</v>
      </c>
      <c r="M14" s="29">
        <v>34831000000</v>
      </c>
    </row>
    <row r="15" spans="1:13">
      <c r="A15" s="26">
        <f>'法人一覧(25)'!A14</f>
        <v>11</v>
      </c>
      <c r="B15" s="38" t="str">
        <f>'法人一覧(25)'!B14</f>
        <v>財務省</v>
      </c>
      <c r="C15" s="38" t="str">
        <f>'法人一覧(25)'!C14</f>
        <v>国立印刷局</v>
      </c>
      <c r="D15" s="52">
        <v>57106555920</v>
      </c>
      <c r="E15" s="52">
        <v>37355179824</v>
      </c>
      <c r="F15" s="29">
        <v>14068100945</v>
      </c>
      <c r="G15" s="29">
        <v>0</v>
      </c>
      <c r="H15" s="29">
        <v>0</v>
      </c>
      <c r="I15" s="29">
        <v>0</v>
      </c>
      <c r="J15" s="29">
        <v>0</v>
      </c>
      <c r="K15" s="29">
        <v>0</v>
      </c>
      <c r="L15" s="29">
        <v>0</v>
      </c>
      <c r="M15" s="29">
        <v>71174656865</v>
      </c>
    </row>
    <row r="16" spans="1:13">
      <c r="A16" s="26">
        <f>'法人一覧(25)'!A15</f>
        <v>12</v>
      </c>
      <c r="B16" s="38" t="str">
        <f>'法人一覧(25)'!B15</f>
        <v>財務省</v>
      </c>
      <c r="C16" s="38" t="str">
        <f>'法人一覧(25)'!C15</f>
        <v>日本万国博覧会記念機構</v>
      </c>
      <c r="D16" s="52">
        <v>0</v>
      </c>
      <c r="E16" s="52">
        <v>0</v>
      </c>
      <c r="F16" s="52">
        <v>1350000000</v>
      </c>
      <c r="G16" s="52">
        <v>0</v>
      </c>
      <c r="H16" s="52">
        <v>2271000000</v>
      </c>
      <c r="I16" s="52">
        <v>571000000</v>
      </c>
      <c r="J16" s="52">
        <v>0</v>
      </c>
      <c r="K16" s="52">
        <v>277000000</v>
      </c>
      <c r="L16" s="52">
        <v>0</v>
      </c>
      <c r="M16" s="52">
        <v>3897000000</v>
      </c>
    </row>
    <row r="17" spans="1:13">
      <c r="A17" s="26">
        <f>'法人一覧(25)'!A16</f>
        <v>13</v>
      </c>
      <c r="B17" s="38" t="str">
        <f>'法人一覧(25)'!B16</f>
        <v>文部科学省</v>
      </c>
      <c r="C17" s="38" t="str">
        <f>'法人一覧(25)'!C16</f>
        <v>国立特別支援教育総合研究所</v>
      </c>
      <c r="D17" s="52">
        <v>669404830</v>
      </c>
      <c r="E17" s="29">
        <v>412353495</v>
      </c>
      <c r="F17" s="52">
        <v>21011000</v>
      </c>
      <c r="G17" s="52">
        <v>0</v>
      </c>
      <c r="H17" s="52">
        <v>239818878</v>
      </c>
      <c r="I17" s="52">
        <v>148462777</v>
      </c>
      <c r="J17" s="29">
        <v>0</v>
      </c>
      <c r="K17" s="52">
        <f>3380000+7548377</f>
        <v>10928377</v>
      </c>
      <c r="L17" s="52">
        <v>0</v>
      </c>
      <c r="M17" s="52">
        <v>941163085</v>
      </c>
    </row>
    <row r="18" spans="1:13">
      <c r="A18" s="26">
        <f>'法人一覧(25)'!A17</f>
        <v>14</v>
      </c>
      <c r="B18" s="38" t="str">
        <f>'法人一覧(25)'!B17</f>
        <v>文部科学省</v>
      </c>
      <c r="C18" s="38" t="str">
        <f>'法人一覧(25)'!C17</f>
        <v>大学入試センター</v>
      </c>
      <c r="D18" s="52">
        <v>10653763507</v>
      </c>
      <c r="E18" s="29">
        <v>616854893</v>
      </c>
      <c r="F18" s="52">
        <v>0</v>
      </c>
      <c r="G18" s="52">
        <v>878000</v>
      </c>
      <c r="H18" s="52">
        <v>214557727</v>
      </c>
      <c r="I18" s="52">
        <v>140457184</v>
      </c>
      <c r="J18" s="29">
        <v>0</v>
      </c>
      <c r="K18" s="52">
        <v>0</v>
      </c>
      <c r="L18" s="52">
        <v>0</v>
      </c>
      <c r="M18" s="52">
        <v>10869199234</v>
      </c>
    </row>
    <row r="19" spans="1:13">
      <c r="A19" s="26">
        <f>'法人一覧(25)'!A18</f>
        <v>15</v>
      </c>
      <c r="B19" s="38" t="str">
        <f>'法人一覧(25)'!B18</f>
        <v>文部科学省</v>
      </c>
      <c r="C19" s="38" t="str">
        <f>'法人一覧(25)'!C18</f>
        <v>国立青少年教育振興機構</v>
      </c>
      <c r="D19" s="52">
        <f>2986955769+2179374138+103640+57077642</f>
        <v>5223511189</v>
      </c>
      <c r="E19" s="29">
        <v>0</v>
      </c>
      <c r="F19" s="52">
        <v>267201621</v>
      </c>
      <c r="G19" s="52">
        <v>84642089</v>
      </c>
      <c r="H19" s="52">
        <v>5241178150</v>
      </c>
      <c r="I19" s="52">
        <v>3457020718</v>
      </c>
      <c r="J19" s="29">
        <v>0</v>
      </c>
      <c r="K19" s="52">
        <v>0</v>
      </c>
      <c r="L19" s="52">
        <v>0</v>
      </c>
      <c r="M19" s="52">
        <v>10816533049</v>
      </c>
    </row>
    <row r="20" spans="1:13">
      <c r="A20" s="26">
        <f>'法人一覧(25)'!A19</f>
        <v>16</v>
      </c>
      <c r="B20" s="38" t="str">
        <f>'法人一覧(25)'!B19</f>
        <v>文部科学省</v>
      </c>
      <c r="C20" s="38" t="str">
        <f>'法人一覧(25)'!C19</f>
        <v>国立女性教育会館</v>
      </c>
      <c r="D20" s="52">
        <v>369574143</v>
      </c>
      <c r="E20" s="29">
        <v>0</v>
      </c>
      <c r="F20" s="52">
        <v>0</v>
      </c>
      <c r="G20" s="52">
        <v>5131356</v>
      </c>
      <c r="H20" s="52">
        <v>252716381</v>
      </c>
      <c r="I20" s="52">
        <v>159803552</v>
      </c>
      <c r="J20" s="29">
        <v>0</v>
      </c>
      <c r="K20" s="52">
        <v>0</v>
      </c>
      <c r="L20" s="52">
        <v>0</v>
      </c>
      <c r="M20" s="52">
        <v>627421880</v>
      </c>
    </row>
    <row r="21" spans="1:13">
      <c r="A21" s="26">
        <f>'法人一覧(25)'!A20</f>
        <v>17</v>
      </c>
      <c r="B21" s="38" t="str">
        <f>'法人一覧(25)'!B20</f>
        <v>文部科学省</v>
      </c>
      <c r="C21" s="38" t="str">
        <f>'法人一覧(25)'!C20</f>
        <v>国立科学博物館</v>
      </c>
      <c r="D21" s="52">
        <v>2411826344</v>
      </c>
      <c r="E21" s="29">
        <v>0</v>
      </c>
      <c r="F21" s="52">
        <v>788172420</v>
      </c>
      <c r="G21" s="52">
        <v>0</v>
      </c>
      <c r="H21" s="52">
        <f>568648690</f>
        <v>568648690</v>
      </c>
      <c r="I21" s="52">
        <v>0</v>
      </c>
      <c r="J21" s="52">
        <v>963501546</v>
      </c>
      <c r="K21" s="52">
        <v>26000000</v>
      </c>
      <c r="L21" s="52">
        <v>0</v>
      </c>
      <c r="M21" s="52">
        <v>4758149000</v>
      </c>
    </row>
    <row r="22" spans="1:13">
      <c r="A22" s="26">
        <f>'法人一覧(25)'!A21</f>
        <v>18</v>
      </c>
      <c r="B22" s="38" t="str">
        <f>'法人一覧(25)'!B21</f>
        <v>文部科学省</v>
      </c>
      <c r="C22" s="38" t="str">
        <f>'法人一覧(25)'!C21</f>
        <v>物質・材料研究機構</v>
      </c>
      <c r="D22" s="52">
        <f>12318000000+1434000000</f>
        <v>13752000000</v>
      </c>
      <c r="E22" s="29">
        <v>3922000000</v>
      </c>
      <c r="F22" s="52">
        <f>3464000000</f>
        <v>3464000000</v>
      </c>
      <c r="G22" s="52">
        <v>8091000000</v>
      </c>
      <c r="H22" s="52">
        <v>1525000000</v>
      </c>
      <c r="I22" s="52">
        <v>642000000</v>
      </c>
      <c r="J22" s="29">
        <v>0</v>
      </c>
      <c r="K22" s="52">
        <v>2747000000</v>
      </c>
      <c r="L22" s="52">
        <v>0</v>
      </c>
      <c r="M22" s="52">
        <v>29579000000</v>
      </c>
    </row>
    <row r="23" spans="1:13">
      <c r="A23" s="26">
        <f>'法人一覧(25)'!A22</f>
        <v>19</v>
      </c>
      <c r="B23" s="38" t="str">
        <f>'法人一覧(25)'!B22</f>
        <v>文部科学省</v>
      </c>
      <c r="C23" s="38" t="str">
        <f>'法人一覧(25)'!C22</f>
        <v>防災科学技術研究所</v>
      </c>
      <c r="D23" s="52">
        <v>6302000000</v>
      </c>
      <c r="E23" s="29">
        <v>1093000000</v>
      </c>
      <c r="F23" s="52">
        <v>6781000000</v>
      </c>
      <c r="G23" s="52">
        <v>481000000</v>
      </c>
      <c r="H23" s="52">
        <v>465000000</v>
      </c>
      <c r="I23" s="52">
        <v>255000000</v>
      </c>
      <c r="J23" s="29">
        <v>0</v>
      </c>
      <c r="K23" s="52">
        <f>5000000+219000000+15299000000</f>
        <v>15523000000</v>
      </c>
      <c r="L23" s="52">
        <v>0</v>
      </c>
      <c r="M23" s="52">
        <v>29553000000</v>
      </c>
    </row>
    <row r="24" spans="1:13">
      <c r="A24" s="26">
        <f>'法人一覧(25)'!A23</f>
        <v>20</v>
      </c>
      <c r="B24" s="38" t="str">
        <f>'法人一覧(25)'!B23</f>
        <v>文部科学省</v>
      </c>
      <c r="C24" s="38" t="str">
        <f>'法人一覧(25)'!C23</f>
        <v>放射線医学総合研究所</v>
      </c>
      <c r="D24" s="52">
        <v>13564070874</v>
      </c>
      <c r="E24" s="52">
        <v>2278179227</v>
      </c>
      <c r="F24" s="52">
        <f>1858724790+601840000</f>
        <v>2460564790</v>
      </c>
      <c r="G24" s="52">
        <v>495670344</v>
      </c>
      <c r="H24" s="52">
        <f>650318455</f>
        <v>650318455</v>
      </c>
      <c r="I24" s="52">
        <f>398424342</f>
        <v>398424342</v>
      </c>
      <c r="J24" s="52">
        <v>199637646</v>
      </c>
      <c r="K24" s="52">
        <f>60910855+305614461</f>
        <v>366525316</v>
      </c>
      <c r="L24" s="52">
        <v>0</v>
      </c>
      <c r="M24" s="52">
        <v>17736787425</v>
      </c>
    </row>
    <row r="25" spans="1:13">
      <c r="A25" s="26">
        <f>'法人一覧(25)'!A24</f>
        <v>21</v>
      </c>
      <c r="B25" s="38" t="str">
        <f>'法人一覧(25)'!B24</f>
        <v>文部科学省</v>
      </c>
      <c r="C25" s="38" t="str">
        <f>'法人一覧(25)'!C24</f>
        <v>国立美術館</v>
      </c>
      <c r="D25" s="52">
        <f>714840334+5346224010+155190335+906954840</f>
        <v>7123209519</v>
      </c>
      <c r="E25" s="52">
        <v>714840334</v>
      </c>
      <c r="F25" s="52">
        <v>5532778134</v>
      </c>
      <c r="G25" s="52">
        <v>0</v>
      </c>
      <c r="H25" s="52">
        <f>262745328+1113337890</f>
        <v>1376083218</v>
      </c>
      <c r="I25" s="52">
        <v>262745328</v>
      </c>
      <c r="J25" s="52">
        <v>0</v>
      </c>
      <c r="K25" s="52">
        <v>0</v>
      </c>
      <c r="L25" s="52">
        <v>0</v>
      </c>
      <c r="M25" s="52">
        <v>14032070871</v>
      </c>
    </row>
    <row r="26" spans="1:13">
      <c r="A26" s="26">
        <f>'法人一覧(25)'!A25</f>
        <v>22</v>
      </c>
      <c r="B26" s="38" t="str">
        <f>'法人一覧(25)'!B25</f>
        <v>文部科学省</v>
      </c>
      <c r="C26" s="38" t="str">
        <f>'法人一覧(25)'!C25</f>
        <v>国立文化財機構</v>
      </c>
      <c r="D26" s="52">
        <v>8475784540</v>
      </c>
      <c r="E26" s="52">
        <v>2262531478</v>
      </c>
      <c r="F26" s="52">
        <v>6829529046</v>
      </c>
      <c r="G26" s="52">
        <v>611025231</v>
      </c>
      <c r="H26" s="52">
        <v>1244331558</v>
      </c>
      <c r="I26" s="52">
        <v>637513661</v>
      </c>
      <c r="J26" s="52">
        <v>0</v>
      </c>
      <c r="K26" s="52">
        <f>5147000+9932540</f>
        <v>15079540</v>
      </c>
      <c r="L26" s="52">
        <v>0</v>
      </c>
      <c r="M26" s="52">
        <v>17175749915</v>
      </c>
    </row>
    <row r="27" spans="1:13">
      <c r="A27" s="26">
        <f>'法人一覧(25)'!A26</f>
        <v>23</v>
      </c>
      <c r="B27" s="38" t="str">
        <f>'法人一覧(25)'!B26</f>
        <v>文部科学省</v>
      </c>
      <c r="C27" s="38" t="str">
        <f>'法人一覧(25)'!C26</f>
        <v>教員研修センター</v>
      </c>
      <c r="D27" s="52">
        <v>385000000</v>
      </c>
      <c r="E27" s="52">
        <v>0</v>
      </c>
      <c r="F27" s="52">
        <v>155000000</v>
      </c>
      <c r="G27" s="52">
        <v>0</v>
      </c>
      <c r="H27" s="52">
        <f>232000000</f>
        <v>232000000</v>
      </c>
      <c r="I27" s="52">
        <v>0</v>
      </c>
      <c r="J27" s="52">
        <v>430000000</v>
      </c>
      <c r="K27" s="52">
        <v>0</v>
      </c>
      <c r="L27" s="52">
        <v>0</v>
      </c>
      <c r="M27" s="52">
        <v>1202000000</v>
      </c>
    </row>
    <row r="28" spans="1:13">
      <c r="A28" s="26">
        <f>'法人一覧(25)'!A27</f>
        <v>24</v>
      </c>
      <c r="B28" s="38" t="str">
        <f>'法人一覧(25)'!B27</f>
        <v>文部科学省</v>
      </c>
      <c r="C28" s="38" t="str">
        <f>'法人一覧(25)'!C27</f>
        <v>科学技術振興機構</v>
      </c>
      <c r="D28" s="52">
        <f>115061000000+3751000000+2038000000</f>
        <v>120850000000</v>
      </c>
      <c r="E28" s="52">
        <v>0</v>
      </c>
      <c r="F28" s="52">
        <f>77000000</f>
        <v>77000000</v>
      </c>
      <c r="G28" s="52">
        <f>5911000000</f>
        <v>5911000000</v>
      </c>
      <c r="H28" s="52">
        <f>1445000000+64000000</f>
        <v>1509000000</v>
      </c>
      <c r="I28" s="52">
        <v>0</v>
      </c>
      <c r="J28" s="52">
        <f>9050000000+130000000+1000000</f>
        <v>9181000000</v>
      </c>
      <c r="K28" s="52">
        <v>14186000000</v>
      </c>
      <c r="L28" s="52">
        <v>0</v>
      </c>
      <c r="M28" s="52">
        <f>149480000000+2232000000+1000000</f>
        <v>151713000000</v>
      </c>
    </row>
    <row r="29" spans="1:13">
      <c r="A29" s="26">
        <f>'法人一覧(25)'!A28</f>
        <v>25</v>
      </c>
      <c r="B29" s="38" t="str">
        <f>'法人一覧(25)'!B28</f>
        <v>文部科学省</v>
      </c>
      <c r="C29" s="38" t="str">
        <f>'法人一覧(25)'!C28</f>
        <v>日本学術振興会</v>
      </c>
      <c r="D29" s="52">
        <f>28762000000+133913000000+107000000+48000000+29382000000+0+4696000000+1507000000+95515000000+38000000+247000000+0</f>
        <v>294215000000</v>
      </c>
      <c r="E29" s="52">
        <v>549000000</v>
      </c>
      <c r="F29" s="52">
        <v>0</v>
      </c>
      <c r="G29" s="52">
        <v>164000000</v>
      </c>
      <c r="H29" s="52">
        <v>1080000000</v>
      </c>
      <c r="I29" s="52">
        <v>383000000</v>
      </c>
      <c r="J29" s="52">
        <v>0</v>
      </c>
      <c r="K29" s="52">
        <v>0</v>
      </c>
      <c r="L29" s="52">
        <v>0</v>
      </c>
      <c r="M29" s="52">
        <v>295459000000</v>
      </c>
    </row>
    <row r="30" spans="1:13">
      <c r="A30" s="26">
        <f>'法人一覧(25)'!A29</f>
        <v>26</v>
      </c>
      <c r="B30" s="38" t="str">
        <f>'法人一覧(25)'!B29</f>
        <v>文部科学省</v>
      </c>
      <c r="C30" s="38" t="str">
        <f>'法人一覧(25)'!C29</f>
        <v>理化学研究所</v>
      </c>
      <c r="D30" s="52">
        <v>47567000000</v>
      </c>
      <c r="E30" s="52">
        <v>4922000000</v>
      </c>
      <c r="F30" s="52">
        <f>4483000000+10502000000</f>
        <v>14985000000</v>
      </c>
      <c r="G30" s="52">
        <f>16750000000</f>
        <v>16750000000</v>
      </c>
      <c r="H30" s="52">
        <v>4025000000</v>
      </c>
      <c r="I30" s="52">
        <v>1304000000</v>
      </c>
      <c r="J30" s="52">
        <v>0</v>
      </c>
      <c r="K30" s="52">
        <f>23041000000+4890000000</f>
        <v>27931000000</v>
      </c>
      <c r="L30" s="52">
        <v>0</v>
      </c>
      <c r="M30" s="52">
        <v>111258000000</v>
      </c>
    </row>
    <row r="31" spans="1:13">
      <c r="A31" s="26">
        <f>'法人一覧(25)'!A30</f>
        <v>27</v>
      </c>
      <c r="B31" s="38" t="str">
        <f>'法人一覧(25)'!B30</f>
        <v>文部科学省</v>
      </c>
      <c r="C31" s="38" t="str">
        <f>'法人一覧(25)'!C30</f>
        <v>宇宙航空研究開発機構</v>
      </c>
      <c r="D31" s="52">
        <f>101531776111+33853959678+26241862392+0+0</f>
        <v>161627598181</v>
      </c>
      <c r="E31" s="52">
        <v>11699424681</v>
      </c>
      <c r="F31" s="52">
        <v>8616310256</v>
      </c>
      <c r="G31" s="52">
        <v>34241855877</v>
      </c>
      <c r="H31" s="52">
        <v>6631672803</v>
      </c>
      <c r="I31" s="52">
        <v>3492793365</v>
      </c>
      <c r="J31" s="52">
        <v>0</v>
      </c>
      <c r="K31" s="52">
        <v>0</v>
      </c>
      <c r="L31" s="52">
        <v>0</v>
      </c>
      <c r="M31" s="52">
        <v>211117437117</v>
      </c>
    </row>
    <row r="32" spans="1:13">
      <c r="A32" s="26">
        <f>'法人一覧(25)'!A31</f>
        <v>28</v>
      </c>
      <c r="B32" s="38" t="str">
        <f>'法人一覧(25)'!B31</f>
        <v>文部科学省</v>
      </c>
      <c r="C32" s="38" t="str">
        <f>'法人一覧(25)'!C31</f>
        <v>日本スポーツ振興センター</v>
      </c>
      <c r="D32" s="52">
        <v>43214947618</v>
      </c>
      <c r="E32" s="52">
        <v>2944693437</v>
      </c>
      <c r="F32" s="52">
        <v>2190108049</v>
      </c>
      <c r="G32" s="52">
        <v>1404584844</v>
      </c>
      <c r="H32" s="52">
        <v>980440705</v>
      </c>
      <c r="I32" s="52">
        <v>393666135</v>
      </c>
      <c r="J32" s="52">
        <v>0</v>
      </c>
      <c r="K32" s="52">
        <f>18734845964+408269400+54027918500+10181685669+20447939482+5402791850</f>
        <v>109203450865</v>
      </c>
      <c r="L32" s="52">
        <v>0</v>
      </c>
      <c r="M32" s="52">
        <v>156993532081</v>
      </c>
    </row>
    <row r="33" spans="1:13">
      <c r="A33" s="26">
        <f>'法人一覧(25)'!A32</f>
        <v>29</v>
      </c>
      <c r="B33" s="38" t="str">
        <f>'法人一覧(25)'!B32</f>
        <v>文部科学省</v>
      </c>
      <c r="C33" s="38" t="str">
        <f>'法人一覧(25)'!C32</f>
        <v>日本芸術文化振興会</v>
      </c>
      <c r="D33" s="52">
        <f>1325088029+6139435076+684736250+4116354051</f>
        <v>12265613406</v>
      </c>
      <c r="E33" s="52">
        <f>135998029+1326483973+114347142+201113135</f>
        <v>1777942279</v>
      </c>
      <c r="F33" s="52">
        <v>1672392212</v>
      </c>
      <c r="G33" s="52">
        <v>5424778</v>
      </c>
      <c r="H33" s="52">
        <v>992938169</v>
      </c>
      <c r="I33" s="52">
        <v>716482462</v>
      </c>
      <c r="J33" s="52">
        <v>0</v>
      </c>
      <c r="K33" s="52">
        <v>3696700632</v>
      </c>
      <c r="L33" s="52">
        <v>0</v>
      </c>
      <c r="M33" s="52">
        <v>18633069197</v>
      </c>
    </row>
    <row r="34" spans="1:13">
      <c r="A34" s="26">
        <f>'法人一覧(25)'!A33</f>
        <v>30</v>
      </c>
      <c r="B34" s="38" t="str">
        <f>'法人一覧(25)'!B33</f>
        <v>文部科学省</v>
      </c>
      <c r="C34" s="38" t="str">
        <f>'法人一覧(25)'!C33</f>
        <v>日本学生支援機構</v>
      </c>
      <c r="D34" s="52">
        <f>1093348361500+17218103558+13464762000+4229032780</f>
        <v>1128260259838</v>
      </c>
      <c r="E34" s="52">
        <v>3059813985</v>
      </c>
      <c r="F34" s="52">
        <v>0</v>
      </c>
      <c r="G34" s="52">
        <v>9518129</v>
      </c>
      <c r="H34" s="52">
        <v>2327190444</v>
      </c>
      <c r="I34" s="52">
        <v>1016851746</v>
      </c>
      <c r="J34" s="52">
        <v>0</v>
      </c>
      <c r="K34" s="52">
        <f>98858075+1033464906000+37034903089</f>
        <v>1070598667164</v>
      </c>
      <c r="L34" s="52">
        <v>0</v>
      </c>
      <c r="M34" s="52">
        <v>2201195635575</v>
      </c>
    </row>
    <row r="35" spans="1:13">
      <c r="A35" s="26">
        <f>'法人一覧(25)'!A34</f>
        <v>31</v>
      </c>
      <c r="B35" s="38" t="str">
        <f>'法人一覧(25)'!B34</f>
        <v>文部科学省</v>
      </c>
      <c r="C35" s="38" t="str">
        <f>'法人一覧(25)'!C34</f>
        <v>海洋研究開発機構</v>
      </c>
      <c r="D35" s="52">
        <v>38821000000</v>
      </c>
      <c r="E35" s="52">
        <v>2450000000</v>
      </c>
      <c r="F35" s="52">
        <v>35132000000</v>
      </c>
      <c r="G35" s="52">
        <v>7235000000</v>
      </c>
      <c r="H35" s="52">
        <v>1117000000</v>
      </c>
      <c r="I35" s="52">
        <v>434000000</v>
      </c>
      <c r="J35" s="52">
        <v>0</v>
      </c>
      <c r="K35" s="52">
        <v>7971000000</v>
      </c>
      <c r="L35" s="52">
        <v>0</v>
      </c>
      <c r="M35" s="52">
        <v>90276000000</v>
      </c>
    </row>
    <row r="36" spans="1:13">
      <c r="A36" s="26">
        <f>'法人一覧(25)'!A35</f>
        <v>32</v>
      </c>
      <c r="B36" s="38" t="str">
        <f>'法人一覧(25)'!B35</f>
        <v>文部科学省</v>
      </c>
      <c r="C36" s="38" t="str">
        <f>'法人一覧(25)'!C35</f>
        <v>国立高等専門学校機構</v>
      </c>
      <c r="D36" s="52">
        <f>58129000000+8838000000</f>
        <v>66967000000</v>
      </c>
      <c r="E36" s="52">
        <v>0</v>
      </c>
      <c r="F36" s="52">
        <v>29478000000</v>
      </c>
      <c r="G36" s="52">
        <v>0</v>
      </c>
      <c r="H36" s="52">
        <v>13403000000</v>
      </c>
      <c r="I36" s="52">
        <v>0</v>
      </c>
      <c r="J36" s="52">
        <v>0</v>
      </c>
      <c r="K36" s="52">
        <f>59000000</f>
        <v>59000000</v>
      </c>
      <c r="L36" s="52">
        <v>0</v>
      </c>
      <c r="M36" s="52">
        <v>109907000000</v>
      </c>
    </row>
    <row r="37" spans="1:13">
      <c r="A37" s="26">
        <f>'法人一覧(25)'!A36</f>
        <v>33</v>
      </c>
      <c r="B37" s="38" t="str">
        <f>'法人一覧(25)'!B36</f>
        <v>文部科学省</v>
      </c>
      <c r="C37" s="38" t="str">
        <f>'法人一覧(25)'!C36</f>
        <v>大学評価・学位授与機構</v>
      </c>
      <c r="D37" s="52">
        <f>1250519139+24831591+272310386+98273000</f>
        <v>1645934116</v>
      </c>
      <c r="E37" s="52">
        <f>551300293+6526070</f>
        <v>557826363</v>
      </c>
      <c r="F37" s="52">
        <v>0</v>
      </c>
      <c r="G37" s="52">
        <v>0</v>
      </c>
      <c r="H37" s="52">
        <v>317531159</v>
      </c>
      <c r="I37" s="52">
        <v>206959315</v>
      </c>
      <c r="J37" s="52">
        <v>0</v>
      </c>
      <c r="K37" s="52">
        <v>0</v>
      </c>
      <c r="L37" s="52">
        <v>0</v>
      </c>
      <c r="M37" s="52">
        <v>1963465275</v>
      </c>
    </row>
    <row r="38" spans="1:13">
      <c r="A38" s="26">
        <f>'法人一覧(25)'!A37</f>
        <v>34</v>
      </c>
      <c r="B38" s="38" t="str">
        <f>'法人一覧(25)'!B37</f>
        <v>文部科学省</v>
      </c>
      <c r="C38" s="38" t="str">
        <f>'法人一覧(25)'!C37</f>
        <v>国立大学財務・経営センター</v>
      </c>
      <c r="D38" s="52">
        <f>111518090+61770513000+5513310900</f>
        <v>67395341990</v>
      </c>
      <c r="E38" s="52">
        <f>84820634</f>
        <v>84820634</v>
      </c>
      <c r="F38" s="52">
        <v>0</v>
      </c>
      <c r="G38" s="52">
        <v>0</v>
      </c>
      <c r="H38" s="52">
        <v>137261289</v>
      </c>
      <c r="I38" s="52">
        <v>66902863</v>
      </c>
      <c r="J38" s="52">
        <v>0</v>
      </c>
      <c r="K38" s="52">
        <f>372950+78959478440+14159921148+80429650+13474545+161360220</f>
        <v>93375036953</v>
      </c>
      <c r="L38" s="52">
        <v>0</v>
      </c>
      <c r="M38" s="52">
        <v>160907640232</v>
      </c>
    </row>
    <row r="39" spans="1:13">
      <c r="A39" s="26">
        <f>'法人一覧(25)'!A38</f>
        <v>35</v>
      </c>
      <c r="B39" s="38" t="str">
        <f>'法人一覧(25)'!B38</f>
        <v>文部科学省</v>
      </c>
      <c r="C39" s="38" t="str">
        <f>'法人一覧(25)'!C38</f>
        <v>日本原子力研究開発機構</v>
      </c>
      <c r="D39" s="52">
        <f>141319690566+4718381355+2219047913+8636494354+27257564809+1988350087+12593700+1577091621+8319956074+530694436+1000870047+116022471</f>
        <v>197696757433</v>
      </c>
      <c r="E39" s="52">
        <v>40087871280</v>
      </c>
      <c r="F39" s="52">
        <v>8503642550</v>
      </c>
      <c r="G39" s="52">
        <v>17910955980</v>
      </c>
      <c r="H39" s="52">
        <v>13914562296</v>
      </c>
      <c r="I39" s="52">
        <v>4582633431</v>
      </c>
      <c r="J39" s="52">
        <v>0</v>
      </c>
      <c r="K39" s="52">
        <v>0</v>
      </c>
      <c r="L39" s="52">
        <f>36579860505+2761848275+20657322568+84982337950</f>
        <v>144981369298</v>
      </c>
      <c r="M39" s="52">
        <f>238025918259+36579860505+2761848275+20657322568+84982337950</f>
        <v>383007287557</v>
      </c>
    </row>
    <row r="40" spans="1:13">
      <c r="A40" s="26">
        <f>'法人一覧(25)'!A39</f>
        <v>36</v>
      </c>
      <c r="B40" s="38" t="str">
        <f>'法人一覧(25)'!B39</f>
        <v>厚生労働省</v>
      </c>
      <c r="C40" s="38" t="str">
        <f>'法人一覧(25)'!C39</f>
        <v>国立健康・栄養研究所</v>
      </c>
      <c r="D40" s="52">
        <v>92349688</v>
      </c>
      <c r="E40" s="52">
        <v>0</v>
      </c>
      <c r="F40" s="52">
        <v>0</v>
      </c>
      <c r="G40" s="52">
        <v>110916480</v>
      </c>
      <c r="H40" s="52">
        <f>72070454</f>
        <v>72070454</v>
      </c>
      <c r="I40" s="52">
        <v>0</v>
      </c>
      <c r="J40" s="52">
        <v>379458106</v>
      </c>
      <c r="K40" s="52">
        <v>657200</v>
      </c>
      <c r="L40" s="52">
        <v>142690130</v>
      </c>
      <c r="M40" s="52">
        <v>798142058</v>
      </c>
    </row>
    <row r="41" spans="1:13">
      <c r="A41" s="26">
        <f>'法人一覧(25)'!A40</f>
        <v>37</v>
      </c>
      <c r="B41" s="38" t="str">
        <f>'法人一覧(25)'!B40</f>
        <v>厚生労働省</v>
      </c>
      <c r="C41" s="38" t="str">
        <f>'法人一覧(25)'!C40</f>
        <v>労働安全衛生総合研究所</v>
      </c>
      <c r="D41" s="52">
        <v>645269350</v>
      </c>
      <c r="E41" s="52">
        <v>0</v>
      </c>
      <c r="F41" s="52">
        <v>41646000</v>
      </c>
      <c r="G41" s="52">
        <v>63392649</v>
      </c>
      <c r="H41" s="52">
        <f>179275069</f>
        <v>179275069</v>
      </c>
      <c r="I41" s="52">
        <v>0</v>
      </c>
      <c r="J41" s="52">
        <v>1090571955</v>
      </c>
      <c r="K41" s="52">
        <v>0</v>
      </c>
      <c r="L41" s="52">
        <v>0</v>
      </c>
      <c r="M41" s="52">
        <v>2020155023</v>
      </c>
    </row>
    <row r="42" spans="1:13">
      <c r="A42" s="26">
        <f>'法人一覧(25)'!A41</f>
        <v>38</v>
      </c>
      <c r="B42" s="38" t="str">
        <f>'法人一覧(25)'!B41</f>
        <v>厚生労働省</v>
      </c>
      <c r="C42" s="38" t="str">
        <f>'法人一覧(25)'!C41</f>
        <v>勤労者退職金共済機構</v>
      </c>
      <c r="D42" s="52">
        <f>415723000000+255381000000</f>
        <v>671104000000</v>
      </c>
      <c r="E42" s="52">
        <v>0</v>
      </c>
      <c r="F42" s="52">
        <v>0</v>
      </c>
      <c r="G42" s="52">
        <v>0</v>
      </c>
      <c r="H42" s="52">
        <f>201000000</f>
        <v>201000000</v>
      </c>
      <c r="I42" s="52">
        <v>0</v>
      </c>
      <c r="J42" s="52">
        <v>2378000000</v>
      </c>
      <c r="K42" s="52">
        <f>621000000+292000000+1000000</f>
        <v>914000000</v>
      </c>
      <c r="L42" s="52">
        <v>0</v>
      </c>
      <c r="M42" s="52">
        <v>674596000000</v>
      </c>
    </row>
    <row r="43" spans="1:13">
      <c r="A43" s="26">
        <f>'法人一覧(25)'!A42</f>
        <v>39</v>
      </c>
      <c r="B43" s="38" t="str">
        <f>'法人一覧(25)'!B42</f>
        <v>厚生労働省</v>
      </c>
      <c r="C43" s="38" t="str">
        <f>'法人一覧(25)'!C42</f>
        <v>高齢・障害・求職者雇用支援機構</v>
      </c>
      <c r="D43" s="52">
        <v>75193233230</v>
      </c>
      <c r="E43" s="52">
        <v>0</v>
      </c>
      <c r="F43" s="52">
        <v>1428787000</v>
      </c>
      <c r="G43" s="52">
        <v>46207857</v>
      </c>
      <c r="H43" s="52">
        <f>2006427620</f>
        <v>2006427620</v>
      </c>
      <c r="I43" s="52">
        <v>0</v>
      </c>
      <c r="J43" s="52">
        <v>31350674778</v>
      </c>
      <c r="K43" s="52">
        <v>0</v>
      </c>
      <c r="L43" s="52">
        <v>0</v>
      </c>
      <c r="M43" s="52">
        <v>110025330485</v>
      </c>
    </row>
    <row r="44" spans="1:13">
      <c r="A44" s="26">
        <f>'法人一覧(25)'!A43</f>
        <v>40</v>
      </c>
      <c r="B44" s="38" t="str">
        <f>'法人一覧(25)'!B43</f>
        <v>厚生労働省</v>
      </c>
      <c r="C44" s="38" t="str">
        <f>'法人一覧(25)'!C43</f>
        <v>福祉医療機構</v>
      </c>
      <c r="D44" s="52">
        <f>52173385486+43726192+1409826000+98071549269+33334062694+2160879392+27745978+3286412412</f>
        <v>190507587423</v>
      </c>
      <c r="E44" s="52">
        <v>0</v>
      </c>
      <c r="F44" s="52">
        <v>0</v>
      </c>
      <c r="G44" s="52">
        <v>0</v>
      </c>
      <c r="H44" s="52">
        <f>315510535</f>
        <v>315510535</v>
      </c>
      <c r="I44" s="52">
        <v>0</v>
      </c>
      <c r="J44" s="52">
        <v>2271938405</v>
      </c>
      <c r="K44" s="52">
        <v>11646000</v>
      </c>
      <c r="L44" s="52">
        <v>0</v>
      </c>
      <c r="M44" s="52">
        <v>193106682363</v>
      </c>
    </row>
    <row r="45" spans="1:13">
      <c r="A45" s="26">
        <f>'法人一覧(25)'!A44</f>
        <v>41</v>
      </c>
      <c r="B45" s="38" t="str">
        <f>'法人一覧(25)'!B44</f>
        <v>厚生労働省</v>
      </c>
      <c r="C45" s="38" t="str">
        <f>'法人一覧(25)'!C44</f>
        <v>国立重度知的障害者総合施設のぞみの園</v>
      </c>
      <c r="D45" s="52">
        <v>3042155000</v>
      </c>
      <c r="E45" s="52">
        <f>1629239802+21013941+10350359+19786423+15649658+15996844+6622308+115337108+22657190</f>
        <v>1856653633</v>
      </c>
      <c r="F45" s="52">
        <v>0</v>
      </c>
      <c r="G45" s="52">
        <v>6387000</v>
      </c>
      <c r="H45" s="52">
        <f>64277728</f>
        <v>64277728</v>
      </c>
      <c r="I45" s="52">
        <v>0</v>
      </c>
      <c r="J45" s="52">
        <v>153376202</v>
      </c>
      <c r="K45" s="52">
        <v>0</v>
      </c>
      <c r="L45" s="52">
        <v>0</v>
      </c>
      <c r="M45" s="52">
        <v>3266195930</v>
      </c>
    </row>
    <row r="46" spans="1:13">
      <c r="A46" s="26">
        <f>'法人一覧(25)'!A45</f>
        <v>42</v>
      </c>
      <c r="B46" s="38" t="str">
        <f>'法人一覧(25)'!B45</f>
        <v>厚生労働省</v>
      </c>
      <c r="C46" s="38" t="str">
        <f>'法人一覧(25)'!C45</f>
        <v>労働政策研究・研修機構</v>
      </c>
      <c r="D46" s="52">
        <v>767502267</v>
      </c>
      <c r="E46" s="52">
        <v>0</v>
      </c>
      <c r="F46" s="52">
        <v>139440000</v>
      </c>
      <c r="G46" s="52">
        <v>0</v>
      </c>
      <c r="H46" s="52">
        <f>413677614</f>
        <v>413677614</v>
      </c>
      <c r="I46" s="52">
        <v>0</v>
      </c>
      <c r="J46" s="52">
        <v>1119134830</v>
      </c>
      <c r="K46" s="52">
        <v>0</v>
      </c>
      <c r="L46" s="52">
        <v>0</v>
      </c>
      <c r="M46" s="52">
        <v>2439754711</v>
      </c>
    </row>
    <row r="47" spans="1:13">
      <c r="A47" s="26">
        <f>'法人一覧(25)'!A46</f>
        <v>43</v>
      </c>
      <c r="B47" s="38" t="str">
        <f>'法人一覧(25)'!B46</f>
        <v>厚生労働省</v>
      </c>
      <c r="C47" s="38" t="str">
        <f>'法人一覧(25)'!C46</f>
        <v>労働者健康福祉機構</v>
      </c>
      <c r="D47" s="52">
        <v>292563668340</v>
      </c>
      <c r="E47" s="52"/>
      <c r="F47" s="52">
        <v>2653339843</v>
      </c>
      <c r="G47" s="52">
        <v>948023558</v>
      </c>
      <c r="H47" s="52">
        <v>17690991315</v>
      </c>
      <c r="I47" s="52">
        <f>9638867735+1478570400</f>
        <v>11117438135</v>
      </c>
      <c r="J47" s="52">
        <v>0</v>
      </c>
      <c r="K47" s="52">
        <f>2066892000+4519250</f>
        <v>2071411250</v>
      </c>
      <c r="L47" s="52">
        <v>0</v>
      </c>
      <c r="M47" s="52">
        <v>315927434306</v>
      </c>
    </row>
    <row r="48" spans="1:13">
      <c r="A48" s="26">
        <f>'法人一覧(25)'!A47</f>
        <v>44</v>
      </c>
      <c r="B48" s="38" t="str">
        <f>'法人一覧(25)'!B47</f>
        <v>厚生労働省</v>
      </c>
      <c r="C48" s="38" t="str">
        <f>'法人一覧(25)'!C47</f>
        <v>国立病院機構</v>
      </c>
      <c r="D48" s="52">
        <f>826931811737</f>
        <v>826931811737</v>
      </c>
      <c r="E48" s="52">
        <v>0</v>
      </c>
      <c r="F48" s="52">
        <v>99898928698</v>
      </c>
      <c r="G48" s="52">
        <v>0</v>
      </c>
      <c r="H48" s="52">
        <v>0</v>
      </c>
      <c r="I48" s="52">
        <v>0</v>
      </c>
      <c r="J48" s="52">
        <v>0</v>
      </c>
      <c r="K48" s="52">
        <f>40020942656+8064521251+33972479975</f>
        <v>82057943882</v>
      </c>
      <c r="L48" s="52">
        <v>0</v>
      </c>
      <c r="M48" s="52">
        <v>1008888684317</v>
      </c>
    </row>
    <row r="49" spans="1:13">
      <c r="A49" s="26">
        <f>'法人一覧(25)'!A48</f>
        <v>45</v>
      </c>
      <c r="B49" s="38" t="str">
        <f>'法人一覧(25)'!B48</f>
        <v>厚生労働省</v>
      </c>
      <c r="C49" s="38" t="str">
        <f>'法人一覧(25)'!C48</f>
        <v>医薬品医療機器総合機構</v>
      </c>
      <c r="D49" s="52">
        <v>19878386093</v>
      </c>
      <c r="E49" s="52">
        <v>0</v>
      </c>
      <c r="F49" s="52">
        <v>0</v>
      </c>
      <c r="G49" s="52">
        <v>0</v>
      </c>
      <c r="H49" s="52">
        <v>2192958364</v>
      </c>
      <c r="I49" s="52">
        <v>661521100</v>
      </c>
      <c r="J49" s="52">
        <v>0</v>
      </c>
      <c r="K49" s="52">
        <v>18291990</v>
      </c>
      <c r="L49" s="52">
        <v>0</v>
      </c>
      <c r="M49" s="52">
        <v>22089636447</v>
      </c>
    </row>
    <row r="50" spans="1:13">
      <c r="A50" s="26">
        <f>'法人一覧(25)'!A49</f>
        <v>46</v>
      </c>
      <c r="B50" s="38" t="str">
        <f>'法人一覧(25)'!B49</f>
        <v>厚生労働省</v>
      </c>
      <c r="C50" s="38" t="str">
        <f>'法人一覧(25)'!C49</f>
        <v>医薬基盤研究所</v>
      </c>
      <c r="D50" s="52">
        <v>7950478585</v>
      </c>
      <c r="E50" s="52">
        <v>0</v>
      </c>
      <c r="F50" s="52">
        <v>2053070967</v>
      </c>
      <c r="G50" s="52">
        <v>0</v>
      </c>
      <c r="H50" s="52">
        <v>1023049205</v>
      </c>
      <c r="I50" s="52">
        <v>821161377</v>
      </c>
      <c r="J50" s="52">
        <v>0</v>
      </c>
      <c r="K50" s="52">
        <f>63900000+2927409</f>
        <v>66827409</v>
      </c>
      <c r="L50" s="52">
        <v>0</v>
      </c>
      <c r="M50" s="52">
        <v>11093426166</v>
      </c>
    </row>
    <row r="51" spans="1:13">
      <c r="A51" s="26">
        <f>'法人一覧(25)'!A50</f>
        <v>47</v>
      </c>
      <c r="B51" s="38" t="str">
        <f>'法人一覧(25)'!B50</f>
        <v>厚生労働省</v>
      </c>
      <c r="C51" s="38" t="str">
        <f>'法人一覧(25)'!C50</f>
        <v>年金・健康保険福祉施設整理機構</v>
      </c>
      <c r="D51" s="52">
        <v>6762205414</v>
      </c>
      <c r="E51" s="52">
        <v>194872907</v>
      </c>
      <c r="F51" s="52">
        <v>0</v>
      </c>
      <c r="G51" s="52">
        <v>0</v>
      </c>
      <c r="H51" s="52">
        <v>85213107</v>
      </c>
      <c r="I51" s="52">
        <v>69784401</v>
      </c>
      <c r="J51" s="52">
        <v>0</v>
      </c>
      <c r="K51" s="52">
        <v>19140000</v>
      </c>
      <c r="L51" s="52">
        <v>31483909248</v>
      </c>
      <c r="M51" s="52">
        <v>38350467769</v>
      </c>
    </row>
    <row r="52" spans="1:13">
      <c r="A52" s="26">
        <f>'法人一覧(25)'!A51</f>
        <v>48</v>
      </c>
      <c r="B52" s="38" t="str">
        <f>'法人一覧(25)'!B51</f>
        <v>厚生労働省</v>
      </c>
      <c r="C52" s="38" t="str">
        <f>'法人一覧(25)'!C51</f>
        <v>年金積立金管理運用</v>
      </c>
      <c r="D52" s="52">
        <v>26844194020</v>
      </c>
      <c r="E52" s="52">
        <v>0</v>
      </c>
      <c r="F52" s="52">
        <v>0</v>
      </c>
      <c r="G52" s="52">
        <v>0</v>
      </c>
      <c r="H52" s="52">
        <v>284453929</v>
      </c>
      <c r="I52" s="52">
        <v>0</v>
      </c>
      <c r="J52" s="52">
        <v>0</v>
      </c>
      <c r="K52" s="52">
        <f>15018188256374+1268890775622+11700676233910+1938459627000+173145548378+2200000000000+274900000000+9531737333360+662091658652</f>
        <v>42768089433296</v>
      </c>
      <c r="L52" s="52">
        <v>0</v>
      </c>
      <c r="M52" s="52">
        <f>15018188256374+1268890775622+26508139049249</f>
        <v>42795218081245</v>
      </c>
    </row>
    <row r="53" spans="1:13">
      <c r="A53" s="26">
        <f>'法人一覧(25)'!A52</f>
        <v>49</v>
      </c>
      <c r="B53" s="38" t="str">
        <f>'法人一覧(25)'!B52</f>
        <v>厚生労働省</v>
      </c>
      <c r="C53" s="38" t="str">
        <f>'法人一覧(25)'!C52</f>
        <v>国立がん研究センター</v>
      </c>
      <c r="D53" s="52">
        <v>46456392750</v>
      </c>
      <c r="E53" s="52">
        <v>0</v>
      </c>
      <c r="F53" s="52">
        <v>13256940174</v>
      </c>
      <c r="G53" s="52">
        <v>0</v>
      </c>
      <c r="H53" s="52">
        <v>0</v>
      </c>
      <c r="I53" s="52">
        <v>0</v>
      </c>
      <c r="J53" s="52">
        <v>0</v>
      </c>
      <c r="K53" s="52">
        <f>2189740770+325066611+7656591638</f>
        <v>10171399019</v>
      </c>
      <c r="L53" s="52">
        <v>0</v>
      </c>
      <c r="M53" s="52">
        <v>69884731943</v>
      </c>
    </row>
    <row r="54" spans="1:13">
      <c r="A54" s="26">
        <f>'法人一覧(25)'!A53</f>
        <v>50</v>
      </c>
      <c r="B54" s="38" t="str">
        <f>'法人一覧(25)'!B53</f>
        <v>厚生労働省</v>
      </c>
      <c r="C54" s="38" t="str">
        <f>'法人一覧(25)'!C53</f>
        <v>国立循環器病研究センター</v>
      </c>
      <c r="D54" s="52">
        <v>25475314876</v>
      </c>
      <c r="E54" s="52">
        <v>0</v>
      </c>
      <c r="F54" s="52">
        <v>1967058879</v>
      </c>
      <c r="G54" s="52">
        <v>0</v>
      </c>
      <c r="H54" s="52">
        <v>0</v>
      </c>
      <c r="I54" s="52">
        <v>0</v>
      </c>
      <c r="J54" s="52">
        <v>0</v>
      </c>
      <c r="K54" s="52">
        <f>278990199+18506722+56335260</f>
        <v>353832181</v>
      </c>
      <c r="L54" s="52">
        <v>0</v>
      </c>
      <c r="M54" s="52">
        <v>27796205936</v>
      </c>
    </row>
    <row r="55" spans="1:13">
      <c r="A55" s="26">
        <f>'法人一覧(25)'!A54</f>
        <v>51</v>
      </c>
      <c r="B55" s="38" t="str">
        <f>'法人一覧(25)'!B54</f>
        <v>厚生労働省</v>
      </c>
      <c r="C55" s="38" t="str">
        <f>'法人一覧(25)'!C54</f>
        <v>国立精神・神経医療研究センター</v>
      </c>
      <c r="D55" s="52">
        <v>12880863417</v>
      </c>
      <c r="E55" s="52">
        <v>0</v>
      </c>
      <c r="F55" s="52">
        <v>719485766</v>
      </c>
      <c r="G55" s="52">
        <v>0</v>
      </c>
      <c r="H55" s="52">
        <v>0</v>
      </c>
      <c r="I55" s="52">
        <v>0</v>
      </c>
      <c r="J55" s="52">
        <v>0</v>
      </c>
      <c r="K55" s="52">
        <f>47618000+40186037+141933466</f>
        <v>229737503</v>
      </c>
      <c r="L55" s="52">
        <v>0</v>
      </c>
      <c r="M55" s="52">
        <v>13830086686</v>
      </c>
    </row>
    <row r="56" spans="1:13">
      <c r="A56" s="26">
        <f>'法人一覧(25)'!A55</f>
        <v>52</v>
      </c>
      <c r="B56" s="38" t="str">
        <f>'法人一覧(25)'!B55</f>
        <v>厚生労働省</v>
      </c>
      <c r="C56" s="38" t="str">
        <f>'法人一覧(25)'!C55</f>
        <v>国立国際医療研究センター</v>
      </c>
      <c r="D56" s="52">
        <v>32746382483</v>
      </c>
      <c r="E56" s="52">
        <v>0</v>
      </c>
      <c r="F56" s="52">
        <v>6325695869</v>
      </c>
      <c r="G56" s="52">
        <v>0</v>
      </c>
      <c r="H56" s="52">
        <v>0</v>
      </c>
      <c r="I56" s="52">
        <v>0</v>
      </c>
      <c r="J56" s="52">
        <v>0</v>
      </c>
      <c r="K56" s="52">
        <f>1099056348+265525456+5056304763</f>
        <v>6420886567</v>
      </c>
      <c r="L56" s="52">
        <v>0</v>
      </c>
      <c r="M56" s="52">
        <v>45492964919</v>
      </c>
    </row>
    <row r="57" spans="1:13">
      <c r="A57" s="26">
        <f>'法人一覧(25)'!A56</f>
        <v>53</v>
      </c>
      <c r="B57" s="38" t="str">
        <f>'法人一覧(25)'!B56</f>
        <v>厚生労働省</v>
      </c>
      <c r="C57" s="38" t="str">
        <f>'法人一覧(25)'!C56</f>
        <v>国立成育医療研究センター</v>
      </c>
      <c r="D57" s="52">
        <v>21215227116</v>
      </c>
      <c r="E57" s="52">
        <v>0</v>
      </c>
      <c r="F57" s="52">
        <v>1950862138</v>
      </c>
      <c r="G57" s="52">
        <v>0</v>
      </c>
      <c r="H57" s="52">
        <v>0</v>
      </c>
      <c r="I57" s="52">
        <v>0</v>
      </c>
      <c r="J57" s="52">
        <v>0</v>
      </c>
      <c r="K57" s="52">
        <f>682888000+98857994+482353620</f>
        <v>1264099614</v>
      </c>
      <c r="L57" s="52">
        <v>0</v>
      </c>
      <c r="M57" s="52">
        <v>24430188868</v>
      </c>
    </row>
    <row r="58" spans="1:13">
      <c r="A58" s="26">
        <f>'法人一覧(25)'!A57</f>
        <v>54</v>
      </c>
      <c r="B58" s="38" t="str">
        <f>'法人一覧(25)'!B57</f>
        <v>厚生労働省</v>
      </c>
      <c r="C58" s="38" t="str">
        <f>'法人一覧(25)'!C57</f>
        <v>国立長寿医療研究センター</v>
      </c>
      <c r="D58" s="52">
        <v>8658008043</v>
      </c>
      <c r="E58" s="52">
        <v>0</v>
      </c>
      <c r="F58" s="52">
        <v>1005117248</v>
      </c>
      <c r="G58" s="52">
        <v>0</v>
      </c>
      <c r="H58" s="52">
        <v>0</v>
      </c>
      <c r="I58" s="52">
        <v>0</v>
      </c>
      <c r="J58" s="52">
        <v>0</v>
      </c>
      <c r="K58" s="52">
        <f>102050777+8755018+1127233400</f>
        <v>1238039195</v>
      </c>
      <c r="L58" s="52">
        <v>0</v>
      </c>
      <c r="M58" s="52">
        <v>10901164486</v>
      </c>
    </row>
    <row r="59" spans="1:13">
      <c r="A59" s="26">
        <f>'法人一覧(25)'!A58</f>
        <v>55</v>
      </c>
      <c r="B59" s="38" t="str">
        <f>'法人一覧(25)'!B58</f>
        <v>農林水産省</v>
      </c>
      <c r="C59" s="38" t="str">
        <f>'法人一覧(25)'!C58</f>
        <v>農林水産消費安全技術センター</v>
      </c>
      <c r="D59" s="52">
        <v>849111395</v>
      </c>
      <c r="E59" s="52">
        <v>0</v>
      </c>
      <c r="F59" s="52">
        <v>187841591</v>
      </c>
      <c r="G59" s="52">
        <v>0</v>
      </c>
      <c r="H59" s="52">
        <f>561640893+I59</f>
        <v>5392750794</v>
      </c>
      <c r="I59" s="52">
        <v>4831109901</v>
      </c>
      <c r="J59" s="52">
        <v>0</v>
      </c>
      <c r="K59" s="52">
        <v>0</v>
      </c>
      <c r="L59" s="52">
        <v>0</v>
      </c>
      <c r="M59" s="52">
        <v>6429703780</v>
      </c>
    </row>
    <row r="60" spans="1:13">
      <c r="A60" s="26">
        <f>'法人一覧(25)'!A59</f>
        <v>56</v>
      </c>
      <c r="B60" s="38" t="str">
        <f>'法人一覧(25)'!B59</f>
        <v>農林水産省</v>
      </c>
      <c r="C60" s="38" t="str">
        <f>'法人一覧(25)'!C59</f>
        <v>種苗管理センター</v>
      </c>
      <c r="D60" s="29">
        <v>507000000</v>
      </c>
      <c r="E60" s="52">
        <v>0</v>
      </c>
      <c r="F60" s="29">
        <v>552000000</v>
      </c>
      <c r="G60" s="29">
        <v>45000000</v>
      </c>
      <c r="H60" s="52">
        <f>154000000</f>
        <v>154000000</v>
      </c>
      <c r="I60" s="52">
        <v>0</v>
      </c>
      <c r="J60" s="52">
        <v>2145000000</v>
      </c>
      <c r="K60" s="29">
        <v>16000000</v>
      </c>
      <c r="L60" s="29">
        <v>14000000</v>
      </c>
      <c r="M60" s="29">
        <v>3434000000</v>
      </c>
    </row>
    <row r="61" spans="1:13">
      <c r="A61" s="26">
        <f>'法人一覧(25)'!A60</f>
        <v>57</v>
      </c>
      <c r="B61" s="38" t="str">
        <f>'法人一覧(25)'!B60</f>
        <v>農林水産省</v>
      </c>
      <c r="C61" s="38" t="str">
        <f>'法人一覧(25)'!C60</f>
        <v>家畜改良センター</v>
      </c>
      <c r="D61" s="29">
        <v>2126000000</v>
      </c>
      <c r="E61" s="52">
        <v>0</v>
      </c>
      <c r="F61" s="29">
        <v>528000000</v>
      </c>
      <c r="G61" s="29">
        <v>192000000</v>
      </c>
      <c r="H61" s="52">
        <f>307000000+I61</f>
        <v>5805000000</v>
      </c>
      <c r="I61" s="52">
        <v>5498000000</v>
      </c>
      <c r="J61" s="52">
        <v>0</v>
      </c>
      <c r="K61" s="29">
        <v>0</v>
      </c>
      <c r="L61" s="29">
        <v>0</v>
      </c>
      <c r="M61" s="29">
        <v>8651000000</v>
      </c>
    </row>
    <row r="62" spans="1:13">
      <c r="A62" s="26">
        <f>'法人一覧(25)'!A61</f>
        <v>58</v>
      </c>
      <c r="B62" s="38" t="str">
        <f>'法人一覧(25)'!B61</f>
        <v>農林水産省</v>
      </c>
      <c r="C62" s="38" t="str">
        <f>'法人一覧(25)'!C61</f>
        <v>水産大学校</v>
      </c>
      <c r="D62" s="29">
        <v>568862512</v>
      </c>
      <c r="E62" s="52">
        <v>0</v>
      </c>
      <c r="F62" s="29">
        <v>39204900</v>
      </c>
      <c r="G62" s="29">
        <v>108036803</v>
      </c>
      <c r="H62" s="29">
        <v>197855088</v>
      </c>
      <c r="I62" s="29">
        <v>0</v>
      </c>
      <c r="J62" s="29">
        <v>1379939537</v>
      </c>
      <c r="K62" s="29">
        <v>16000000</v>
      </c>
      <c r="L62" s="29">
        <v>0</v>
      </c>
      <c r="M62" s="29">
        <v>2309898840</v>
      </c>
    </row>
    <row r="63" spans="1:13">
      <c r="A63" s="26">
        <f>'法人一覧(25)'!A62</f>
        <v>59</v>
      </c>
      <c r="B63" s="38" t="str">
        <f>'法人一覧(25)'!B62</f>
        <v>農林水産省</v>
      </c>
      <c r="C63" s="38" t="str">
        <f>'法人一覧(25)'!C62</f>
        <v>農業・食品産業技術総合研究機構</v>
      </c>
      <c r="D63" s="29">
        <f>10175678964+2237444750+65893205+1403508+872228079</f>
        <v>13352648506</v>
      </c>
      <c r="E63" s="52">
        <v>0</v>
      </c>
      <c r="F63" s="29">
        <f>5030797343+106659310</f>
        <v>5137456653</v>
      </c>
      <c r="G63" s="29">
        <f>3980151385+30988179</f>
        <v>4011139564</v>
      </c>
      <c r="H63" s="29">
        <f>2240661231+151221007+79946920+9410966+65681556</f>
        <v>2546921680</v>
      </c>
      <c r="I63" s="29">
        <f>133495363+67923946+6207011</f>
        <v>207626320</v>
      </c>
      <c r="J63" s="52">
        <f>22906194823+744021020</f>
        <v>23650215843</v>
      </c>
      <c r="K63" s="29">
        <f>15037734+5962629+7000000+2061732+71000000+1837395+1275170</f>
        <v>104174660</v>
      </c>
      <c r="L63" s="29">
        <f>3441029087+7992539288</f>
        <v>11433568375</v>
      </c>
      <c r="M63" s="29">
        <f>47877412323+10381205045+145840125+10814474+1820853314</f>
        <v>60236125281</v>
      </c>
    </row>
    <row r="64" spans="1:13">
      <c r="A64" s="26">
        <f>'法人一覧(25)'!A63</f>
        <v>60</v>
      </c>
      <c r="B64" s="38" t="str">
        <f>'法人一覧(25)'!B63</f>
        <v>農林水産省</v>
      </c>
      <c r="C64" s="38" t="str">
        <f>'法人一覧(25)'!C63</f>
        <v>農業生物資源研究所</v>
      </c>
      <c r="D64" s="29">
        <v>2464825319</v>
      </c>
      <c r="E64" s="52">
        <v>0</v>
      </c>
      <c r="F64" s="29">
        <v>970464807</v>
      </c>
      <c r="G64" s="29">
        <v>1842624476</v>
      </c>
      <c r="H64" s="52">
        <f>385298112</f>
        <v>385298112</v>
      </c>
      <c r="I64" s="52">
        <v>0</v>
      </c>
      <c r="J64" s="52">
        <v>3465728294</v>
      </c>
      <c r="K64" s="29">
        <v>12467650</v>
      </c>
      <c r="L64" s="29">
        <v>0</v>
      </c>
      <c r="M64" s="29">
        <v>9141408658</v>
      </c>
    </row>
    <row r="65" spans="1:13">
      <c r="A65" s="26">
        <f>'法人一覧(25)'!A64</f>
        <v>61</v>
      </c>
      <c r="B65" s="38" t="str">
        <f>'法人一覧(25)'!B64</f>
        <v>農林水産省</v>
      </c>
      <c r="C65" s="38" t="str">
        <f>'法人一覧(25)'!C64</f>
        <v>農業環境技術研究所</v>
      </c>
      <c r="D65" s="29">
        <v>817010193</v>
      </c>
      <c r="E65" s="52">
        <v>0</v>
      </c>
      <c r="F65" s="29">
        <v>2081730000</v>
      </c>
      <c r="G65" s="29">
        <v>635366475</v>
      </c>
      <c r="H65" s="52">
        <f>285392447</f>
        <v>285392447</v>
      </c>
      <c r="I65" s="52">
        <v>0</v>
      </c>
      <c r="J65" s="52">
        <v>1698386007</v>
      </c>
      <c r="K65" s="29">
        <v>0</v>
      </c>
      <c r="L65" s="29">
        <v>0</v>
      </c>
      <c r="M65" s="29">
        <v>5517885122</v>
      </c>
    </row>
    <row r="66" spans="1:13">
      <c r="A66" s="26">
        <f>'法人一覧(25)'!A65</f>
        <v>62</v>
      </c>
      <c r="B66" s="38" t="str">
        <f>'法人一覧(25)'!B65</f>
        <v>農林水産省</v>
      </c>
      <c r="C66" s="38" t="str">
        <f>'法人一覧(25)'!C65</f>
        <v>国際農林水産業研究センター</v>
      </c>
      <c r="D66" s="29">
        <v>1511009060</v>
      </c>
      <c r="E66" s="52">
        <v>0</v>
      </c>
      <c r="F66" s="29">
        <v>19057000</v>
      </c>
      <c r="G66" s="29">
        <v>233445039</v>
      </c>
      <c r="H66" s="52">
        <f>113204589+I66</f>
        <v>1832911016</v>
      </c>
      <c r="I66" s="52">
        <v>1719706427</v>
      </c>
      <c r="J66" s="52">
        <v>0</v>
      </c>
      <c r="K66" s="29">
        <v>0</v>
      </c>
      <c r="L66" s="29">
        <v>0</v>
      </c>
      <c r="M66" s="29">
        <v>3596422115</v>
      </c>
    </row>
    <row r="67" spans="1:13">
      <c r="A67" s="26">
        <f>'法人一覧(25)'!A66</f>
        <v>63</v>
      </c>
      <c r="B67" s="38" t="str">
        <f>'法人一覧(25)'!B66</f>
        <v>農林水産省</v>
      </c>
      <c r="C67" s="38" t="str">
        <f>'法人一覧(25)'!C66</f>
        <v>森林総合研究所</v>
      </c>
      <c r="D67" s="52">
        <f>1610872661+1871662854+27367355858</f>
        <v>30849891373</v>
      </c>
      <c r="E67" s="52">
        <v>0</v>
      </c>
      <c r="F67" s="52">
        <v>1043456273</v>
      </c>
      <c r="G67" s="52">
        <v>706574599</v>
      </c>
      <c r="H67" s="52">
        <f>827920905+334256455+3191124743</f>
        <v>4353302103</v>
      </c>
      <c r="I67" s="52">
        <f>250495559+2899548812</f>
        <v>3150044371</v>
      </c>
      <c r="J67" s="52">
        <f>6468048552</f>
        <v>6468048552</v>
      </c>
      <c r="K67" s="52">
        <f>169129542+25917936+16983127630+1936243889+15773595+14787500000+3365449103+13222091</f>
        <v>37296363786</v>
      </c>
      <c r="L67" s="52">
        <v>0</v>
      </c>
      <c r="M67" s="52">
        <f>10851920468+21141064423+48724651795</f>
        <v>80717636686</v>
      </c>
    </row>
    <row r="68" spans="1:13">
      <c r="A68" s="26">
        <f>'法人一覧(25)'!A67</f>
        <v>64</v>
      </c>
      <c r="B68" s="38" t="str">
        <f>'法人一覧(25)'!B67</f>
        <v>農林水産省</v>
      </c>
      <c r="C68" s="38" t="str">
        <f>'法人一覧(25)'!C67</f>
        <v>水産総合研究センター</v>
      </c>
      <c r="D68" s="29">
        <v>6827557324</v>
      </c>
      <c r="E68" s="52">
        <v>0</v>
      </c>
      <c r="F68" s="29">
        <v>4198696440</v>
      </c>
      <c r="G68" s="29">
        <v>2811608370</v>
      </c>
      <c r="H68" s="29">
        <v>433397413</v>
      </c>
      <c r="I68" s="29">
        <v>0</v>
      </c>
      <c r="J68" s="29">
        <v>8087705030</v>
      </c>
      <c r="K68" s="29">
        <f>619161626+3360000</f>
        <v>622521626</v>
      </c>
      <c r="L68" s="29">
        <v>0</v>
      </c>
      <c r="M68" s="29">
        <v>22981486203</v>
      </c>
    </row>
    <row r="69" spans="1:13">
      <c r="A69" s="26">
        <f>'法人一覧(25)'!A68</f>
        <v>65</v>
      </c>
      <c r="B69" s="38" t="str">
        <f>'法人一覧(25)'!B68</f>
        <v>農林水産省</v>
      </c>
      <c r="C69" s="38" t="str">
        <f>'法人一覧(25)'!C68</f>
        <v>農畜産業振興機構</v>
      </c>
      <c r="D69" s="29">
        <v>246764000000</v>
      </c>
      <c r="E69" s="52">
        <v>0</v>
      </c>
      <c r="F69" s="29">
        <v>0</v>
      </c>
      <c r="G69" s="29">
        <v>0</v>
      </c>
      <c r="H69" s="52">
        <f>461000000+I69</f>
        <v>2504000000</v>
      </c>
      <c r="I69" s="52">
        <v>2043000000</v>
      </c>
      <c r="J69" s="52">
        <v>0</v>
      </c>
      <c r="K69" s="29">
        <f>22741000000+867000000</f>
        <v>23608000000</v>
      </c>
      <c r="L69" s="29">
        <v>0</v>
      </c>
      <c r="M69" s="29">
        <v>272877000000</v>
      </c>
    </row>
    <row r="70" spans="1:13">
      <c r="A70" s="26">
        <f>'法人一覧(25)'!A69</f>
        <v>66</v>
      </c>
      <c r="B70" s="38" t="str">
        <f>'法人一覧(25)'!B69</f>
        <v>農林水産省</v>
      </c>
      <c r="C70" s="38" t="str">
        <f>'法人一覧(25)'!C69</f>
        <v>農業者年金基金</v>
      </c>
      <c r="D70" s="29">
        <v>123024954781</v>
      </c>
      <c r="E70" s="52">
        <v>0</v>
      </c>
      <c r="F70" s="29">
        <v>0</v>
      </c>
      <c r="G70" s="29"/>
      <c r="H70" s="52">
        <f>755396614</f>
        <v>755396614</v>
      </c>
      <c r="I70" s="29">
        <v>0</v>
      </c>
      <c r="J70" s="29">
        <v>703854242</v>
      </c>
      <c r="K70" s="29">
        <v>84500000000</v>
      </c>
      <c r="L70" s="29">
        <v>0</v>
      </c>
      <c r="M70" s="29">
        <v>208984205637</v>
      </c>
    </row>
    <row r="71" spans="1:13">
      <c r="A71" s="26">
        <f>'法人一覧(25)'!A70</f>
        <v>67</v>
      </c>
      <c r="B71" s="38" t="str">
        <f>'法人一覧(25)'!B70</f>
        <v>農林水産省</v>
      </c>
      <c r="C71" s="38" t="str">
        <f>'法人一覧(25)'!C70</f>
        <v>農林漁業信用基金</v>
      </c>
      <c r="D71" s="29">
        <v>54855413846</v>
      </c>
      <c r="E71" s="52">
        <v>0</v>
      </c>
      <c r="F71" s="29">
        <v>0</v>
      </c>
      <c r="G71" s="29">
        <v>0</v>
      </c>
      <c r="H71" s="29">
        <v>1431561671</v>
      </c>
      <c r="I71" s="29">
        <v>1087207599</v>
      </c>
      <c r="J71" s="29">
        <v>0</v>
      </c>
      <c r="K71" s="29">
        <v>0</v>
      </c>
      <c r="L71" s="29">
        <v>0</v>
      </c>
      <c r="M71" s="29">
        <v>56286975517</v>
      </c>
    </row>
    <row r="72" spans="1:13">
      <c r="A72" s="26">
        <f>'法人一覧(25)'!A71</f>
        <v>68</v>
      </c>
      <c r="B72" s="38" t="str">
        <f>'法人一覧(25)'!B71</f>
        <v>経済産業省</v>
      </c>
      <c r="C72" s="38" t="str">
        <f>'法人一覧(25)'!C71</f>
        <v>経済産業研究所</v>
      </c>
      <c r="D72" s="29">
        <v>1109439064</v>
      </c>
      <c r="E72" s="52">
        <v>0</v>
      </c>
      <c r="F72" s="29">
        <v>0</v>
      </c>
      <c r="G72" s="29">
        <v>6803949</v>
      </c>
      <c r="H72" s="29">
        <v>198474852</v>
      </c>
      <c r="I72" s="29">
        <v>0</v>
      </c>
      <c r="J72" s="29">
        <v>0</v>
      </c>
      <c r="K72" s="29">
        <v>0</v>
      </c>
      <c r="L72" s="29">
        <v>0</v>
      </c>
      <c r="M72" s="29">
        <v>1314717865</v>
      </c>
    </row>
    <row r="73" spans="1:13">
      <c r="A73" s="26">
        <f>'法人一覧(25)'!A72</f>
        <v>69</v>
      </c>
      <c r="B73" s="38" t="str">
        <f>'法人一覧(25)'!B72</f>
        <v>経済産業省</v>
      </c>
      <c r="C73" s="38" t="str">
        <f>'法人一覧(25)'!C72</f>
        <v>工業所有権情報・研修館</v>
      </c>
      <c r="D73" s="29">
        <v>7512222549</v>
      </c>
      <c r="E73" s="52">
        <v>0</v>
      </c>
      <c r="F73" s="29">
        <v>0</v>
      </c>
      <c r="G73" s="29">
        <v>0</v>
      </c>
      <c r="H73" s="29">
        <f>273904650+I73</f>
        <v>915298396</v>
      </c>
      <c r="I73" s="52">
        <v>641393746</v>
      </c>
      <c r="J73" s="29">
        <v>0</v>
      </c>
      <c r="K73" s="29">
        <v>0</v>
      </c>
      <c r="L73" s="29">
        <v>0</v>
      </c>
      <c r="M73" s="29">
        <v>8427520945</v>
      </c>
    </row>
    <row r="74" spans="1:13">
      <c r="A74" s="26">
        <f>'法人一覧(25)'!A73</f>
        <v>70</v>
      </c>
      <c r="B74" s="38" t="str">
        <f>'法人一覧(25)'!B73</f>
        <v>経済産業省</v>
      </c>
      <c r="C74" s="38" t="str">
        <f>'法人一覧(25)'!C73</f>
        <v>日本貿易保険</v>
      </c>
      <c r="D74" s="52">
        <v>6181000000</v>
      </c>
      <c r="E74" s="52">
        <v>1331000000</v>
      </c>
      <c r="F74" s="29">
        <v>0</v>
      </c>
      <c r="G74" s="29">
        <v>0</v>
      </c>
      <c r="H74" s="29">
        <v>0</v>
      </c>
      <c r="I74" s="29">
        <v>0</v>
      </c>
      <c r="J74" s="29">
        <v>0</v>
      </c>
      <c r="K74" s="29">
        <f>546000000+52879000000-1704000000</f>
        <v>51721000000</v>
      </c>
      <c r="L74" s="29">
        <v>9101000000</v>
      </c>
      <c r="M74" s="29">
        <v>67004000000</v>
      </c>
    </row>
    <row r="75" spans="1:13">
      <c r="A75" s="26">
        <f>'法人一覧(25)'!A74</f>
        <v>71</v>
      </c>
      <c r="B75" s="38" t="str">
        <f>'法人一覧(25)'!B74</f>
        <v>経済産業省</v>
      </c>
      <c r="C75" s="38" t="str">
        <f>'法人一覧(25)'!C74</f>
        <v>産業技術総合研究所</v>
      </c>
      <c r="D75" s="29">
        <v>70357615465</v>
      </c>
      <c r="E75" s="29">
        <v>0</v>
      </c>
      <c r="F75" s="29">
        <v>11585458953</v>
      </c>
      <c r="G75" s="29">
        <v>12068656421</v>
      </c>
      <c r="H75" s="29">
        <v>8440231344</v>
      </c>
      <c r="I75" s="29">
        <v>0</v>
      </c>
      <c r="J75" s="29">
        <v>0</v>
      </c>
      <c r="K75" s="29">
        <v>0</v>
      </c>
      <c r="L75" s="29">
        <v>0</v>
      </c>
      <c r="M75" s="29">
        <v>102451962183</v>
      </c>
    </row>
    <row r="76" spans="1:13">
      <c r="A76" s="26">
        <f>'法人一覧(25)'!A75</f>
        <v>72</v>
      </c>
      <c r="B76" s="38" t="str">
        <f>'法人一覧(25)'!B75</f>
        <v>経済産業省</v>
      </c>
      <c r="C76" s="38" t="str">
        <f>'法人一覧(25)'!C75</f>
        <v>製品評価技術基盤機構</v>
      </c>
      <c r="D76" s="29">
        <v>5979588534</v>
      </c>
      <c r="E76" s="29">
        <v>0</v>
      </c>
      <c r="F76" s="29">
        <v>511397864</v>
      </c>
      <c r="G76" s="29">
        <v>300368804</v>
      </c>
      <c r="H76" s="29">
        <v>914706811</v>
      </c>
      <c r="I76" s="29">
        <v>0</v>
      </c>
      <c r="J76" s="29">
        <v>0</v>
      </c>
      <c r="K76" s="29">
        <v>0</v>
      </c>
      <c r="L76" s="29">
        <v>0</v>
      </c>
      <c r="M76" s="29">
        <v>7706062013</v>
      </c>
    </row>
    <row r="77" spans="1:13">
      <c r="A77" s="26">
        <f>'法人一覧(25)'!A76</f>
        <v>73</v>
      </c>
      <c r="B77" s="38" t="str">
        <f>'法人一覧(25)'!B76</f>
        <v>経済産業省</v>
      </c>
      <c r="C77" s="38" t="str">
        <f>'法人一覧(25)'!C76</f>
        <v>新エネルギー・産業技術総合開発機構</v>
      </c>
      <c r="D77" s="52">
        <v>83207398860</v>
      </c>
      <c r="E77" s="29">
        <v>0</v>
      </c>
      <c r="F77" s="29">
        <v>0</v>
      </c>
      <c r="G77" s="52">
        <v>8880571992</v>
      </c>
      <c r="H77" s="52">
        <v>6325270794</v>
      </c>
      <c r="I77" s="29">
        <v>0</v>
      </c>
      <c r="J77" s="29">
        <v>0</v>
      </c>
      <c r="K77" s="52">
        <v>8481144837</v>
      </c>
      <c r="L77" s="29">
        <v>0</v>
      </c>
      <c r="M77" s="52">
        <v>106894386483</v>
      </c>
    </row>
    <row r="78" spans="1:13">
      <c r="A78" s="26">
        <f>'法人一覧(25)'!A77</f>
        <v>74</v>
      </c>
      <c r="B78" s="38" t="str">
        <f>'法人一覧(25)'!B77</f>
        <v>経済産業省</v>
      </c>
      <c r="C78" s="38" t="str">
        <f>'法人一覧(25)'!C77</f>
        <v>日本貿易振興機構</v>
      </c>
      <c r="D78" s="52">
        <v>28755571565</v>
      </c>
      <c r="E78" s="29">
        <v>0</v>
      </c>
      <c r="F78" s="29">
        <v>0</v>
      </c>
      <c r="G78" s="52">
        <v>1258370164</v>
      </c>
      <c r="H78" s="52">
        <v>1684657106</v>
      </c>
      <c r="I78" s="29">
        <v>0</v>
      </c>
      <c r="J78" s="29">
        <v>0</v>
      </c>
      <c r="K78" s="29">
        <v>0</v>
      </c>
      <c r="L78" s="29">
        <v>0</v>
      </c>
      <c r="M78" s="52">
        <v>31698598835</v>
      </c>
    </row>
    <row r="79" spans="1:13">
      <c r="A79" s="26">
        <f>'法人一覧(25)'!A78</f>
        <v>75</v>
      </c>
      <c r="B79" s="38" t="str">
        <f>'法人一覧(25)'!B78</f>
        <v>経済産業省</v>
      </c>
      <c r="C79" s="38" t="str">
        <f>'法人一覧(25)'!C78</f>
        <v>情報処理推進機構</v>
      </c>
      <c r="D79" s="52">
        <v>5472697698</v>
      </c>
      <c r="E79" s="29">
        <v>0</v>
      </c>
      <c r="F79" s="29">
        <v>0</v>
      </c>
      <c r="G79" s="52">
        <v>3308958</v>
      </c>
      <c r="H79" s="52">
        <v>908196114</v>
      </c>
      <c r="I79" s="29">
        <v>0</v>
      </c>
      <c r="J79" s="29">
        <v>0</v>
      </c>
      <c r="K79" s="29">
        <v>0</v>
      </c>
      <c r="L79" s="29">
        <v>0</v>
      </c>
      <c r="M79" s="52">
        <v>6384202770</v>
      </c>
    </row>
    <row r="80" spans="1:13">
      <c r="A80" s="26">
        <f>'法人一覧(25)'!A79</f>
        <v>76</v>
      </c>
      <c r="B80" s="38" t="str">
        <f>'法人一覧(25)'!B79</f>
        <v>経済産業省</v>
      </c>
      <c r="C80" s="38" t="str">
        <f>'法人一覧(25)'!C79</f>
        <v>石油天然ガス・金属鉱物資源機構</v>
      </c>
      <c r="D80" s="29">
        <v>77127225247</v>
      </c>
      <c r="E80" s="29">
        <v>0</v>
      </c>
      <c r="F80" s="29">
        <v>0</v>
      </c>
      <c r="G80" s="29">
        <v>94780690646</v>
      </c>
      <c r="H80" s="29">
        <v>1560620883</v>
      </c>
      <c r="I80" s="29">
        <v>0</v>
      </c>
      <c r="J80" s="29">
        <v>0</v>
      </c>
      <c r="K80" s="29">
        <f>900779810980+1000000000+771535495536+938561180+23490042015</f>
        <v>1697743909711</v>
      </c>
      <c r="L80" s="29">
        <v>0</v>
      </c>
      <c r="M80" s="29">
        <v>1871212446487</v>
      </c>
    </row>
    <row r="81" spans="1:13">
      <c r="A81" s="26">
        <f>'法人一覧(25)'!A80</f>
        <v>77</v>
      </c>
      <c r="B81" s="38" t="str">
        <f>'法人一覧(25)'!B80</f>
        <v>経済産業省</v>
      </c>
      <c r="C81" s="38" t="str">
        <f>'法人一覧(25)'!C80</f>
        <v>中小企業基盤整備機構</v>
      </c>
      <c r="D81" s="29">
        <f>28801098888+179061569+995540880+590371381925+43644952107+1064906810+1241185245+11902338</f>
        <v>666310029762</v>
      </c>
      <c r="E81" s="29">
        <v>0</v>
      </c>
      <c r="F81" s="29">
        <v>0</v>
      </c>
      <c r="G81" s="29">
        <f>34269668+64066010</f>
        <v>98335678</v>
      </c>
      <c r="H81" s="29">
        <f>963464189+23829989+41906098+117867290+93846873+56833745+45727405+1267462</f>
        <v>1344743051</v>
      </c>
      <c r="I81" s="29">
        <v>0</v>
      </c>
      <c r="J81" s="29">
        <v>0</v>
      </c>
      <c r="K81" s="29">
        <f>68388888000+28978637408+386337766+4500000000+14507832+433668740000+13704666+38286400000+3100000000+18000000</f>
        <v>577355215672</v>
      </c>
      <c r="L81" s="29">
        <v>0</v>
      </c>
      <c r="M81" s="29">
        <f>132052695919+217399390+1037446978+1024171693881+82025198980+1185806565+4404912650+13169800</f>
        <v>1245108324163</v>
      </c>
    </row>
    <row r="82" spans="1:13">
      <c r="A82" s="26">
        <f>'法人一覧(25)'!A81</f>
        <v>78</v>
      </c>
      <c r="B82" s="38" t="str">
        <f>'法人一覧(25)'!B81</f>
        <v>国土交通省</v>
      </c>
      <c r="C82" s="38" t="str">
        <f>'法人一覧(25)'!C81</f>
        <v>土木研究所</v>
      </c>
      <c r="D82" s="52">
        <v>4148326000</v>
      </c>
      <c r="E82" s="29">
        <v>0</v>
      </c>
      <c r="F82" s="52">
        <v>1674445000</v>
      </c>
      <c r="G82" s="52">
        <v>292115000</v>
      </c>
      <c r="H82" s="52">
        <v>645367000</v>
      </c>
      <c r="I82" s="52">
        <v>0</v>
      </c>
      <c r="J82" s="52">
        <v>3772170000</v>
      </c>
      <c r="K82" s="52">
        <v>0</v>
      </c>
      <c r="L82" s="52">
        <v>0</v>
      </c>
      <c r="M82" s="52">
        <v>10532423000</v>
      </c>
    </row>
    <row r="83" spans="1:13">
      <c r="A83" s="26">
        <f>'法人一覧(25)'!A82</f>
        <v>79</v>
      </c>
      <c r="B83" s="38" t="str">
        <f>'法人一覧(25)'!B82</f>
        <v>国土交通省</v>
      </c>
      <c r="C83" s="38" t="str">
        <f>'法人一覧(25)'!C82</f>
        <v>建築研究所</v>
      </c>
      <c r="D83" s="52">
        <v>530830614</v>
      </c>
      <c r="E83" s="29">
        <v>0</v>
      </c>
      <c r="F83" s="52">
        <v>76602750</v>
      </c>
      <c r="G83" s="52">
        <v>59344507</v>
      </c>
      <c r="H83" s="52">
        <v>265541027</v>
      </c>
      <c r="I83" s="52">
        <v>0</v>
      </c>
      <c r="J83" s="52">
        <v>880311373</v>
      </c>
      <c r="K83" s="52">
        <v>0</v>
      </c>
      <c r="L83" s="52">
        <v>0</v>
      </c>
      <c r="M83" s="52">
        <v>1812630271</v>
      </c>
    </row>
    <row r="84" spans="1:13">
      <c r="A84" s="26">
        <f>'法人一覧(25)'!A83</f>
        <v>80</v>
      </c>
      <c r="B84" s="38" t="str">
        <f>'法人一覧(25)'!B83</f>
        <v>国土交通省</v>
      </c>
      <c r="C84" s="38" t="str">
        <f>'法人一覧(25)'!C83</f>
        <v>交通安全環境研究所</v>
      </c>
      <c r="D84" s="52">
        <f>SUM(137002523,473808621)</f>
        <v>610811144</v>
      </c>
      <c r="E84" s="29">
        <v>0</v>
      </c>
      <c r="F84" s="52">
        <v>1284287756</v>
      </c>
      <c r="G84" s="52">
        <v>500158292</v>
      </c>
      <c r="H84" s="52">
        <f>SUM(60973642)</f>
        <v>60973642</v>
      </c>
      <c r="I84" s="52">
        <v>0</v>
      </c>
      <c r="J84" s="52">
        <v>812176715</v>
      </c>
      <c r="K84" s="52">
        <v>0</v>
      </c>
      <c r="L84" s="29">
        <v>0</v>
      </c>
      <c r="M84" s="29">
        <v>3268407549</v>
      </c>
    </row>
    <row r="85" spans="1:13">
      <c r="A85" s="26">
        <f>'法人一覧(25)'!A84</f>
        <v>81</v>
      </c>
      <c r="B85" s="38" t="str">
        <f>'法人一覧(25)'!B84</f>
        <v>国土交通省</v>
      </c>
      <c r="C85" s="38" t="str">
        <f>'法人一覧(25)'!C84</f>
        <v>海上技術安全研究所</v>
      </c>
      <c r="D85" s="52">
        <v>669755242</v>
      </c>
      <c r="E85" s="29">
        <v>0</v>
      </c>
      <c r="F85" s="52">
        <v>150294671</v>
      </c>
      <c r="G85" s="52">
        <v>1302847459</v>
      </c>
      <c r="H85" s="52">
        <v>80781031</v>
      </c>
      <c r="I85" s="52">
        <v>0</v>
      </c>
      <c r="J85" s="52">
        <v>1893841854</v>
      </c>
      <c r="K85" s="52">
        <v>0</v>
      </c>
      <c r="L85" s="29">
        <v>0</v>
      </c>
      <c r="M85" s="29">
        <v>4097520257</v>
      </c>
    </row>
    <row r="86" spans="1:13">
      <c r="A86" s="26">
        <f>'法人一覧(25)'!A85</f>
        <v>82</v>
      </c>
      <c r="B86" s="38" t="str">
        <f>'法人一覧(25)'!B85</f>
        <v>国土交通省</v>
      </c>
      <c r="C86" s="38" t="str">
        <f>'法人一覧(25)'!C85</f>
        <v>港湾空港技術研究所</v>
      </c>
      <c r="D86" s="52">
        <v>214933323</v>
      </c>
      <c r="E86" s="29">
        <v>0</v>
      </c>
      <c r="F86" s="52">
        <v>155302000</v>
      </c>
      <c r="G86" s="52">
        <v>1606001038</v>
      </c>
      <c r="H86" s="52">
        <v>87744747</v>
      </c>
      <c r="I86" s="52">
        <v>0</v>
      </c>
      <c r="J86" s="52">
        <v>882292219</v>
      </c>
      <c r="K86" s="52">
        <v>0</v>
      </c>
      <c r="L86" s="29">
        <v>0</v>
      </c>
      <c r="M86" s="29">
        <v>2946273327</v>
      </c>
    </row>
    <row r="87" spans="1:13">
      <c r="A87" s="26">
        <f>'法人一覧(25)'!A86</f>
        <v>83</v>
      </c>
      <c r="B87" s="38" t="str">
        <f>'法人一覧(25)'!B86</f>
        <v>国土交通省</v>
      </c>
      <c r="C87" s="38" t="str">
        <f>'法人一覧(25)'!C86</f>
        <v>電子航法研究所</v>
      </c>
      <c r="D87" s="52">
        <v>1328852832</v>
      </c>
      <c r="E87" s="29">
        <v>0</v>
      </c>
      <c r="F87" s="52">
        <v>49900000</v>
      </c>
      <c r="G87" s="52">
        <v>84291646</v>
      </c>
      <c r="H87" s="52">
        <v>42279454</v>
      </c>
      <c r="I87" s="52">
        <v>0</v>
      </c>
      <c r="J87" s="52">
        <v>618507303</v>
      </c>
      <c r="K87" s="52">
        <v>0</v>
      </c>
      <c r="L87" s="29">
        <v>0</v>
      </c>
      <c r="M87" s="29">
        <v>2123831235</v>
      </c>
    </row>
    <row r="88" spans="1:13">
      <c r="A88" s="26">
        <f>'法人一覧(25)'!A87</f>
        <v>84</v>
      </c>
      <c r="B88" s="38" t="str">
        <f>'法人一覧(25)'!B87</f>
        <v>国土交通省</v>
      </c>
      <c r="C88" s="38" t="str">
        <f>'法人一覧(25)'!C87</f>
        <v>航海訓練所</v>
      </c>
      <c r="D88" s="52">
        <v>1922367110</v>
      </c>
      <c r="E88" s="29">
        <v>0</v>
      </c>
      <c r="F88" s="52">
        <v>450000000</v>
      </c>
      <c r="G88" s="52">
        <v>1059396</v>
      </c>
      <c r="H88" s="52">
        <v>186696421</v>
      </c>
      <c r="I88" s="52">
        <v>0</v>
      </c>
      <c r="J88" s="52">
        <v>3462387409</v>
      </c>
      <c r="K88" s="52">
        <v>0</v>
      </c>
      <c r="L88" s="52">
        <v>0</v>
      </c>
      <c r="M88" s="52">
        <v>6022510336</v>
      </c>
    </row>
    <row r="89" spans="1:13">
      <c r="A89" s="26">
        <f>'法人一覧(25)'!A88</f>
        <v>85</v>
      </c>
      <c r="B89" s="38" t="str">
        <f>'法人一覧(25)'!B88</f>
        <v>国土交通省</v>
      </c>
      <c r="C89" s="38" t="str">
        <f>'法人一覧(25)'!C88</f>
        <v>海技教育機構</v>
      </c>
      <c r="D89" s="52">
        <v>481414852</v>
      </c>
      <c r="E89" s="29">
        <v>0</v>
      </c>
      <c r="F89" s="52">
        <v>0</v>
      </c>
      <c r="G89" s="52">
        <v>22819525</v>
      </c>
      <c r="H89" s="52">
        <v>227670411</v>
      </c>
      <c r="I89" s="52">
        <v>0</v>
      </c>
      <c r="J89" s="52">
        <v>1710727132</v>
      </c>
      <c r="K89" s="52">
        <v>0</v>
      </c>
      <c r="L89" s="52">
        <v>0</v>
      </c>
      <c r="M89" s="52">
        <v>2442631920</v>
      </c>
    </row>
    <row r="90" spans="1:13">
      <c r="A90" s="26">
        <f>'法人一覧(25)'!A89</f>
        <v>86</v>
      </c>
      <c r="B90" s="38" t="str">
        <f>'法人一覧(25)'!B89</f>
        <v>国土交通省</v>
      </c>
      <c r="C90" s="38" t="str">
        <f>'法人一覧(25)'!C89</f>
        <v>航空大学校</v>
      </c>
      <c r="D90" s="52">
        <v>1642700143</v>
      </c>
      <c r="E90" s="29">
        <v>0</v>
      </c>
      <c r="F90" s="52">
        <v>77768250</v>
      </c>
      <c r="G90" s="52">
        <v>0</v>
      </c>
      <c r="H90" s="52">
        <f>222778405</f>
        <v>222778405</v>
      </c>
      <c r="I90" s="52">
        <v>0</v>
      </c>
      <c r="J90" s="52">
        <v>934800718</v>
      </c>
      <c r="K90" s="52">
        <v>0</v>
      </c>
      <c r="L90" s="29">
        <v>0</v>
      </c>
      <c r="M90" s="29">
        <v>2878047516</v>
      </c>
    </row>
    <row r="91" spans="1:13">
      <c r="A91" s="26">
        <f>'法人一覧(25)'!A90</f>
        <v>87</v>
      </c>
      <c r="B91" s="38" t="str">
        <f>'法人一覧(25)'!B90</f>
        <v>国土交通省</v>
      </c>
      <c r="C91" s="38" t="str">
        <f>'法人一覧(25)'!C90</f>
        <v>自動車検査</v>
      </c>
      <c r="D91" s="52">
        <f>SUM(3171134041,60726858,151719521)</f>
        <v>3383580420</v>
      </c>
      <c r="E91" s="29">
        <v>0</v>
      </c>
      <c r="F91" s="52">
        <v>2240647320</v>
      </c>
      <c r="G91" s="52">
        <v>10918954</v>
      </c>
      <c r="H91" s="52">
        <f>SUM(913578946)</f>
        <v>913578946</v>
      </c>
      <c r="I91" s="52">
        <v>0</v>
      </c>
      <c r="J91" s="52">
        <v>5758445000</v>
      </c>
      <c r="K91" s="52">
        <v>0</v>
      </c>
      <c r="L91" s="29">
        <v>0</v>
      </c>
      <c r="M91" s="29">
        <v>12307170640</v>
      </c>
    </row>
    <row r="92" spans="1:13">
      <c r="A92" s="26">
        <f>'法人一覧(25)'!A91</f>
        <v>88</v>
      </c>
      <c r="B92" s="38" t="str">
        <f>'法人一覧(25)'!B91</f>
        <v>国土交通省</v>
      </c>
      <c r="C92" s="38" t="str">
        <f>'法人一覧(25)'!C91</f>
        <v>鉄道建設・運輸施設整備支援機構</v>
      </c>
      <c r="D92" s="52">
        <v>585279456386</v>
      </c>
      <c r="E92" s="29">
        <v>0</v>
      </c>
      <c r="F92" s="69" t="s">
        <v>465</v>
      </c>
      <c r="G92" s="52">
        <v>28500184150</v>
      </c>
      <c r="H92" s="52">
        <v>5905639958</v>
      </c>
      <c r="I92" s="52">
        <v>0</v>
      </c>
      <c r="J92" s="52">
        <v>15485148217</v>
      </c>
      <c r="K92" s="52">
        <v>866791469263</v>
      </c>
      <c r="L92" s="69" t="s">
        <v>465</v>
      </c>
      <c r="M92" s="52">
        <v>1501961897974</v>
      </c>
    </row>
    <row r="93" spans="1:13">
      <c r="A93" s="26">
        <f>'法人一覧(25)'!A92</f>
        <v>89</v>
      </c>
      <c r="B93" s="38" t="str">
        <f>'法人一覧(25)'!B92</f>
        <v>国土交通省</v>
      </c>
      <c r="C93" s="38" t="str">
        <f>'法人一覧(25)'!C92</f>
        <v>国際観光振興機構</v>
      </c>
      <c r="D93" s="52">
        <f>SUM(738709121,56405127)</f>
        <v>795114248</v>
      </c>
      <c r="E93" s="52">
        <v>10041918</v>
      </c>
      <c r="F93" s="52">
        <v>0</v>
      </c>
      <c r="G93" s="52">
        <v>182091739</v>
      </c>
      <c r="H93" s="52">
        <f>SUM(244018508)</f>
        <v>244018508</v>
      </c>
      <c r="I93" s="52">
        <v>0</v>
      </c>
      <c r="J93" s="52">
        <v>1039060828</v>
      </c>
      <c r="K93" s="52">
        <v>0</v>
      </c>
      <c r="L93" s="29">
        <v>0</v>
      </c>
      <c r="M93" s="29">
        <f>SUM(2203880196,56405127)</f>
        <v>2260285323</v>
      </c>
    </row>
    <row r="94" spans="1:13">
      <c r="A94" s="26">
        <f>'法人一覧(25)'!A93</f>
        <v>90</v>
      </c>
      <c r="B94" s="38" t="str">
        <f>'法人一覧(25)'!B93</f>
        <v>国土交通省</v>
      </c>
      <c r="C94" s="38" t="str">
        <f>'法人一覧(25)'!C93</f>
        <v>水資源機構</v>
      </c>
      <c r="D94" s="52">
        <v>56084956148</v>
      </c>
      <c r="E94" s="52">
        <v>0</v>
      </c>
      <c r="F94" s="52">
        <v>232606783</v>
      </c>
      <c r="G94" s="52">
        <v>512032009</v>
      </c>
      <c r="H94" s="52">
        <f>1508087735</f>
        <v>1508087735</v>
      </c>
      <c r="I94" s="52">
        <v>0</v>
      </c>
      <c r="J94" s="52">
        <v>13385971001</v>
      </c>
      <c r="K94" s="52">
        <f>75301586140+12760629093+7547675762</f>
        <v>95609890995</v>
      </c>
      <c r="L94" s="29"/>
      <c r="M94" s="29">
        <v>167333544671</v>
      </c>
    </row>
    <row r="95" spans="1:13">
      <c r="A95" s="26">
        <f>'法人一覧(25)'!A94</f>
        <v>91</v>
      </c>
      <c r="B95" s="38" t="str">
        <f>'法人一覧(25)'!B94</f>
        <v>国土交通省</v>
      </c>
      <c r="C95" s="38" t="str">
        <f>'法人一覧(25)'!C94</f>
        <v>自動車事故対策機構</v>
      </c>
      <c r="D95" s="52">
        <v>7733762706</v>
      </c>
      <c r="E95" s="52">
        <v>0</v>
      </c>
      <c r="F95" s="52">
        <v>391255798</v>
      </c>
      <c r="G95" s="52">
        <v>0</v>
      </c>
      <c r="H95" s="52">
        <v>975792432</v>
      </c>
      <c r="I95" s="52">
        <v>0</v>
      </c>
      <c r="J95" s="52">
        <v>2900607840</v>
      </c>
      <c r="K95" s="52">
        <f>72736000+1398336000</f>
        <v>1471072000</v>
      </c>
      <c r="L95" s="52">
        <v>0</v>
      </c>
      <c r="M95" s="52">
        <v>13472490776</v>
      </c>
    </row>
    <row r="96" spans="1:13">
      <c r="A96" s="26">
        <f>'法人一覧(25)'!A95</f>
        <v>92</v>
      </c>
      <c r="B96" s="38" t="str">
        <f>'法人一覧(25)'!B95</f>
        <v>国土交通省</v>
      </c>
      <c r="C96" s="38" t="str">
        <f>'法人一覧(25)'!C95</f>
        <v>空港周辺整備機構</v>
      </c>
      <c r="D96" s="52">
        <v>427682785</v>
      </c>
      <c r="E96" s="52">
        <v>0</v>
      </c>
      <c r="F96" s="69" t="s">
        <v>465</v>
      </c>
      <c r="G96" s="52">
        <v>1452038549</v>
      </c>
      <c r="H96" s="52">
        <f>59544147</f>
        <v>59544147</v>
      </c>
      <c r="I96" s="52">
        <v>0</v>
      </c>
      <c r="J96" s="52">
        <v>253207000</v>
      </c>
      <c r="K96" s="52">
        <v>48616816</v>
      </c>
      <c r="L96" s="29">
        <v>0</v>
      </c>
      <c r="M96" s="29">
        <v>2241089297</v>
      </c>
    </row>
    <row r="97" spans="1:13">
      <c r="A97" s="26">
        <f>'法人一覧(25)'!A96</f>
        <v>93</v>
      </c>
      <c r="B97" s="38" t="str">
        <f>'法人一覧(25)'!B96</f>
        <v>国土交通省</v>
      </c>
      <c r="C97" s="38" t="str">
        <f>'法人一覧(25)'!C96</f>
        <v>海上災害防止センター</v>
      </c>
      <c r="D97" s="52">
        <v>0</v>
      </c>
      <c r="E97" s="52">
        <v>0</v>
      </c>
      <c r="F97" s="52">
        <v>0</v>
      </c>
      <c r="G97" s="52">
        <v>637775272</v>
      </c>
      <c r="H97" s="52">
        <v>198150201</v>
      </c>
      <c r="I97" s="52">
        <v>0</v>
      </c>
      <c r="J97" s="52">
        <v>0</v>
      </c>
      <c r="K97" s="52">
        <v>2498000</v>
      </c>
      <c r="L97" s="29">
        <v>0</v>
      </c>
      <c r="M97" s="29">
        <v>838423473</v>
      </c>
    </row>
    <row r="98" spans="1:13">
      <c r="A98" s="26">
        <f>'法人一覧(25)'!A97</f>
        <v>94</v>
      </c>
      <c r="B98" s="38" t="str">
        <f>'法人一覧(25)'!B97</f>
        <v>国土交通省</v>
      </c>
      <c r="C98" s="38" t="str">
        <f>'法人一覧(25)'!C97</f>
        <v>都市再生機構</v>
      </c>
      <c r="D98" s="52">
        <v>539403878812</v>
      </c>
      <c r="E98" s="52">
        <v>0</v>
      </c>
      <c r="F98" s="52">
        <v>0</v>
      </c>
      <c r="G98" s="52">
        <v>61804598692</v>
      </c>
      <c r="H98" s="52">
        <v>43614753371</v>
      </c>
      <c r="I98" s="52">
        <v>36611978665</v>
      </c>
      <c r="J98" s="52">
        <v>0</v>
      </c>
      <c r="K98" s="52">
        <v>1220475012827</v>
      </c>
      <c r="L98" s="29">
        <v>0</v>
      </c>
      <c r="M98" s="29">
        <v>1865298243702</v>
      </c>
    </row>
    <row r="99" spans="1:13">
      <c r="A99" s="26">
        <f>'法人一覧(25)'!A98</f>
        <v>95</v>
      </c>
      <c r="B99" s="38" t="str">
        <f>'法人一覧(25)'!B98</f>
        <v>国土交通省</v>
      </c>
      <c r="C99" s="38" t="str">
        <f>'法人一覧(25)'!C98</f>
        <v>奄美群島振興開発基金</v>
      </c>
      <c r="D99" s="52">
        <v>1090035</v>
      </c>
      <c r="E99" s="52">
        <v>0</v>
      </c>
      <c r="F99" s="52">
        <v>0</v>
      </c>
      <c r="G99" s="52">
        <v>0</v>
      </c>
      <c r="H99" s="52">
        <v>186266462</v>
      </c>
      <c r="I99" s="52">
        <v>137828249</v>
      </c>
      <c r="J99" s="52">
        <v>0</v>
      </c>
      <c r="K99" s="52">
        <f>188245653+1548025000+87532992+9095338</f>
        <v>1832898983</v>
      </c>
      <c r="L99" s="29">
        <v>0</v>
      </c>
      <c r="M99" s="29">
        <v>2020255480</v>
      </c>
    </row>
    <row r="100" spans="1:13">
      <c r="A100" s="26">
        <f>'法人一覧(25)'!A99</f>
        <v>96</v>
      </c>
      <c r="B100" s="38" t="str">
        <f>'法人一覧(25)'!B99</f>
        <v>国土交通省</v>
      </c>
      <c r="C100" s="38" t="str">
        <f>'法人一覧(25)'!C99</f>
        <v>日本高速道路保有・債務返済機構</v>
      </c>
      <c r="D100" s="52">
        <f>6018436532+48326000000+721121300+2906096103</f>
        <v>57971653935</v>
      </c>
      <c r="E100" s="52">
        <v>0</v>
      </c>
      <c r="F100" s="52">
        <v>0</v>
      </c>
      <c r="G100" s="52">
        <v>0</v>
      </c>
      <c r="H100" s="52">
        <v>1287251638</v>
      </c>
      <c r="I100" s="52">
        <v>861807542</v>
      </c>
      <c r="J100" s="52">
        <v>0</v>
      </c>
      <c r="K100" s="52">
        <f>4757766092963+10995723498</f>
        <v>4768761816461</v>
      </c>
      <c r="L100" s="29">
        <v>0</v>
      </c>
      <c r="M100" s="29">
        <v>4828020722034</v>
      </c>
    </row>
    <row r="101" spans="1:13">
      <c r="A101" s="26">
        <f>'法人一覧(25)'!A100</f>
        <v>97</v>
      </c>
      <c r="B101" s="38" t="str">
        <f>'法人一覧(25)'!B100</f>
        <v>国土交通省</v>
      </c>
      <c r="C101" s="38" t="str">
        <f>'法人一覧(25)'!C100</f>
        <v>住宅金融支援機構</v>
      </c>
      <c r="D101" s="52">
        <v>152848251599</v>
      </c>
      <c r="E101" s="52">
        <v>0</v>
      </c>
      <c r="F101" s="52">
        <v>0</v>
      </c>
      <c r="G101" s="52">
        <v>0</v>
      </c>
      <c r="H101" s="52">
        <f>2930980751</f>
        <v>2930980751</v>
      </c>
      <c r="I101" s="52">
        <v>0</v>
      </c>
      <c r="J101" s="52">
        <v>10134204153</v>
      </c>
      <c r="K101" s="52">
        <f>1867994090000+154259140000+3815345581640+681592950981+481295961918</f>
        <v>7000487724539</v>
      </c>
      <c r="L101" s="29">
        <v>0</v>
      </c>
      <c r="M101" s="29">
        <v>7166401161042</v>
      </c>
    </row>
    <row r="102" spans="1:13">
      <c r="A102" s="26">
        <f>'法人一覧(25)'!A101</f>
        <v>98</v>
      </c>
      <c r="B102" s="38" t="str">
        <f>'法人一覧(25)'!B101</f>
        <v>環境省</v>
      </c>
      <c r="C102" s="38" t="str">
        <f>'法人一覧(25)'!C101</f>
        <v>国立環境研究所</v>
      </c>
      <c r="D102" s="29">
        <v>8585548117</v>
      </c>
      <c r="E102" s="52">
        <v>0</v>
      </c>
      <c r="F102" s="29">
        <v>620520204</v>
      </c>
      <c r="G102" s="29">
        <v>3783610627</v>
      </c>
      <c r="H102" s="29">
        <f>2467686575+I102</f>
        <v>2929119377</v>
      </c>
      <c r="I102" s="52">
        <v>461432802</v>
      </c>
      <c r="J102" s="52">
        <v>0</v>
      </c>
      <c r="K102" s="29">
        <v>0</v>
      </c>
      <c r="L102" s="29">
        <v>0</v>
      </c>
      <c r="M102" s="29">
        <v>15918798325</v>
      </c>
    </row>
    <row r="103" spans="1:13">
      <c r="A103" s="26">
        <f>'法人一覧(25)'!A102</f>
        <v>99</v>
      </c>
      <c r="B103" s="38" t="str">
        <f>'法人一覧(25)'!B102</f>
        <v>環境省</v>
      </c>
      <c r="C103" s="38" t="str">
        <f>'法人一覧(25)'!C102</f>
        <v>環境再生保全機構</v>
      </c>
      <c r="D103" s="52">
        <f>45222945532+3524736525+3293071708+245054472</f>
        <v>52285808237</v>
      </c>
      <c r="E103" s="52">
        <v>746000000</v>
      </c>
      <c r="F103" s="29">
        <v>0</v>
      </c>
      <c r="G103" s="29">
        <v>2702544</v>
      </c>
      <c r="H103" s="29">
        <v>693928219</v>
      </c>
      <c r="I103" s="29">
        <v>303485742</v>
      </c>
      <c r="J103" s="29">
        <v>0</v>
      </c>
      <c r="K103" s="29">
        <f>13661528000+307631668</f>
        <v>13969159668</v>
      </c>
      <c r="L103" s="29">
        <v>0</v>
      </c>
      <c r="M103" s="29">
        <v>66951598668</v>
      </c>
    </row>
    <row r="104" spans="1:13">
      <c r="A104" s="26">
        <f>'法人一覧(25)'!A103</f>
        <v>100</v>
      </c>
      <c r="B104" s="38" t="str">
        <f>'法人一覧(25)'!B103</f>
        <v>原子力規制委員会</v>
      </c>
      <c r="C104" s="38" t="str">
        <f>'法人一覧(25)'!C103</f>
        <v>原子力安全基盤機構</v>
      </c>
      <c r="D104" s="52">
        <f>10239453332+346504932</f>
        <v>10585958264</v>
      </c>
      <c r="E104" s="52">
        <v>0</v>
      </c>
      <c r="F104" s="29">
        <v>0</v>
      </c>
      <c r="G104" s="29">
        <v>0</v>
      </c>
      <c r="H104" s="29">
        <v>1954504156</v>
      </c>
      <c r="I104" s="29">
        <v>0</v>
      </c>
      <c r="J104" s="29">
        <v>0</v>
      </c>
      <c r="K104" s="29">
        <v>0</v>
      </c>
      <c r="L104" s="29">
        <v>0</v>
      </c>
      <c r="M104" s="29">
        <v>12540462420</v>
      </c>
    </row>
    <row r="105" spans="1:13" ht="13.8" thickBot="1">
      <c r="A105" s="116">
        <f>'法人一覧(25)'!A104</f>
        <v>101</v>
      </c>
      <c r="B105" s="117" t="str">
        <f>'法人一覧(25)'!B104</f>
        <v>防衛省</v>
      </c>
      <c r="C105" s="117" t="str">
        <f>'法人一覧(25)'!C104</f>
        <v>駐留軍等労働者労務管理機構</v>
      </c>
      <c r="D105" s="122">
        <v>3012727752</v>
      </c>
      <c r="E105" s="122">
        <v>1879777873</v>
      </c>
      <c r="F105" s="118">
        <v>0</v>
      </c>
      <c r="G105" s="118">
        <v>0</v>
      </c>
      <c r="H105" s="118">
        <v>0</v>
      </c>
      <c r="I105" s="118">
        <v>0</v>
      </c>
      <c r="J105" s="118">
        <v>0</v>
      </c>
      <c r="K105" s="118">
        <v>0</v>
      </c>
      <c r="L105" s="118">
        <v>0</v>
      </c>
      <c r="M105" s="118">
        <v>3012727752</v>
      </c>
    </row>
    <row r="106" spans="1:13" s="37" customFormat="1" ht="19.2" customHeight="1" thickTop="1">
      <c r="A106" s="167" t="s">
        <v>583</v>
      </c>
      <c r="B106" s="187"/>
      <c r="C106" s="170"/>
      <c r="D106" s="115">
        <f t="shared" ref="D106:L106" si="0">SUM(D5:D105)</f>
        <v>19813656109439</v>
      </c>
      <c r="E106" s="115">
        <f t="shared" si="0"/>
        <v>134693442515</v>
      </c>
      <c r="F106" s="115">
        <f t="shared" si="0"/>
        <v>374729463264</v>
      </c>
      <c r="G106" s="115">
        <f t="shared" si="0"/>
        <v>331339381296</v>
      </c>
      <c r="H106" s="115">
        <f t="shared" si="0"/>
        <v>213977803304</v>
      </c>
      <c r="I106" s="115">
        <f t="shared" si="0"/>
        <v>94319162417</v>
      </c>
      <c r="J106" s="115">
        <f t="shared" si="0"/>
        <v>168336832020</v>
      </c>
      <c r="K106" s="115">
        <f t="shared" si="0"/>
        <v>64562666873940</v>
      </c>
      <c r="L106" s="115">
        <f t="shared" si="0"/>
        <v>197156537051</v>
      </c>
      <c r="M106" s="115">
        <f>SUM(M5:M105)</f>
        <v>85661867000314</v>
      </c>
    </row>
    <row r="108" spans="1:13">
      <c r="B108" s="45" t="s">
        <v>589</v>
      </c>
    </row>
    <row r="109" spans="1:13">
      <c r="B109" s="45" t="s">
        <v>666</v>
      </c>
    </row>
  </sheetData>
  <mergeCells count="13">
    <mergeCell ref="B2:B4"/>
    <mergeCell ref="C2:C4"/>
    <mergeCell ref="A106:C106"/>
    <mergeCell ref="A2:A4"/>
    <mergeCell ref="D3:D4"/>
    <mergeCell ref="M2:M4"/>
    <mergeCell ref="J3:J4"/>
    <mergeCell ref="H3:H4"/>
    <mergeCell ref="K3:K4"/>
    <mergeCell ref="D2:L2"/>
    <mergeCell ref="L3:L4"/>
    <mergeCell ref="F3:F4"/>
    <mergeCell ref="G3:G4"/>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zoomScale="75" zoomScaleNormal="75" workbookViewId="0">
      <pane xSplit="3" ySplit="4" topLeftCell="D77" activePane="bottomRight" state="frozen"/>
      <selection activeCell="B2" sqref="B2:B3"/>
      <selection pane="topRight" activeCell="B2" sqref="B2:B3"/>
      <selection pane="bottomLeft" activeCell="B2" sqref="B2:B3"/>
      <selection pane="bottomRight" activeCell="B106" sqref="B106"/>
    </sheetView>
  </sheetViews>
  <sheetFormatPr defaultColWidth="8.88671875" defaultRowHeight="13.2"/>
  <cols>
    <col min="1" max="1" width="3.44140625" style="37" bestFit="1" customWidth="1"/>
    <col min="2" max="2" width="15.44140625" style="1" customWidth="1"/>
    <col min="3" max="3" width="40.21875" style="1" bestFit="1" customWidth="1"/>
    <col min="4" max="4" width="15.44140625" style="1" customWidth="1"/>
    <col min="5" max="5" width="15.44140625" style="37" customWidth="1"/>
    <col min="6" max="9" width="15.44140625" style="1" customWidth="1"/>
    <col min="10" max="10" width="15.44140625" style="37" customWidth="1"/>
    <col min="11" max="13" width="15.44140625" style="1" customWidth="1"/>
    <col min="14" max="16384" width="8.88671875" style="1"/>
  </cols>
  <sheetData>
    <row r="1" spans="1:13" ht="19.95" customHeight="1">
      <c r="B1" s="144" t="s">
        <v>642</v>
      </c>
      <c r="M1" s="39" t="s">
        <v>204</v>
      </c>
    </row>
    <row r="2" spans="1:13">
      <c r="A2" s="161" t="s">
        <v>195</v>
      </c>
      <c r="B2" s="161" t="s">
        <v>0</v>
      </c>
      <c r="C2" s="161" t="s">
        <v>1</v>
      </c>
      <c r="D2" s="164" t="s">
        <v>241</v>
      </c>
      <c r="E2" s="165"/>
      <c r="F2" s="165"/>
      <c r="G2" s="165"/>
      <c r="H2" s="165"/>
      <c r="I2" s="165"/>
      <c r="J2" s="165"/>
      <c r="K2" s="165"/>
      <c r="L2" s="166"/>
      <c r="M2" s="161" t="s">
        <v>9</v>
      </c>
    </row>
    <row r="3" spans="1:13" s="37" customFormat="1">
      <c r="A3" s="180"/>
      <c r="B3" s="180"/>
      <c r="C3" s="180"/>
      <c r="D3" s="175" t="s">
        <v>10</v>
      </c>
      <c r="E3" s="84"/>
      <c r="F3" s="161" t="s">
        <v>4</v>
      </c>
      <c r="G3" s="161" t="s">
        <v>11</v>
      </c>
      <c r="H3" s="176" t="s">
        <v>12</v>
      </c>
      <c r="I3" s="25"/>
      <c r="J3" s="161" t="s">
        <v>412</v>
      </c>
      <c r="K3" s="161" t="s">
        <v>6</v>
      </c>
      <c r="L3" s="161" t="s">
        <v>13</v>
      </c>
      <c r="M3" s="180"/>
    </row>
    <row r="4" spans="1:13">
      <c r="A4" s="162"/>
      <c r="B4" s="162"/>
      <c r="C4" s="162"/>
      <c r="D4" s="162"/>
      <c r="E4" s="83" t="s">
        <v>242</v>
      </c>
      <c r="F4" s="162"/>
      <c r="G4" s="162"/>
      <c r="H4" s="187"/>
      <c r="I4" s="24" t="s">
        <v>242</v>
      </c>
      <c r="J4" s="162"/>
      <c r="K4" s="162"/>
      <c r="L4" s="162"/>
      <c r="M4" s="162"/>
    </row>
    <row r="5" spans="1:13">
      <c r="A5" s="26">
        <f>'法人一覧(26)'!A4</f>
        <v>1</v>
      </c>
      <c r="B5" s="38" t="str">
        <f>'法人一覧(26)'!B4</f>
        <v>内閣府</v>
      </c>
      <c r="C5" s="38" t="str">
        <f>'法人一覧(26)'!C4</f>
        <v>国立公文書館</v>
      </c>
      <c r="D5" s="29">
        <f>SUM(1091361098,224734484,11008335)</f>
        <v>1327103917</v>
      </c>
      <c r="E5" s="29">
        <v>0</v>
      </c>
      <c r="F5" s="29">
        <v>34560000</v>
      </c>
      <c r="G5" s="29">
        <v>0</v>
      </c>
      <c r="H5" s="52">
        <f>SUM(349583250)</f>
        <v>349583250</v>
      </c>
      <c r="I5" s="52">
        <v>0</v>
      </c>
      <c r="J5" s="52">
        <v>555987537</v>
      </c>
      <c r="K5" s="29">
        <v>0</v>
      </c>
      <c r="L5" s="29">
        <v>0</v>
      </c>
      <c r="M5" s="29">
        <v>2267234704</v>
      </c>
    </row>
    <row r="6" spans="1:13">
      <c r="A6" s="26">
        <f>'法人一覧(26)'!A5</f>
        <v>2</v>
      </c>
      <c r="B6" s="38" t="str">
        <f>'法人一覧(26)'!B5</f>
        <v>内閣府</v>
      </c>
      <c r="C6" s="38" t="str">
        <f>'法人一覧(26)'!C5</f>
        <v>北方領土問題対策協会</v>
      </c>
      <c r="D6" s="29">
        <f>SUM(994597176,73470971)</f>
        <v>1068068147</v>
      </c>
      <c r="E6" s="29">
        <v>0</v>
      </c>
      <c r="F6" s="29">
        <v>52484411</v>
      </c>
      <c r="G6" s="29">
        <v>71741430</v>
      </c>
      <c r="H6" s="52">
        <f>SUM(39151066)</f>
        <v>39151066</v>
      </c>
      <c r="I6" s="52">
        <v>0</v>
      </c>
      <c r="J6" s="52">
        <v>210483558</v>
      </c>
      <c r="K6" s="29">
        <v>0</v>
      </c>
      <c r="L6" s="29">
        <v>0</v>
      </c>
      <c r="M6" s="29">
        <v>1441928612</v>
      </c>
    </row>
    <row r="7" spans="1:13">
      <c r="A7" s="26">
        <f>'法人一覧(26)'!A6</f>
        <v>3</v>
      </c>
      <c r="B7" s="38" t="str">
        <f>'法人一覧(26)'!B6</f>
        <v>消費者庁</v>
      </c>
      <c r="C7" s="38" t="str">
        <f>'法人一覧(26)'!C6</f>
        <v>国民生活センター</v>
      </c>
      <c r="D7" s="29">
        <v>1466353204</v>
      </c>
      <c r="E7" s="29">
        <v>0</v>
      </c>
      <c r="F7" s="29">
        <v>0</v>
      </c>
      <c r="G7" s="29">
        <v>0</v>
      </c>
      <c r="H7" s="52">
        <f>188676436+I7</f>
        <v>1354851467</v>
      </c>
      <c r="I7" s="52">
        <v>1166175031</v>
      </c>
      <c r="J7" s="52">
        <v>0</v>
      </c>
      <c r="K7" s="29">
        <v>0</v>
      </c>
      <c r="L7" s="29">
        <v>0</v>
      </c>
      <c r="M7" s="29">
        <v>2821204671</v>
      </c>
    </row>
    <row r="8" spans="1:13">
      <c r="A8" s="26">
        <f>'法人一覧(26)'!A7</f>
        <v>4</v>
      </c>
      <c r="B8" s="38" t="str">
        <f>'法人一覧(26)'!B7</f>
        <v>総務省</v>
      </c>
      <c r="C8" s="38" t="str">
        <f>'法人一覧(26)'!C7</f>
        <v>情報通信研究機構</v>
      </c>
      <c r="D8" s="29">
        <v>27887000000</v>
      </c>
      <c r="E8" s="29">
        <v>0</v>
      </c>
      <c r="F8" s="29">
        <v>881000000</v>
      </c>
      <c r="G8" s="29">
        <v>12932000000</v>
      </c>
      <c r="H8" s="29">
        <v>1969000000</v>
      </c>
      <c r="I8" s="29">
        <v>0</v>
      </c>
      <c r="J8" s="29">
        <v>0</v>
      </c>
      <c r="K8" s="29">
        <v>0</v>
      </c>
      <c r="L8" s="29">
        <v>0</v>
      </c>
      <c r="M8" s="29">
        <v>43669000000</v>
      </c>
    </row>
    <row r="9" spans="1:13">
      <c r="A9" s="26">
        <f>'法人一覧(26)'!A8</f>
        <v>5</v>
      </c>
      <c r="B9" s="38" t="str">
        <f>'法人一覧(26)'!B8</f>
        <v>総務省</v>
      </c>
      <c r="C9" s="38" t="str">
        <f>'法人一覧(26)'!C8</f>
        <v>統計センター</v>
      </c>
      <c r="D9" s="29">
        <v>1672000000</v>
      </c>
      <c r="E9" s="29">
        <v>0</v>
      </c>
      <c r="F9" s="52">
        <v>0</v>
      </c>
      <c r="G9" s="52">
        <f>2000000</f>
        <v>2000000</v>
      </c>
      <c r="H9" s="52">
        <f>244000000</f>
        <v>244000000</v>
      </c>
      <c r="I9" s="52">
        <v>0</v>
      </c>
      <c r="J9" s="52">
        <v>6147000000</v>
      </c>
      <c r="K9" s="52">
        <f>714000000+225000000+10000000+2000000</f>
        <v>951000000</v>
      </c>
      <c r="L9" s="29">
        <v>0</v>
      </c>
      <c r="M9" s="29">
        <v>9015000000</v>
      </c>
    </row>
    <row r="10" spans="1:13">
      <c r="A10" s="26">
        <f>'法人一覧(26)'!A9</f>
        <v>6</v>
      </c>
      <c r="B10" s="38" t="str">
        <f>'法人一覧(26)'!B9</f>
        <v>総務省</v>
      </c>
      <c r="C10" s="38" t="str">
        <f>'法人一覧(26)'!C9</f>
        <v>郵便貯金・簡易生命保険管理機構</v>
      </c>
      <c r="D10" s="29">
        <v>10226078000000</v>
      </c>
      <c r="E10" s="29">
        <v>0</v>
      </c>
      <c r="F10" s="52">
        <v>0</v>
      </c>
      <c r="G10" s="52">
        <v>0</v>
      </c>
      <c r="H10" s="52">
        <f>58000000</f>
        <v>58000000</v>
      </c>
      <c r="I10" s="52">
        <v>0</v>
      </c>
      <c r="J10" s="52">
        <v>462000000</v>
      </c>
      <c r="K10" s="52">
        <v>2690453000000</v>
      </c>
      <c r="L10" s="29">
        <v>0</v>
      </c>
      <c r="M10" s="29">
        <v>12917051000000</v>
      </c>
    </row>
    <row r="11" spans="1:13">
      <c r="A11" s="26">
        <f>'法人一覧(26)'!A10</f>
        <v>7</v>
      </c>
      <c r="B11" s="38" t="str">
        <f>'法人一覧(26)'!B10</f>
        <v>外務省</v>
      </c>
      <c r="C11" s="38" t="str">
        <f>'法人一覧(26)'!C10</f>
        <v>国際協力機構</v>
      </c>
      <c r="D11" s="52">
        <f>138963295748+89148212321</f>
        <v>228111508069</v>
      </c>
      <c r="E11" s="52">
        <v>3479774623</v>
      </c>
      <c r="F11" s="52">
        <v>253551600</v>
      </c>
      <c r="G11" s="52">
        <v>1087802061</v>
      </c>
      <c r="H11" s="52">
        <v>9469281242</v>
      </c>
      <c r="I11" s="52">
        <v>2388984712</v>
      </c>
      <c r="J11" s="52">
        <v>0</v>
      </c>
      <c r="K11" s="52">
        <f>106527822879+10533389</f>
        <v>106538356268</v>
      </c>
      <c r="L11" s="29">
        <v>0</v>
      </c>
      <c r="M11" s="29">
        <f>256312286919+89148212321</f>
        <v>345460499240</v>
      </c>
    </row>
    <row r="12" spans="1:13">
      <c r="A12" s="26">
        <f>'法人一覧(26)'!A11</f>
        <v>8</v>
      </c>
      <c r="B12" s="38" t="str">
        <f>'法人一覧(26)'!B11</f>
        <v>外務省</v>
      </c>
      <c r="C12" s="38" t="str">
        <f>'法人一覧(26)'!C11</f>
        <v>国際交流基金</v>
      </c>
      <c r="D12" s="29">
        <v>15338145108</v>
      </c>
      <c r="E12" s="29">
        <v>0</v>
      </c>
      <c r="F12" s="52">
        <v>0</v>
      </c>
      <c r="G12" s="52">
        <v>0</v>
      </c>
      <c r="H12" s="52">
        <v>2455089778</v>
      </c>
      <c r="I12" s="52">
        <v>1756566102</v>
      </c>
      <c r="J12" s="52">
        <v>0</v>
      </c>
      <c r="K12" s="52">
        <v>0</v>
      </c>
      <c r="L12" s="29">
        <v>0</v>
      </c>
      <c r="M12" s="29">
        <v>17793234886</v>
      </c>
    </row>
    <row r="13" spans="1:13">
      <c r="A13" s="26">
        <f>'法人一覧(26)'!A12</f>
        <v>9</v>
      </c>
      <c r="B13" s="38" t="str">
        <f>'法人一覧(26)'!B12</f>
        <v>財務省</v>
      </c>
      <c r="C13" s="38" t="str">
        <f>'法人一覧(26)'!C12</f>
        <v>酒類総合研究所</v>
      </c>
      <c r="D13" s="29">
        <v>351385810</v>
      </c>
      <c r="E13" s="29">
        <v>0</v>
      </c>
      <c r="F13" s="52">
        <v>0</v>
      </c>
      <c r="G13" s="52">
        <v>17317793</v>
      </c>
      <c r="H13" s="52">
        <f>226908334</f>
        <v>226908334</v>
      </c>
      <c r="I13" s="52">
        <v>0</v>
      </c>
      <c r="J13" s="52">
        <v>413832444</v>
      </c>
      <c r="K13" s="52">
        <v>0</v>
      </c>
      <c r="L13" s="29">
        <v>0</v>
      </c>
      <c r="M13" s="29">
        <v>1009444381</v>
      </c>
    </row>
    <row r="14" spans="1:13">
      <c r="A14" s="26">
        <f>'法人一覧(26)'!A13</f>
        <v>10</v>
      </c>
      <c r="B14" s="38" t="str">
        <f>'法人一覧(26)'!B13</f>
        <v>財務省</v>
      </c>
      <c r="C14" s="38" t="str">
        <f>'法人一覧(26)'!C13</f>
        <v>造幣局</v>
      </c>
      <c r="D14" s="52">
        <v>24069000000</v>
      </c>
      <c r="E14" s="52">
        <v>8836000000</v>
      </c>
      <c r="F14" s="29">
        <v>5873000000</v>
      </c>
      <c r="G14" s="29">
        <v>0</v>
      </c>
      <c r="H14" s="29">
        <v>0</v>
      </c>
      <c r="I14" s="29">
        <v>0</v>
      </c>
      <c r="J14" s="29">
        <v>0</v>
      </c>
      <c r="K14" s="29">
        <v>0</v>
      </c>
      <c r="L14" s="29">
        <v>0</v>
      </c>
      <c r="M14" s="29">
        <v>29942000000</v>
      </c>
    </row>
    <row r="15" spans="1:13">
      <c r="A15" s="26">
        <f>'法人一覧(26)'!A14</f>
        <v>11</v>
      </c>
      <c r="B15" s="38" t="str">
        <f>'法人一覧(26)'!B14</f>
        <v>財務省</v>
      </c>
      <c r="C15" s="38" t="str">
        <f>'法人一覧(26)'!C14</f>
        <v>国立印刷局</v>
      </c>
      <c r="D15" s="52">
        <v>59942842854</v>
      </c>
      <c r="E15" s="52">
        <v>37968622006</v>
      </c>
      <c r="F15" s="29">
        <v>16238846618</v>
      </c>
      <c r="G15" s="29">
        <v>0</v>
      </c>
      <c r="H15" s="29">
        <v>0</v>
      </c>
      <c r="I15" s="29">
        <v>0</v>
      </c>
      <c r="J15" s="29">
        <v>0</v>
      </c>
      <c r="K15" s="29">
        <v>0</v>
      </c>
      <c r="L15" s="29">
        <v>0</v>
      </c>
      <c r="M15" s="29">
        <v>76181689472</v>
      </c>
    </row>
    <row r="16" spans="1:13">
      <c r="A16" s="26">
        <f>'法人一覧(26)'!A15</f>
        <v>12</v>
      </c>
      <c r="B16" s="38" t="str">
        <f>'法人一覧(26)'!B15</f>
        <v>文部科学省</v>
      </c>
      <c r="C16" s="38" t="str">
        <f>'法人一覧(26)'!C15</f>
        <v>国立特別支援教育総合研究所</v>
      </c>
      <c r="D16" s="29">
        <v>769663130</v>
      </c>
      <c r="E16" s="29">
        <v>507326660</v>
      </c>
      <c r="F16" s="29">
        <v>0</v>
      </c>
      <c r="G16" s="29">
        <v>0</v>
      </c>
      <c r="H16" s="29">
        <v>236176635</v>
      </c>
      <c r="I16" s="29">
        <v>137757482</v>
      </c>
      <c r="J16" s="29">
        <v>0</v>
      </c>
      <c r="K16" s="29">
        <f>10084218+7187722</f>
        <v>17271940</v>
      </c>
      <c r="L16" s="29">
        <v>0</v>
      </c>
      <c r="M16" s="29">
        <v>1023111705</v>
      </c>
    </row>
    <row r="17" spans="1:13">
      <c r="A17" s="26">
        <f>'法人一覧(26)'!A16</f>
        <v>13</v>
      </c>
      <c r="B17" s="38" t="str">
        <f>'法人一覧(26)'!B16</f>
        <v>文部科学省</v>
      </c>
      <c r="C17" s="38" t="str">
        <f>'法人一覧(26)'!C16</f>
        <v>大学入試センター</v>
      </c>
      <c r="D17" s="52">
        <v>11136092069</v>
      </c>
      <c r="E17" s="52">
        <v>772080064</v>
      </c>
      <c r="F17" s="52">
        <v>0</v>
      </c>
      <c r="G17" s="52">
        <v>0</v>
      </c>
      <c r="H17" s="52">
        <v>222678558</v>
      </c>
      <c r="I17" s="52">
        <v>154720768</v>
      </c>
      <c r="J17" s="52">
        <v>0</v>
      </c>
      <c r="K17" s="52">
        <v>0</v>
      </c>
      <c r="L17" s="52">
        <v>0</v>
      </c>
      <c r="M17" s="52">
        <v>11358770627</v>
      </c>
    </row>
    <row r="18" spans="1:13">
      <c r="A18" s="26">
        <f>'法人一覧(26)'!A17</f>
        <v>14</v>
      </c>
      <c r="B18" s="38" t="str">
        <f>'法人一覧(26)'!B17</f>
        <v>文部科学省</v>
      </c>
      <c r="C18" s="38" t="str">
        <f>'法人一覧(26)'!C17</f>
        <v>国立青少年教育振興機構</v>
      </c>
      <c r="D18" s="52">
        <f>2964823045+2572331016+100000+71486705</f>
        <v>5608740766</v>
      </c>
      <c r="E18" s="52">
        <v>0</v>
      </c>
      <c r="F18" s="52">
        <v>325253000</v>
      </c>
      <c r="G18" s="52">
        <v>89709372</v>
      </c>
      <c r="H18" s="52">
        <v>5642941619</v>
      </c>
      <c r="I18" s="52">
        <v>3722343520</v>
      </c>
      <c r="J18" s="52">
        <v>0</v>
      </c>
      <c r="K18" s="52">
        <v>0</v>
      </c>
      <c r="L18" s="52">
        <v>0</v>
      </c>
      <c r="M18" s="52">
        <v>11666644757</v>
      </c>
    </row>
    <row r="19" spans="1:13">
      <c r="A19" s="26">
        <f>'法人一覧(26)'!A18</f>
        <v>15</v>
      </c>
      <c r="B19" s="38" t="str">
        <f>'法人一覧(26)'!B18</f>
        <v>文部科学省</v>
      </c>
      <c r="C19" s="38" t="str">
        <f>'法人一覧(26)'!C18</f>
        <v>国立女性教育会館</v>
      </c>
      <c r="D19" s="29">
        <v>341792168</v>
      </c>
      <c r="E19" s="29">
        <v>0</v>
      </c>
      <c r="F19" s="29">
        <v>0</v>
      </c>
      <c r="G19" s="29">
        <v>4925161</v>
      </c>
      <c r="H19" s="29">
        <v>255178313</v>
      </c>
      <c r="I19" s="29">
        <v>174673629</v>
      </c>
      <c r="J19" s="29">
        <v>0</v>
      </c>
      <c r="K19" s="29">
        <v>0</v>
      </c>
      <c r="L19" s="29">
        <v>0</v>
      </c>
      <c r="M19" s="29">
        <v>601895642</v>
      </c>
    </row>
    <row r="20" spans="1:13">
      <c r="A20" s="26">
        <f>'法人一覧(26)'!A19</f>
        <v>16</v>
      </c>
      <c r="B20" s="38" t="str">
        <f>'法人一覧(26)'!B19</f>
        <v>文部科学省</v>
      </c>
      <c r="C20" s="38" t="str">
        <f>'法人一覧(26)'!C19</f>
        <v>国立科学博物館</v>
      </c>
      <c r="D20" s="52">
        <v>1813008604</v>
      </c>
      <c r="E20" s="52">
        <v>0</v>
      </c>
      <c r="F20" s="52">
        <v>2076617580</v>
      </c>
      <c r="G20" s="52">
        <v>0</v>
      </c>
      <c r="H20" s="52">
        <f>409936784</f>
        <v>409936784</v>
      </c>
      <c r="I20" s="52">
        <v>0</v>
      </c>
      <c r="J20" s="52">
        <v>1040815345</v>
      </c>
      <c r="K20" s="52">
        <v>25220000</v>
      </c>
      <c r="L20" s="52">
        <v>0</v>
      </c>
      <c r="M20" s="52">
        <v>5365598313</v>
      </c>
    </row>
    <row r="21" spans="1:13">
      <c r="A21" s="26">
        <f>'法人一覧(26)'!A20</f>
        <v>17</v>
      </c>
      <c r="B21" s="38" t="str">
        <f>'法人一覧(26)'!B20</f>
        <v>文部科学省</v>
      </c>
      <c r="C21" s="38" t="str">
        <f>'法人一覧(26)'!C20</f>
        <v>物質・材料研究機構</v>
      </c>
      <c r="D21" s="29">
        <f>11536000000+1361000000</f>
        <v>12897000000</v>
      </c>
      <c r="E21" s="29">
        <v>4566000000</v>
      </c>
      <c r="F21" s="52">
        <f>4084000000</f>
        <v>4084000000</v>
      </c>
      <c r="G21" s="29">
        <v>4939000000</v>
      </c>
      <c r="H21" s="29">
        <v>1407000000</v>
      </c>
      <c r="I21" s="29">
        <v>714000000</v>
      </c>
      <c r="J21" s="29">
        <v>0</v>
      </c>
      <c r="K21" s="29">
        <v>74000000</v>
      </c>
      <c r="L21" s="29">
        <v>0</v>
      </c>
      <c r="M21" s="29">
        <v>23402000000</v>
      </c>
    </row>
    <row r="22" spans="1:13">
      <c r="A22" s="26">
        <f>'法人一覧(26)'!A21</f>
        <v>18</v>
      </c>
      <c r="B22" s="38" t="str">
        <f>'法人一覧(26)'!B21</f>
        <v>文部科学省</v>
      </c>
      <c r="C22" s="38" t="str">
        <f>'法人一覧(26)'!C21</f>
        <v>防災科学技術研究所</v>
      </c>
      <c r="D22" s="29">
        <v>6558000000</v>
      </c>
      <c r="E22" s="29">
        <v>1284000000</v>
      </c>
      <c r="F22" s="29">
        <v>6537000000</v>
      </c>
      <c r="G22" s="29">
        <v>1247000000</v>
      </c>
      <c r="H22" s="29">
        <v>528000000</v>
      </c>
      <c r="I22" s="29">
        <v>334000000</v>
      </c>
      <c r="J22" s="29">
        <v>0</v>
      </c>
      <c r="K22" s="29">
        <f>13000000+59000000+4156000000</f>
        <v>4228000000</v>
      </c>
      <c r="L22" s="29">
        <v>0</v>
      </c>
      <c r="M22" s="29">
        <v>19098000000</v>
      </c>
    </row>
    <row r="23" spans="1:13">
      <c r="A23" s="26">
        <f>'法人一覧(26)'!A22</f>
        <v>19</v>
      </c>
      <c r="B23" s="38" t="str">
        <f>'法人一覧(26)'!B22</f>
        <v>文部科学省</v>
      </c>
      <c r="C23" s="38" t="str">
        <f>'法人一覧(26)'!C22</f>
        <v>放射線医学総合研究所</v>
      </c>
      <c r="D23" s="52">
        <v>12663771765</v>
      </c>
      <c r="E23" s="52">
        <v>2491854929</v>
      </c>
      <c r="F23" s="52">
        <v>1954568000</v>
      </c>
      <c r="G23" s="52">
        <v>843430123</v>
      </c>
      <c r="H23" s="52">
        <f>667820883</f>
        <v>667820883</v>
      </c>
      <c r="I23" s="52">
        <f>449898693</f>
        <v>449898693</v>
      </c>
      <c r="J23" s="52">
        <v>279878163</v>
      </c>
      <c r="K23" s="52">
        <f>62215316+117944784</f>
        <v>180160100</v>
      </c>
      <c r="L23" s="52">
        <v>0</v>
      </c>
      <c r="M23" s="52">
        <v>16589629034</v>
      </c>
    </row>
    <row r="24" spans="1:13">
      <c r="A24" s="26">
        <f>'法人一覧(26)'!A23</f>
        <v>20</v>
      </c>
      <c r="B24" s="38" t="str">
        <f>'法人一覧(26)'!B23</f>
        <v>文部科学省</v>
      </c>
      <c r="C24" s="38" t="str">
        <f>'法人一覧(26)'!C23</f>
        <v>国立美術館</v>
      </c>
      <c r="D24" s="52">
        <v>7914128567</v>
      </c>
      <c r="E24" s="52">
        <v>790037463</v>
      </c>
      <c r="F24" s="52">
        <v>3864871057</v>
      </c>
      <c r="G24" s="52">
        <v>0</v>
      </c>
      <c r="H24" s="52">
        <v>1361425153</v>
      </c>
      <c r="I24" s="52">
        <v>286749559</v>
      </c>
      <c r="J24" s="52">
        <v>0</v>
      </c>
      <c r="K24" s="52">
        <v>227376023</v>
      </c>
      <c r="L24" s="52">
        <v>0</v>
      </c>
      <c r="M24" s="52">
        <v>13367800800</v>
      </c>
    </row>
    <row r="25" spans="1:13">
      <c r="A25" s="26">
        <f>'法人一覧(26)'!A24</f>
        <v>21</v>
      </c>
      <c r="B25" s="38" t="str">
        <f>'法人一覧(26)'!B24</f>
        <v>文部科学省</v>
      </c>
      <c r="C25" s="38" t="str">
        <f>'法人一覧(26)'!C24</f>
        <v>国立文化財機構</v>
      </c>
      <c r="D25" s="52">
        <v>8705695904</v>
      </c>
      <c r="E25" s="52">
        <v>2386614960</v>
      </c>
      <c r="F25" s="52">
        <v>3156912460</v>
      </c>
      <c r="G25" s="52">
        <v>539414888</v>
      </c>
      <c r="H25" s="52">
        <v>1582160958</v>
      </c>
      <c r="I25" s="52">
        <v>749926177</v>
      </c>
      <c r="J25" s="52">
        <v>0</v>
      </c>
      <c r="K25" s="52">
        <f>205002927+8300000</f>
        <v>213302927</v>
      </c>
      <c r="L25" s="52">
        <v>0</v>
      </c>
      <c r="M25" s="52">
        <v>14197487137</v>
      </c>
    </row>
    <row r="26" spans="1:13">
      <c r="A26" s="26">
        <f>'法人一覧(26)'!A25</f>
        <v>22</v>
      </c>
      <c r="B26" s="38" t="str">
        <f>'法人一覧(26)'!B25</f>
        <v>文部科学省</v>
      </c>
      <c r="C26" s="38" t="str">
        <f>'法人一覧(26)'!C25</f>
        <v>教員研修センター</v>
      </c>
      <c r="D26" s="29">
        <v>439000000</v>
      </c>
      <c r="E26" s="29">
        <v>0</v>
      </c>
      <c r="F26" s="29">
        <v>276000000</v>
      </c>
      <c r="G26" s="29">
        <v>0</v>
      </c>
      <c r="H26" s="52">
        <f>163000000</f>
        <v>163000000</v>
      </c>
      <c r="I26" s="52">
        <v>0</v>
      </c>
      <c r="J26" s="52">
        <v>397000000</v>
      </c>
      <c r="K26" s="29">
        <v>0</v>
      </c>
      <c r="L26" s="29">
        <v>0</v>
      </c>
      <c r="M26" s="29">
        <v>1276000000</v>
      </c>
    </row>
    <row r="27" spans="1:13">
      <c r="A27" s="26">
        <f>'法人一覧(26)'!A26</f>
        <v>23</v>
      </c>
      <c r="B27" s="38" t="str">
        <f>'法人一覧(26)'!B26</f>
        <v>文部科学省</v>
      </c>
      <c r="C27" s="38" t="str">
        <f>'法人一覧(26)'!C26</f>
        <v>科学技術振興機構</v>
      </c>
      <c r="D27" s="52">
        <f>113684000000+2128000000+15713000000+1878000000+4655000000</f>
        <v>138058000000</v>
      </c>
      <c r="E27" s="52">
        <v>0</v>
      </c>
      <c r="F27" s="52">
        <f>125000000</f>
        <v>125000000</v>
      </c>
      <c r="G27" s="52">
        <v>2483000000</v>
      </c>
      <c r="H27" s="52">
        <f>1393000000+75000000+4000000</f>
        <v>1472000000</v>
      </c>
      <c r="I27" s="52">
        <v>0</v>
      </c>
      <c r="J27" s="52">
        <f>9780000000+119000000+216000000</f>
        <v>10115000000</v>
      </c>
      <c r="K27" s="52">
        <v>1551000000</v>
      </c>
      <c r="L27" s="52">
        <v>0</v>
      </c>
      <c r="M27" s="52">
        <f>146857000000+2072000000+4875000000</f>
        <v>153804000000</v>
      </c>
    </row>
    <row r="28" spans="1:13">
      <c r="A28" s="26">
        <f>'法人一覧(26)'!A27</f>
        <v>24</v>
      </c>
      <c r="B28" s="38" t="str">
        <f>'法人一覧(26)'!B27</f>
        <v>文部科学省</v>
      </c>
      <c r="C28" s="38" t="str">
        <f>'法人一覧(26)'!C27</f>
        <v>日本学術振興会</v>
      </c>
      <c r="D28" s="52">
        <f>27672000000+129760000000+93000000+21000000+89000000+1088000000+2027000000+98386000000+71000000+236000000+0</f>
        <v>259443000000</v>
      </c>
      <c r="E28" s="52">
        <v>593000000</v>
      </c>
      <c r="F28" s="52">
        <v>0</v>
      </c>
      <c r="G28" s="52">
        <v>169000000</v>
      </c>
      <c r="H28" s="52">
        <v>935000000</v>
      </c>
      <c r="I28" s="52">
        <v>297000000</v>
      </c>
      <c r="J28" s="52">
        <v>0</v>
      </c>
      <c r="K28" s="52">
        <v>0</v>
      </c>
      <c r="L28" s="52">
        <v>0</v>
      </c>
      <c r="M28" s="52">
        <v>260548000000</v>
      </c>
    </row>
    <row r="29" spans="1:13">
      <c r="A29" s="26">
        <f>'法人一覧(26)'!A28</f>
        <v>25</v>
      </c>
      <c r="B29" s="38" t="str">
        <f>'法人一覧(26)'!B28</f>
        <v>文部科学省</v>
      </c>
      <c r="C29" s="38" t="str">
        <f>'法人一覧(26)'!C28</f>
        <v>理化学研究所</v>
      </c>
      <c r="D29" s="68">
        <v>48976000000</v>
      </c>
      <c r="E29" s="68">
        <v>5304000000</v>
      </c>
      <c r="F29" s="52">
        <f>7024000000+1200000000</f>
        <v>8224000000</v>
      </c>
      <c r="G29" s="52">
        <v>18013000000</v>
      </c>
      <c r="H29" s="52">
        <v>4177000000</v>
      </c>
      <c r="I29" s="52">
        <v>1432000000</v>
      </c>
      <c r="J29" s="52">
        <v>0</v>
      </c>
      <c r="K29" s="52">
        <f>24899000000+2272000000</f>
        <v>27171000000</v>
      </c>
      <c r="L29" s="52">
        <v>0</v>
      </c>
      <c r="M29" s="52">
        <v>106561000000</v>
      </c>
    </row>
    <row r="30" spans="1:13">
      <c r="A30" s="26">
        <f>'法人一覧(26)'!A29</f>
        <v>26</v>
      </c>
      <c r="B30" s="38" t="str">
        <f>'法人一覧(26)'!B29</f>
        <v>文部科学省</v>
      </c>
      <c r="C30" s="38" t="str">
        <f>'法人一覧(26)'!C29</f>
        <v>宇宙航空研究開発機構</v>
      </c>
      <c r="D30" s="52">
        <f>96951903610+27350381238+14918198835+6348237152+2557257174</f>
        <v>148125978009</v>
      </c>
      <c r="E30" s="52">
        <v>12204167199</v>
      </c>
      <c r="F30" s="52">
        <v>9743593347</v>
      </c>
      <c r="G30" s="52">
        <v>43153518391</v>
      </c>
      <c r="H30" s="52">
        <v>6833571160</v>
      </c>
      <c r="I30" s="52">
        <v>3854389797</v>
      </c>
      <c r="J30" s="52">
        <v>0</v>
      </c>
      <c r="K30" s="52">
        <v>0</v>
      </c>
      <c r="L30" s="52">
        <v>0</v>
      </c>
      <c r="M30" s="52">
        <v>207856660907</v>
      </c>
    </row>
    <row r="31" spans="1:13">
      <c r="A31" s="26">
        <f>'法人一覧(26)'!A30</f>
        <v>27</v>
      </c>
      <c r="B31" s="38" t="str">
        <f>'法人一覧(26)'!B30</f>
        <v>文部科学省</v>
      </c>
      <c r="C31" s="38" t="str">
        <f>'法人一覧(26)'!C30</f>
        <v>日本スポーツ振興センター</v>
      </c>
      <c r="D31" s="29">
        <v>50244945421</v>
      </c>
      <c r="E31" s="29">
        <v>3155870476</v>
      </c>
      <c r="F31" s="29">
        <v>1344381580</v>
      </c>
      <c r="G31" s="29">
        <v>1809602922</v>
      </c>
      <c r="H31" s="29">
        <v>919456592</v>
      </c>
      <c r="I31" s="29">
        <v>445267151</v>
      </c>
      <c r="J31" s="29">
        <v>0</v>
      </c>
      <c r="K31" s="29">
        <f>18769490618+1702480000+55398556550+9771094459+19573425919+5539855655</f>
        <v>110754903201</v>
      </c>
      <c r="L31" s="29">
        <v>0</v>
      </c>
      <c r="M31" s="29">
        <v>165073289716</v>
      </c>
    </row>
    <row r="32" spans="1:13">
      <c r="A32" s="26">
        <f>'法人一覧(26)'!A31</f>
        <v>28</v>
      </c>
      <c r="B32" s="38" t="str">
        <f>'法人一覧(26)'!B31</f>
        <v>文部科学省</v>
      </c>
      <c r="C32" s="38" t="str">
        <f>'法人一覧(26)'!C31</f>
        <v>日本芸術文化振興会</v>
      </c>
      <c r="D32" s="52">
        <f>1349288483+6321371094+665269037+4204267979</f>
        <v>12540196593</v>
      </c>
      <c r="E32" s="52">
        <f>155508886+1467802463+116663512+224249060</f>
        <v>1964223921</v>
      </c>
      <c r="F32" s="52">
        <v>1365182890</v>
      </c>
      <c r="G32" s="52">
        <v>24686263</v>
      </c>
      <c r="H32" s="52">
        <v>1170146519</v>
      </c>
      <c r="I32" s="52">
        <v>920528984</v>
      </c>
      <c r="J32" s="52">
        <v>0</v>
      </c>
      <c r="K32" s="52">
        <v>3575648347</v>
      </c>
      <c r="L32" s="52">
        <v>0</v>
      </c>
      <c r="M32" s="52">
        <v>18675860612</v>
      </c>
    </row>
    <row r="33" spans="1:13">
      <c r="A33" s="26">
        <f>'法人一覧(26)'!A32</f>
        <v>29</v>
      </c>
      <c r="B33" s="38" t="str">
        <f>'法人一覧(26)'!B32</f>
        <v>文部科学省</v>
      </c>
      <c r="C33" s="38" t="str">
        <f>'法人一覧(26)'!C32</f>
        <v>日本学生支援機構</v>
      </c>
      <c r="D33" s="52">
        <f>1080514101500+15376664441+8078857000+18531840+6500948914+11880000</f>
        <v>1110500983695</v>
      </c>
      <c r="E33" s="52">
        <v>3186837915</v>
      </c>
      <c r="F33" s="52">
        <v>0</v>
      </c>
      <c r="G33" s="52">
        <v>6302434</v>
      </c>
      <c r="H33" s="52">
        <v>2246289843</v>
      </c>
      <c r="I33" s="52">
        <v>1066171918</v>
      </c>
      <c r="J33" s="52">
        <v>0</v>
      </c>
      <c r="K33" s="52">
        <f>687098966+1034553394000+36898241146+576419287</f>
        <v>1072715153399</v>
      </c>
      <c r="L33" s="52">
        <v>0</v>
      </c>
      <c r="M33" s="52">
        <v>2185468729371</v>
      </c>
    </row>
    <row r="34" spans="1:13">
      <c r="A34" s="26">
        <f>'法人一覧(26)'!A33</f>
        <v>30</v>
      </c>
      <c r="B34" s="38" t="str">
        <f>'法人一覧(26)'!B33</f>
        <v>文部科学省</v>
      </c>
      <c r="C34" s="38" t="str">
        <f>'法人一覧(26)'!C33</f>
        <v>海洋研究開発機構</v>
      </c>
      <c r="D34" s="29">
        <v>34929000000</v>
      </c>
      <c r="E34" s="29">
        <v>2735000000</v>
      </c>
      <c r="F34" s="29">
        <v>2798000000</v>
      </c>
      <c r="G34" s="29">
        <v>5875000000</v>
      </c>
      <c r="H34" s="29">
        <v>1451000000</v>
      </c>
      <c r="I34" s="29">
        <v>470000000</v>
      </c>
      <c r="J34" s="29">
        <v>0</v>
      </c>
      <c r="K34" s="29">
        <v>1283000000</v>
      </c>
      <c r="L34" s="29">
        <v>0</v>
      </c>
      <c r="M34" s="29">
        <v>46336000000</v>
      </c>
    </row>
    <row r="35" spans="1:13">
      <c r="A35" s="26">
        <f>'法人一覧(26)'!A34</f>
        <v>31</v>
      </c>
      <c r="B35" s="38" t="str">
        <f>'法人一覧(26)'!B34</f>
        <v>文部科学省</v>
      </c>
      <c r="C35" s="38" t="str">
        <f>'法人一覧(26)'!C34</f>
        <v>国立高等専門学校機構</v>
      </c>
      <c r="D35" s="52">
        <f>61527000000+2661000000</f>
        <v>64188000000</v>
      </c>
      <c r="E35" s="52">
        <v>0</v>
      </c>
      <c r="F35" s="52">
        <v>3193000000</v>
      </c>
      <c r="G35" s="52">
        <v>0</v>
      </c>
      <c r="H35" s="52">
        <v>13849000000</v>
      </c>
      <c r="I35" s="52">
        <v>0</v>
      </c>
      <c r="J35" s="52">
        <v>0</v>
      </c>
      <c r="K35" s="52">
        <v>0</v>
      </c>
      <c r="L35" s="52">
        <v>0</v>
      </c>
      <c r="M35" s="52">
        <v>81229000000</v>
      </c>
    </row>
    <row r="36" spans="1:13">
      <c r="A36" s="26">
        <f>'法人一覧(26)'!A35</f>
        <v>32</v>
      </c>
      <c r="B36" s="38" t="str">
        <f>'法人一覧(26)'!B35</f>
        <v>文部科学省</v>
      </c>
      <c r="C36" s="38" t="str">
        <f>'法人一覧(26)'!C35</f>
        <v>大学評価・学位授与機構</v>
      </c>
      <c r="D36" s="29">
        <f>899273571+28592102+296851450+124433000</f>
        <v>1349150123</v>
      </c>
      <c r="E36" s="29">
        <f>585537593+15782401</f>
        <v>601319994</v>
      </c>
      <c r="F36" s="29">
        <v>0</v>
      </c>
      <c r="G36" s="29">
        <v>54859593</v>
      </c>
      <c r="H36" s="29">
        <v>310859056</v>
      </c>
      <c r="I36" s="29">
        <v>224782658</v>
      </c>
      <c r="J36" s="29">
        <v>0</v>
      </c>
      <c r="K36" s="29">
        <v>0</v>
      </c>
      <c r="L36" s="29">
        <v>0</v>
      </c>
      <c r="M36" s="29">
        <v>1714868772</v>
      </c>
    </row>
    <row r="37" spans="1:13">
      <c r="A37" s="26">
        <f>'法人一覧(26)'!A36</f>
        <v>33</v>
      </c>
      <c r="B37" s="38" t="str">
        <f>'法人一覧(26)'!B36</f>
        <v>文部科学省</v>
      </c>
      <c r="C37" s="38" t="str">
        <f>'法人一覧(26)'!C36</f>
        <v>国立大学財務・経営センター</v>
      </c>
      <c r="D37" s="29">
        <f>127450240+56497380000+5446448864</f>
        <v>62071279104</v>
      </c>
      <c r="E37" s="29">
        <f>99384036+187920</f>
        <v>99571956</v>
      </c>
      <c r="F37" s="29">
        <v>0</v>
      </c>
      <c r="G37" s="29">
        <v>0</v>
      </c>
      <c r="H37" s="29">
        <v>148260253</v>
      </c>
      <c r="I37" s="29">
        <v>82081976</v>
      </c>
      <c r="J37" s="29">
        <v>0</v>
      </c>
      <c r="K37" s="29">
        <f>77937447000+12286042633+61401228+13805532+116893093</f>
        <v>90415589486</v>
      </c>
      <c r="L37" s="29">
        <v>0</v>
      </c>
      <c r="M37" s="29">
        <v>152635128843</v>
      </c>
    </row>
    <row r="38" spans="1:13">
      <c r="A38" s="26">
        <f>'法人一覧(26)'!A37</f>
        <v>34</v>
      </c>
      <c r="B38" s="38" t="str">
        <f>'法人一覧(26)'!B37</f>
        <v>文部科学省</v>
      </c>
      <c r="C38" s="38" t="str">
        <f>'法人一覧(26)'!C37</f>
        <v>日本原子力研究開発機構</v>
      </c>
      <c r="D38" s="29">
        <f>152665855518+3798719036+468320000+805926391+24690137567+2257179560+12953520+1994701229+9729393107+542093591+146370592+342197926+1348109289</f>
        <v>198801957326</v>
      </c>
      <c r="E38" s="29">
        <v>42127416008</v>
      </c>
      <c r="F38" s="29">
        <v>9372350371</v>
      </c>
      <c r="G38" s="29">
        <v>16236569734</v>
      </c>
      <c r="H38" s="29">
        <v>13675201343</v>
      </c>
      <c r="I38" s="29">
        <v>4632196430</v>
      </c>
      <c r="J38" s="29">
        <v>0</v>
      </c>
      <c r="K38" s="29">
        <v>0</v>
      </c>
      <c r="L38" s="29">
        <f>42118109267+2436733556+22509354954+80517614377</f>
        <v>147581812154</v>
      </c>
      <c r="M38" s="29">
        <f>238086078774+42118109267+2436733556+22509354954+80517614377</f>
        <v>385667890928</v>
      </c>
    </row>
    <row r="39" spans="1:13">
      <c r="A39" s="26">
        <f>'法人一覧(26)'!A38</f>
        <v>35</v>
      </c>
      <c r="B39" s="38" t="str">
        <f>'法人一覧(26)'!B38</f>
        <v>厚生労働省</v>
      </c>
      <c r="C39" s="38" t="str">
        <f>'法人一覧(26)'!C38</f>
        <v>国立健康・栄養研究所</v>
      </c>
      <c r="D39" s="52">
        <v>109888736</v>
      </c>
      <c r="E39" s="52">
        <v>0</v>
      </c>
      <c r="F39" s="52">
        <v>0</v>
      </c>
      <c r="G39" s="52">
        <v>125303444</v>
      </c>
      <c r="H39" s="52">
        <f>67909859</f>
        <v>67909859</v>
      </c>
      <c r="I39" s="52">
        <v>0</v>
      </c>
      <c r="J39" s="52">
        <v>456470497</v>
      </c>
      <c r="K39" s="52">
        <v>1622400</v>
      </c>
      <c r="L39" s="52">
        <v>150766491</v>
      </c>
      <c r="M39" s="52">
        <v>911961427</v>
      </c>
    </row>
    <row r="40" spans="1:13">
      <c r="A40" s="26">
        <f>'法人一覧(26)'!A39</f>
        <v>36</v>
      </c>
      <c r="B40" s="38" t="str">
        <f>'法人一覧(26)'!B39</f>
        <v>厚生労働省</v>
      </c>
      <c r="C40" s="38" t="str">
        <f>'法人一覧(26)'!C39</f>
        <v>労働安全衛生総合研究所</v>
      </c>
      <c r="D40" s="52">
        <v>678321768</v>
      </c>
      <c r="E40" s="52">
        <v>0</v>
      </c>
      <c r="F40" s="52">
        <v>102691800</v>
      </c>
      <c r="G40" s="52">
        <v>46978196</v>
      </c>
      <c r="H40" s="52">
        <f>155291224</f>
        <v>155291224</v>
      </c>
      <c r="I40" s="52">
        <v>0</v>
      </c>
      <c r="J40" s="52">
        <v>1032923556</v>
      </c>
      <c r="K40" s="52">
        <v>0</v>
      </c>
      <c r="L40" s="52">
        <v>0</v>
      </c>
      <c r="M40" s="52">
        <v>2016206544</v>
      </c>
    </row>
    <row r="41" spans="1:13">
      <c r="A41" s="26">
        <f>'法人一覧(26)'!A40</f>
        <v>37</v>
      </c>
      <c r="B41" s="38" t="str">
        <f>'法人一覧(26)'!B40</f>
        <v>厚生労働省</v>
      </c>
      <c r="C41" s="38" t="str">
        <f>'法人一覧(26)'!C40</f>
        <v>勤労者退職金共済機構</v>
      </c>
      <c r="D41" s="29">
        <f>402248000000+242591000000</f>
        <v>644839000000</v>
      </c>
      <c r="E41" s="29">
        <v>0</v>
      </c>
      <c r="F41" s="29">
        <v>0</v>
      </c>
      <c r="G41" s="29">
        <v>0</v>
      </c>
      <c r="H41" s="52">
        <f>192000000</f>
        <v>192000000</v>
      </c>
      <c r="I41" s="29">
        <v>0</v>
      </c>
      <c r="J41" s="29">
        <v>2653000000</v>
      </c>
      <c r="K41" s="29">
        <f>801000000+287000000+8000000</f>
        <v>1096000000</v>
      </c>
      <c r="L41" s="29">
        <v>0</v>
      </c>
      <c r="M41" s="29">
        <v>648780000000</v>
      </c>
    </row>
    <row r="42" spans="1:13">
      <c r="A42" s="26">
        <f>'法人一覧(26)'!A41</f>
        <v>38</v>
      </c>
      <c r="B42" s="38" t="str">
        <f>'法人一覧(26)'!B41</f>
        <v>厚生労働省</v>
      </c>
      <c r="C42" s="38" t="str">
        <f>'法人一覧(26)'!C41</f>
        <v>高齢・障害・求職者雇用支援機構</v>
      </c>
      <c r="D42" s="29">
        <v>72709072427</v>
      </c>
      <c r="E42" s="29">
        <v>0</v>
      </c>
      <c r="F42" s="29">
        <v>2203866680</v>
      </c>
      <c r="G42" s="29">
        <v>29516780</v>
      </c>
      <c r="H42" s="52">
        <f>3089986823</f>
        <v>3089986823</v>
      </c>
      <c r="I42" s="29">
        <v>0</v>
      </c>
      <c r="J42" s="29">
        <v>32518061813</v>
      </c>
      <c r="K42" s="29">
        <v>0</v>
      </c>
      <c r="L42" s="29">
        <v>0</v>
      </c>
      <c r="M42" s="29">
        <v>110550504523</v>
      </c>
    </row>
    <row r="43" spans="1:13">
      <c r="A43" s="26">
        <f>'法人一覧(26)'!A42</f>
        <v>39</v>
      </c>
      <c r="B43" s="38" t="str">
        <f>'法人一覧(26)'!B42</f>
        <v>厚生労働省</v>
      </c>
      <c r="C43" s="38" t="str">
        <f>'法人一覧(26)'!C42</f>
        <v>福祉医療機構</v>
      </c>
      <c r="D43" s="29">
        <f>51458830457+29840522+1209129000+100267828506+33021509700+1954673607+25708317+3213503201</f>
        <v>191181023310</v>
      </c>
      <c r="E43" s="29">
        <v>0</v>
      </c>
      <c r="F43" s="29">
        <v>0</v>
      </c>
      <c r="G43" s="29">
        <v>0</v>
      </c>
      <c r="H43" s="52">
        <f>313117300</f>
        <v>313117300</v>
      </c>
      <c r="I43" s="29">
        <v>0</v>
      </c>
      <c r="J43" s="29">
        <v>2523801765</v>
      </c>
      <c r="K43" s="29">
        <v>5975000</v>
      </c>
      <c r="L43" s="29">
        <v>0</v>
      </c>
      <c r="M43" s="29">
        <v>194023917375</v>
      </c>
    </row>
    <row r="44" spans="1:13">
      <c r="A44" s="26">
        <f>'法人一覧(26)'!A43</f>
        <v>40</v>
      </c>
      <c r="B44" s="38" t="str">
        <f>'法人一覧(26)'!B43</f>
        <v>厚生労働省</v>
      </c>
      <c r="C44" s="38" t="str">
        <f>'法人一覧(26)'!C43</f>
        <v>国立重度知的障害者総合施設のぞみの園</v>
      </c>
      <c r="D44" s="29">
        <v>3108365057</v>
      </c>
      <c r="E44" s="29">
        <f>1691682054+25300869+11618248+20787729+15308182+17302930+7205400+131369697+24233469</f>
        <v>1944808578</v>
      </c>
      <c r="F44" s="29">
        <v>86248000</v>
      </c>
      <c r="G44" s="29">
        <v>3878200</v>
      </c>
      <c r="H44" s="52">
        <f>65392922</f>
        <v>65392922</v>
      </c>
      <c r="I44" s="29">
        <v>0</v>
      </c>
      <c r="J44" s="52">
        <v>181271511</v>
      </c>
      <c r="K44" s="29">
        <v>0</v>
      </c>
      <c r="L44" s="29">
        <v>0</v>
      </c>
      <c r="M44" s="29">
        <v>3445155690</v>
      </c>
    </row>
    <row r="45" spans="1:13">
      <c r="A45" s="26">
        <f>'法人一覧(26)'!A44</f>
        <v>41</v>
      </c>
      <c r="B45" s="38" t="str">
        <f>'法人一覧(26)'!B44</f>
        <v>厚生労働省</v>
      </c>
      <c r="C45" s="38" t="str">
        <f>'法人一覧(26)'!C44</f>
        <v>労働政策研究・研修機構</v>
      </c>
      <c r="D45" s="29">
        <v>712558295</v>
      </c>
      <c r="E45" s="29">
        <v>0</v>
      </c>
      <c r="F45" s="29">
        <v>251445600</v>
      </c>
      <c r="G45" s="29">
        <v>0</v>
      </c>
      <c r="H45" s="52">
        <f>395472910</f>
        <v>395472910</v>
      </c>
      <c r="I45" s="52">
        <v>0</v>
      </c>
      <c r="J45" s="52">
        <v>1232449273</v>
      </c>
      <c r="K45" s="29">
        <v>0</v>
      </c>
      <c r="L45" s="29">
        <v>0</v>
      </c>
      <c r="M45" s="29">
        <v>2591926078</v>
      </c>
    </row>
    <row r="46" spans="1:13">
      <c r="A46" s="26">
        <f>'法人一覧(26)'!A45</f>
        <v>42</v>
      </c>
      <c r="B46" s="38" t="str">
        <f>'法人一覧(26)'!B45</f>
        <v>厚生労働省</v>
      </c>
      <c r="C46" s="38" t="str">
        <f>'法人一覧(26)'!C45</f>
        <v>労働者健康福祉機構</v>
      </c>
      <c r="D46" s="52">
        <v>289951359086</v>
      </c>
      <c r="E46" s="52">
        <v>0</v>
      </c>
      <c r="F46" s="52">
        <v>865341416</v>
      </c>
      <c r="G46" s="52">
        <v>53621181</v>
      </c>
      <c r="H46" s="52">
        <v>17633421596</v>
      </c>
      <c r="I46" s="52">
        <f>9964303515+977494670</f>
        <v>10941798185</v>
      </c>
      <c r="J46" s="52">
        <v>0</v>
      </c>
      <c r="K46" s="52">
        <f>1641816000+4040006</f>
        <v>1645856006</v>
      </c>
      <c r="L46" s="52">
        <v>0</v>
      </c>
      <c r="M46" s="52">
        <v>310149599285</v>
      </c>
    </row>
    <row r="47" spans="1:13">
      <c r="A47" s="26">
        <f>'法人一覧(26)'!A46</f>
        <v>43</v>
      </c>
      <c r="B47" s="38" t="str">
        <f>'法人一覧(26)'!B46</f>
        <v>厚生労働省</v>
      </c>
      <c r="C47" s="38" t="str">
        <f>'法人一覧(26)'!C46</f>
        <v>国立病院機構</v>
      </c>
      <c r="D47" s="52">
        <v>856473960692</v>
      </c>
      <c r="E47" s="52">
        <v>0</v>
      </c>
      <c r="F47" s="29">
        <v>86640519745</v>
      </c>
      <c r="G47" s="29">
        <v>0</v>
      </c>
      <c r="H47" s="52">
        <v>0</v>
      </c>
      <c r="I47" s="52">
        <v>0</v>
      </c>
      <c r="J47" s="52">
        <v>0</v>
      </c>
      <c r="K47" s="29">
        <f>37932312546+6714199219+14034753314</f>
        <v>58681265079</v>
      </c>
      <c r="L47" s="29">
        <v>0</v>
      </c>
      <c r="M47" s="29">
        <v>1001795745516</v>
      </c>
    </row>
    <row r="48" spans="1:13">
      <c r="A48" s="26">
        <f>'法人一覧(26)'!A47</f>
        <v>44</v>
      </c>
      <c r="B48" s="38" t="str">
        <f>'法人一覧(26)'!B47</f>
        <v>厚生労働省</v>
      </c>
      <c r="C48" s="38" t="str">
        <f>'法人一覧(26)'!C47</f>
        <v>医薬品医療機器総合機構</v>
      </c>
      <c r="D48" s="29">
        <v>21585348264</v>
      </c>
      <c r="E48" s="29">
        <v>0</v>
      </c>
      <c r="F48" s="29">
        <v>0</v>
      </c>
      <c r="G48" s="29">
        <v>0</v>
      </c>
      <c r="H48" s="29">
        <v>2628670681</v>
      </c>
      <c r="I48" s="29">
        <v>737339696</v>
      </c>
      <c r="J48" s="29">
        <v>0</v>
      </c>
      <c r="K48" s="29">
        <v>2506600</v>
      </c>
      <c r="L48" s="29">
        <v>0</v>
      </c>
      <c r="M48" s="29">
        <v>24216525545</v>
      </c>
    </row>
    <row r="49" spans="1:13">
      <c r="A49" s="26">
        <f>'法人一覧(26)'!A48</f>
        <v>45</v>
      </c>
      <c r="B49" s="38" t="str">
        <f>'法人一覧(26)'!B48</f>
        <v>厚生労働省</v>
      </c>
      <c r="C49" s="38" t="str">
        <f>'法人一覧(26)'!C48</f>
        <v>医薬基盤研究所</v>
      </c>
      <c r="D49" s="52">
        <v>8164241116</v>
      </c>
      <c r="E49" s="29">
        <v>0</v>
      </c>
      <c r="F49" s="52">
        <v>0</v>
      </c>
      <c r="G49" s="52">
        <v>0</v>
      </c>
      <c r="H49" s="52">
        <v>1048568892</v>
      </c>
      <c r="I49" s="52">
        <v>877546478</v>
      </c>
      <c r="J49" s="52">
        <v>0</v>
      </c>
      <c r="K49" s="52">
        <f>46900000+2052726</f>
        <v>48952726</v>
      </c>
      <c r="L49" s="52">
        <v>0</v>
      </c>
      <c r="M49" s="52">
        <v>9261762734</v>
      </c>
    </row>
    <row r="50" spans="1:13">
      <c r="A50" s="26">
        <f>'法人一覧(26)'!A49</f>
        <v>46</v>
      </c>
      <c r="B50" s="38" t="str">
        <f>'法人一覧(26)'!B49</f>
        <v>厚生労働省</v>
      </c>
      <c r="C50" s="38" t="str">
        <f>'法人一覧(26)'!C49</f>
        <v>地域医療機能推進機構</v>
      </c>
      <c r="D50" s="52">
        <v>292560375363</v>
      </c>
      <c r="E50" s="52">
        <v>0</v>
      </c>
      <c r="F50" s="52">
        <v>4859991322</v>
      </c>
      <c r="G50" s="52">
        <v>0</v>
      </c>
      <c r="H50" s="52">
        <v>0</v>
      </c>
      <c r="I50" s="52">
        <v>0</v>
      </c>
      <c r="J50" s="52">
        <v>0</v>
      </c>
      <c r="K50" s="52">
        <v>165059865516</v>
      </c>
      <c r="L50" s="52">
        <v>0</v>
      </c>
      <c r="M50" s="52">
        <v>462480232201</v>
      </c>
    </row>
    <row r="51" spans="1:13">
      <c r="A51" s="26">
        <f>'法人一覧(26)'!A50</f>
        <v>47</v>
      </c>
      <c r="B51" s="38" t="str">
        <f>'法人一覧(26)'!B50</f>
        <v>厚生労働省</v>
      </c>
      <c r="C51" s="38" t="str">
        <f>'法人一覧(26)'!C50</f>
        <v>年金積立金管理運用</v>
      </c>
      <c r="D51" s="52">
        <v>30800466452</v>
      </c>
      <c r="E51" s="52">
        <v>0</v>
      </c>
      <c r="F51" s="52">
        <v>0</v>
      </c>
      <c r="G51" s="52">
        <v>0</v>
      </c>
      <c r="H51" s="52">
        <v>368966817</v>
      </c>
      <c r="I51" s="52">
        <v>0</v>
      </c>
      <c r="J51" s="52">
        <v>0</v>
      </c>
      <c r="K51" s="52">
        <f>14420092695911+1049933877599+10649335018359+3000055138471+270903839464+1550000000000+14275446083955+986450144097</f>
        <v>46202216797856</v>
      </c>
      <c r="L51" s="52">
        <v>0</v>
      </c>
      <c r="M51" s="52">
        <f>14420092695911+1049933877599+30763359657615</f>
        <v>46233386231125</v>
      </c>
    </row>
    <row r="52" spans="1:13">
      <c r="A52" s="26">
        <f>'法人一覧(26)'!A51</f>
        <v>48</v>
      </c>
      <c r="B52" s="38" t="str">
        <f>'法人一覧(26)'!B51</f>
        <v>厚生労働省</v>
      </c>
      <c r="C52" s="38" t="str">
        <f>'法人一覧(26)'!C51</f>
        <v>国立がん研究センター</v>
      </c>
      <c r="D52" s="52">
        <v>50196253647</v>
      </c>
      <c r="E52" s="52">
        <v>0</v>
      </c>
      <c r="F52" s="52">
        <v>4274989959</v>
      </c>
      <c r="G52" s="52">
        <v>0</v>
      </c>
      <c r="H52" s="52">
        <v>0</v>
      </c>
      <c r="I52" s="52">
        <v>0</v>
      </c>
      <c r="J52" s="52">
        <v>0</v>
      </c>
      <c r="K52" s="52">
        <f>2315562150+289924689+992960366</f>
        <v>3598447205</v>
      </c>
      <c r="L52" s="52">
        <v>0</v>
      </c>
      <c r="M52" s="52">
        <v>58069690811</v>
      </c>
    </row>
    <row r="53" spans="1:13">
      <c r="A53" s="26">
        <f>'法人一覧(26)'!A52</f>
        <v>49</v>
      </c>
      <c r="B53" s="38" t="str">
        <f>'法人一覧(26)'!B52</f>
        <v>厚生労働省</v>
      </c>
      <c r="C53" s="38" t="str">
        <f>'法人一覧(26)'!C52</f>
        <v>国立循環器病研究センター</v>
      </c>
      <c r="D53" s="52">
        <v>27053626016</v>
      </c>
      <c r="E53" s="52">
        <v>0</v>
      </c>
      <c r="F53" s="52">
        <v>7181236186</v>
      </c>
      <c r="G53" s="52">
        <v>0</v>
      </c>
      <c r="H53" s="52">
        <v>0</v>
      </c>
      <c r="I53" s="52">
        <v>0</v>
      </c>
      <c r="J53" s="52">
        <v>0</v>
      </c>
      <c r="K53" s="52">
        <f>282738000+14657963+52011792</f>
        <v>349407755</v>
      </c>
      <c r="L53" s="52">
        <v>0</v>
      </c>
      <c r="M53" s="52">
        <v>34584269957</v>
      </c>
    </row>
    <row r="54" spans="1:13">
      <c r="A54" s="26">
        <f>'法人一覧(26)'!A53</f>
        <v>50</v>
      </c>
      <c r="B54" s="38" t="str">
        <f>'法人一覧(26)'!B53</f>
        <v>厚生労働省</v>
      </c>
      <c r="C54" s="38" t="str">
        <f>'法人一覧(26)'!C53</f>
        <v>国立精神・神経医療研究センター</v>
      </c>
      <c r="D54" s="52">
        <v>14110039971</v>
      </c>
      <c r="E54" s="52">
        <v>0</v>
      </c>
      <c r="F54" s="52">
        <v>1028987684</v>
      </c>
      <c r="G54" s="52">
        <v>0</v>
      </c>
      <c r="H54" s="52">
        <v>0</v>
      </c>
      <c r="I54" s="52">
        <v>0</v>
      </c>
      <c r="J54" s="52">
        <v>0</v>
      </c>
      <c r="K54" s="52">
        <f>84947530+38935801+173086659</f>
        <v>296969990</v>
      </c>
      <c r="L54" s="52">
        <v>0</v>
      </c>
      <c r="M54" s="52">
        <v>15435997645</v>
      </c>
    </row>
    <row r="55" spans="1:13">
      <c r="A55" s="26">
        <f>'法人一覧(26)'!A54</f>
        <v>51</v>
      </c>
      <c r="B55" s="38" t="str">
        <f>'法人一覧(26)'!B54</f>
        <v>厚生労働省</v>
      </c>
      <c r="C55" s="38" t="str">
        <f>'法人一覧(26)'!C54</f>
        <v>国立国際医療研究センター</v>
      </c>
      <c r="D55" s="52">
        <v>34694999011</v>
      </c>
      <c r="E55" s="52">
        <v>0</v>
      </c>
      <c r="F55" s="52">
        <v>5754983555</v>
      </c>
      <c r="G55" s="52">
        <v>0</v>
      </c>
      <c r="H55" s="52">
        <v>0</v>
      </c>
      <c r="I55" s="52">
        <v>0</v>
      </c>
      <c r="J55" s="52">
        <v>0</v>
      </c>
      <c r="K55" s="52">
        <f>1132033417+257961798+5811977598</f>
        <v>7201972813</v>
      </c>
      <c r="L55" s="52">
        <v>0</v>
      </c>
      <c r="M55" s="52">
        <v>47651955379</v>
      </c>
    </row>
    <row r="56" spans="1:13">
      <c r="A56" s="26">
        <f>'法人一覧(26)'!A55</f>
        <v>52</v>
      </c>
      <c r="B56" s="38" t="str">
        <f>'法人一覧(26)'!B55</f>
        <v>厚生労働省</v>
      </c>
      <c r="C56" s="38" t="str">
        <f>'法人一覧(26)'!C55</f>
        <v>国立成育医療研究センター</v>
      </c>
      <c r="D56" s="52">
        <v>22423801603</v>
      </c>
      <c r="E56" s="52">
        <v>0</v>
      </c>
      <c r="F56" s="52">
        <v>2203194957</v>
      </c>
      <c r="G56" s="52">
        <v>0</v>
      </c>
      <c r="H56" s="52">
        <v>0</v>
      </c>
      <c r="I56" s="52">
        <v>0</v>
      </c>
      <c r="J56" s="52">
        <v>0</v>
      </c>
      <c r="K56" s="52">
        <f>682888000+90390648+388132068</f>
        <v>1161410716</v>
      </c>
      <c r="L56" s="52">
        <v>0</v>
      </c>
      <c r="M56" s="52">
        <v>25788407276</v>
      </c>
    </row>
    <row r="57" spans="1:13">
      <c r="A57" s="26">
        <f>'法人一覧(26)'!A56</f>
        <v>53</v>
      </c>
      <c r="B57" s="38" t="str">
        <f>'法人一覧(26)'!B56</f>
        <v>厚生労働省</v>
      </c>
      <c r="C57" s="38" t="str">
        <f>'法人一覧(26)'!C56</f>
        <v>国立長寿医療研究センター</v>
      </c>
      <c r="D57" s="52">
        <v>8860000847</v>
      </c>
      <c r="E57" s="52">
        <v>0</v>
      </c>
      <c r="F57" s="52">
        <v>755101355</v>
      </c>
      <c r="G57" s="52">
        <v>0</v>
      </c>
      <c r="H57" s="52">
        <v>0</v>
      </c>
      <c r="I57" s="52">
        <v>0</v>
      </c>
      <c r="J57" s="52">
        <v>0</v>
      </c>
      <c r="K57" s="52">
        <f>102167271+7256992+1096632000</f>
        <v>1206056263</v>
      </c>
      <c r="L57" s="52">
        <v>0</v>
      </c>
      <c r="M57" s="52">
        <v>10821158465</v>
      </c>
    </row>
    <row r="58" spans="1:13">
      <c r="A58" s="26">
        <f>'法人一覧(26)'!A57</f>
        <v>54</v>
      </c>
      <c r="B58" s="38" t="str">
        <f>'法人一覧(26)'!B57</f>
        <v>農林水産省</v>
      </c>
      <c r="C58" s="38" t="str">
        <f>'法人一覧(26)'!C57</f>
        <v>農林水産消費安全技術センター</v>
      </c>
      <c r="D58" s="52">
        <v>850016450</v>
      </c>
      <c r="E58" s="52">
        <v>0</v>
      </c>
      <c r="F58" s="52">
        <v>73631572</v>
      </c>
      <c r="G58" s="52">
        <v>0</v>
      </c>
      <c r="H58" s="52">
        <f>657107017+I58</f>
        <v>6063904201</v>
      </c>
      <c r="I58" s="52">
        <v>5406797184</v>
      </c>
      <c r="J58" s="52">
        <v>0</v>
      </c>
      <c r="K58" s="52">
        <v>0</v>
      </c>
      <c r="L58" s="52">
        <v>0</v>
      </c>
      <c r="M58" s="52">
        <v>6987552223</v>
      </c>
    </row>
    <row r="59" spans="1:13">
      <c r="A59" s="26">
        <f>'法人一覧(26)'!A58</f>
        <v>55</v>
      </c>
      <c r="B59" s="38" t="str">
        <f>'法人一覧(26)'!B58</f>
        <v>農林水産省</v>
      </c>
      <c r="C59" s="38" t="str">
        <f>'法人一覧(26)'!C58</f>
        <v>種苗管理センター</v>
      </c>
      <c r="D59" s="29">
        <v>420000000</v>
      </c>
      <c r="E59" s="52">
        <v>0</v>
      </c>
      <c r="F59" s="29">
        <v>197000000</v>
      </c>
      <c r="G59" s="29">
        <v>51000000</v>
      </c>
      <c r="H59" s="52">
        <f>154000000</f>
        <v>154000000</v>
      </c>
      <c r="I59" s="52">
        <v>0</v>
      </c>
      <c r="J59" s="52">
        <v>2307000000</v>
      </c>
      <c r="K59" s="29">
        <f>11000000+20000000</f>
        <v>31000000</v>
      </c>
      <c r="L59" s="29">
        <v>54000000</v>
      </c>
      <c r="M59" s="29">
        <v>3214000000</v>
      </c>
    </row>
    <row r="60" spans="1:13">
      <c r="A60" s="26">
        <f>'法人一覧(26)'!A59</f>
        <v>56</v>
      </c>
      <c r="B60" s="38" t="str">
        <f>'法人一覧(26)'!B59</f>
        <v>農林水産省</v>
      </c>
      <c r="C60" s="38" t="str">
        <f>'法人一覧(26)'!C59</f>
        <v>家畜改良センター</v>
      </c>
      <c r="D60" s="29">
        <v>2442000000</v>
      </c>
      <c r="E60" s="52">
        <v>0</v>
      </c>
      <c r="F60" s="29">
        <v>288000000</v>
      </c>
      <c r="G60" s="29">
        <v>212000000</v>
      </c>
      <c r="H60" s="52">
        <f>341000000+I60</f>
        <v>6218000000</v>
      </c>
      <c r="I60" s="52">
        <v>5877000000</v>
      </c>
      <c r="J60" s="52">
        <v>0</v>
      </c>
      <c r="K60" s="29">
        <v>0</v>
      </c>
      <c r="L60" s="29">
        <v>0</v>
      </c>
      <c r="M60" s="29">
        <v>9160000000</v>
      </c>
    </row>
    <row r="61" spans="1:13">
      <c r="A61" s="26">
        <f>'法人一覧(26)'!A60</f>
        <v>57</v>
      </c>
      <c r="B61" s="38" t="str">
        <f>'法人一覧(26)'!B60</f>
        <v>農林水産省</v>
      </c>
      <c r="C61" s="38" t="str">
        <f>'法人一覧(26)'!C60</f>
        <v>水産大学校</v>
      </c>
      <c r="D61" s="29">
        <v>519413411</v>
      </c>
      <c r="E61" s="52">
        <v>0</v>
      </c>
      <c r="F61" s="29">
        <v>177616800</v>
      </c>
      <c r="G61" s="29">
        <v>77427096</v>
      </c>
      <c r="H61" s="29">
        <v>194416938</v>
      </c>
      <c r="I61" s="29">
        <v>0</v>
      </c>
      <c r="J61" s="29">
        <v>1556627141</v>
      </c>
      <c r="K61" s="29">
        <v>17500000</v>
      </c>
      <c r="L61" s="29">
        <v>0</v>
      </c>
      <c r="M61" s="29">
        <v>2543001386</v>
      </c>
    </row>
    <row r="62" spans="1:13">
      <c r="A62" s="26">
        <f>'法人一覧(26)'!A61</f>
        <v>58</v>
      </c>
      <c r="B62" s="38" t="str">
        <f>'法人一覧(26)'!B61</f>
        <v>農林水産省</v>
      </c>
      <c r="C62" s="38" t="str">
        <f>'法人一覧(26)'!C61</f>
        <v>農業・食品産業技術総合研究機構</v>
      </c>
      <c r="D62" s="29">
        <f>10643829696+8198393753+65378300+73035+779083863</f>
        <v>19686758647</v>
      </c>
      <c r="E62" s="52">
        <v>0</v>
      </c>
      <c r="F62" s="29">
        <f>4514491875+94494108</f>
        <v>4608985983</v>
      </c>
      <c r="G62" s="29">
        <f>4144162508+55386456</f>
        <v>4199548964</v>
      </c>
      <c r="H62" s="29">
        <f>2147452837+142503496+92471658+9616697+63816560</f>
        <v>2455861248</v>
      </c>
      <c r="I62" s="29">
        <f>129655441+72054517+6481972</f>
        <v>208191930</v>
      </c>
      <c r="J62" s="29">
        <f>24637690668+775515877</f>
        <v>25413206545</v>
      </c>
      <c r="K62" s="29">
        <f>1902302+7095212+2523956</f>
        <v>11521470</v>
      </c>
      <c r="L62" s="29">
        <f>1924207413+3562829195</f>
        <v>5487036608</v>
      </c>
      <c r="M62" s="29">
        <f>48020832511+11903726444+157849958+9689732+1770820820</f>
        <v>61862919465</v>
      </c>
    </row>
    <row r="63" spans="1:13">
      <c r="A63" s="26">
        <f>'法人一覧(26)'!A62</f>
        <v>59</v>
      </c>
      <c r="B63" s="38" t="str">
        <f>'法人一覧(26)'!B62</f>
        <v>農林水産省</v>
      </c>
      <c r="C63" s="38" t="str">
        <f>'法人一覧(26)'!C62</f>
        <v>農業生物資源研究所</v>
      </c>
      <c r="D63" s="29">
        <v>2374584703</v>
      </c>
      <c r="E63" s="52">
        <v>0</v>
      </c>
      <c r="F63" s="29">
        <v>2889511514</v>
      </c>
      <c r="G63" s="29">
        <v>1987075435</v>
      </c>
      <c r="H63" s="52">
        <f>339200979</f>
        <v>339200979</v>
      </c>
      <c r="I63" s="52">
        <v>0</v>
      </c>
      <c r="J63" s="52">
        <v>3664729217</v>
      </c>
      <c r="K63" s="29">
        <v>2200000</v>
      </c>
      <c r="L63" s="29">
        <v>0</v>
      </c>
      <c r="M63" s="29">
        <v>11257301848</v>
      </c>
    </row>
    <row r="64" spans="1:13">
      <c r="A64" s="26">
        <f>'法人一覧(26)'!A63</f>
        <v>60</v>
      </c>
      <c r="B64" s="38" t="str">
        <f>'法人一覧(26)'!B63</f>
        <v>農林水産省</v>
      </c>
      <c r="C64" s="38" t="str">
        <f>'法人一覧(26)'!C63</f>
        <v>農業環境技術研究所</v>
      </c>
      <c r="D64" s="29">
        <v>859695985</v>
      </c>
      <c r="E64" s="52">
        <v>0</v>
      </c>
      <c r="F64" s="29">
        <v>84240000</v>
      </c>
      <c r="G64" s="29">
        <v>627193710</v>
      </c>
      <c r="H64" s="52">
        <f>332367073</f>
        <v>332367073</v>
      </c>
      <c r="I64" s="52">
        <v>0</v>
      </c>
      <c r="J64" s="52">
        <v>1777668525</v>
      </c>
      <c r="K64" s="29">
        <v>0</v>
      </c>
      <c r="L64" s="29">
        <v>0</v>
      </c>
      <c r="M64" s="29">
        <v>3681165293</v>
      </c>
    </row>
    <row r="65" spans="1:13">
      <c r="A65" s="26">
        <f>'法人一覧(26)'!A64</f>
        <v>61</v>
      </c>
      <c r="B65" s="38" t="str">
        <f>'法人一覧(26)'!B64</f>
        <v>農林水産省</v>
      </c>
      <c r="C65" s="38" t="str">
        <f>'法人一覧(26)'!C64</f>
        <v>国際農林水産業研究センター</v>
      </c>
      <c r="D65" s="29">
        <v>1410561044</v>
      </c>
      <c r="E65" s="52">
        <v>0</v>
      </c>
      <c r="F65" s="29">
        <v>41504080</v>
      </c>
      <c r="G65" s="29">
        <v>178681584</v>
      </c>
      <c r="H65" s="52">
        <f>103561011+I65</f>
        <v>2107356808</v>
      </c>
      <c r="I65" s="52">
        <v>2003795797</v>
      </c>
      <c r="J65" s="52">
        <v>0</v>
      </c>
      <c r="K65" s="29">
        <v>0</v>
      </c>
      <c r="L65" s="29">
        <v>0</v>
      </c>
      <c r="M65" s="29">
        <v>3738103516</v>
      </c>
    </row>
    <row r="66" spans="1:13">
      <c r="A66" s="26">
        <f>'法人一覧(26)'!A65</f>
        <v>62</v>
      </c>
      <c r="B66" s="38" t="str">
        <f>'法人一覧(26)'!B65</f>
        <v>農林水産省</v>
      </c>
      <c r="C66" s="38" t="str">
        <f>'法人一覧(26)'!C65</f>
        <v>森林総合研究所</v>
      </c>
      <c r="D66" s="52">
        <f>1608766910+17288838321</f>
        <v>18897605231</v>
      </c>
      <c r="E66" s="52">
        <v>0</v>
      </c>
      <c r="F66" s="52">
        <v>80509629</v>
      </c>
      <c r="G66" s="52">
        <v>1236668177</v>
      </c>
      <c r="H66" s="52">
        <f>716220621+277736749+3469520779</f>
        <v>4463478149</v>
      </c>
      <c r="I66" s="52">
        <f>211409214+3156732970</f>
        <v>3368142184</v>
      </c>
      <c r="J66" s="52">
        <v>7240608767</v>
      </c>
      <c r="K66" s="52">
        <f>157627129+6308633+17112308427+1558812692+16119109+15347500000+2924613183+4042218</f>
        <v>37127331391</v>
      </c>
      <c r="L66" s="52">
        <v>0</v>
      </c>
      <c r="M66" s="52">
        <f>11046709866+18964976977+39034514501</f>
        <v>69046201344</v>
      </c>
    </row>
    <row r="67" spans="1:13">
      <c r="A67" s="26">
        <f>'法人一覧(26)'!A66</f>
        <v>63</v>
      </c>
      <c r="B67" s="38" t="str">
        <f>'法人一覧(26)'!B66</f>
        <v>農林水産省</v>
      </c>
      <c r="C67" s="38" t="str">
        <f>'法人一覧(26)'!C66</f>
        <v>水産総合研究センター</v>
      </c>
      <c r="D67" s="29">
        <v>7130959471</v>
      </c>
      <c r="E67" s="52">
        <v>0</v>
      </c>
      <c r="F67" s="29">
        <v>171252720</v>
      </c>
      <c r="G67" s="29">
        <v>3310916954</v>
      </c>
      <c r="H67" s="29">
        <v>517014347</v>
      </c>
      <c r="I67" s="29">
        <v>0</v>
      </c>
      <c r="J67" s="29">
        <v>8521215805</v>
      </c>
      <c r="K67" s="29">
        <v>574223155</v>
      </c>
      <c r="L67" s="29">
        <v>0</v>
      </c>
      <c r="M67" s="29">
        <v>20225582452</v>
      </c>
    </row>
    <row r="68" spans="1:13">
      <c r="A68" s="26">
        <f>'法人一覧(26)'!A67</f>
        <v>64</v>
      </c>
      <c r="B68" s="38" t="str">
        <f>'法人一覧(26)'!B67</f>
        <v>農林水産省</v>
      </c>
      <c r="C68" s="38" t="str">
        <f>'法人一覧(26)'!C67</f>
        <v>農畜産業振興機構</v>
      </c>
      <c r="D68" s="29">
        <v>239316000000</v>
      </c>
      <c r="E68" s="52">
        <v>0</v>
      </c>
      <c r="F68" s="29">
        <v>0</v>
      </c>
      <c r="G68" s="29">
        <v>0</v>
      </c>
      <c r="H68" s="52">
        <f>487000000+I68</f>
        <v>2703000000</v>
      </c>
      <c r="I68" s="52">
        <v>2216000000</v>
      </c>
      <c r="J68" s="52">
        <v>0</v>
      </c>
      <c r="K68" s="29">
        <f>20186000000+183000000</f>
        <v>20369000000</v>
      </c>
      <c r="L68" s="29">
        <v>0</v>
      </c>
      <c r="M68" s="29">
        <v>262388000000</v>
      </c>
    </row>
    <row r="69" spans="1:13">
      <c r="A69" s="26">
        <f>'法人一覧(26)'!A68</f>
        <v>65</v>
      </c>
      <c r="B69" s="38" t="str">
        <f>'法人一覧(26)'!B68</f>
        <v>農林水産省</v>
      </c>
      <c r="C69" s="38" t="str">
        <f>'法人一覧(26)'!C68</f>
        <v>農業者年金基金</v>
      </c>
      <c r="D69" s="29">
        <v>117752306459</v>
      </c>
      <c r="E69" s="52">
        <v>0</v>
      </c>
      <c r="F69" s="29">
        <v>0</v>
      </c>
      <c r="G69" s="29">
        <v>0</v>
      </c>
      <c r="H69" s="52">
        <f>550418761</f>
        <v>550418761</v>
      </c>
      <c r="I69" s="29">
        <v>0</v>
      </c>
      <c r="J69" s="29">
        <v>746247322</v>
      </c>
      <c r="K69" s="29">
        <v>83100000000</v>
      </c>
      <c r="L69" s="29">
        <v>0</v>
      </c>
      <c r="M69" s="29">
        <v>202148972542</v>
      </c>
    </row>
    <row r="70" spans="1:13">
      <c r="A70" s="26">
        <f>'法人一覧(26)'!A69</f>
        <v>66</v>
      </c>
      <c r="B70" s="38" t="str">
        <f>'法人一覧(26)'!B69</f>
        <v>農林水産省</v>
      </c>
      <c r="C70" s="38" t="str">
        <f>'法人一覧(26)'!C69</f>
        <v>農林漁業信用基金</v>
      </c>
      <c r="D70" s="29">
        <v>55350266797</v>
      </c>
      <c r="E70" s="52">
        <v>0</v>
      </c>
      <c r="F70" s="29">
        <v>0</v>
      </c>
      <c r="G70" s="29">
        <v>0</v>
      </c>
      <c r="H70" s="29">
        <v>1523680222</v>
      </c>
      <c r="I70" s="29">
        <v>1124053216</v>
      </c>
      <c r="J70" s="29">
        <v>0</v>
      </c>
      <c r="K70" s="29">
        <v>0</v>
      </c>
      <c r="L70" s="29">
        <v>0</v>
      </c>
      <c r="M70" s="29">
        <v>56873947019</v>
      </c>
    </row>
    <row r="71" spans="1:13">
      <c r="A71" s="26">
        <f>'法人一覧(26)'!A70</f>
        <v>67</v>
      </c>
      <c r="B71" s="38" t="str">
        <f>'法人一覧(26)'!B70</f>
        <v>経済産業省</v>
      </c>
      <c r="C71" s="38" t="str">
        <f>'法人一覧(26)'!C70</f>
        <v>経済産業研究所</v>
      </c>
      <c r="D71" s="29">
        <v>1211698222</v>
      </c>
      <c r="E71" s="52">
        <v>0</v>
      </c>
      <c r="F71" s="29">
        <v>0</v>
      </c>
      <c r="G71" s="29">
        <v>3897591</v>
      </c>
      <c r="H71" s="29">
        <v>211806513</v>
      </c>
      <c r="I71" s="29">
        <v>0</v>
      </c>
      <c r="J71" s="29">
        <v>0</v>
      </c>
      <c r="K71" s="29">
        <v>0</v>
      </c>
      <c r="L71" s="29">
        <v>0</v>
      </c>
      <c r="M71" s="29">
        <v>1427402326</v>
      </c>
    </row>
    <row r="72" spans="1:13">
      <c r="A72" s="26">
        <f>'法人一覧(26)'!A71</f>
        <v>68</v>
      </c>
      <c r="B72" s="38" t="str">
        <f>'法人一覧(26)'!B71</f>
        <v>経済産業省</v>
      </c>
      <c r="C72" s="38" t="str">
        <f>'法人一覧(26)'!C71</f>
        <v>工業所有権情報・研修館</v>
      </c>
      <c r="D72" s="29">
        <v>9182759982</v>
      </c>
      <c r="E72" s="52">
        <v>0</v>
      </c>
      <c r="F72" s="29">
        <v>0</v>
      </c>
      <c r="G72" s="29">
        <v>0</v>
      </c>
      <c r="H72" s="29">
        <f>327406486+I72</f>
        <v>1010732236</v>
      </c>
      <c r="I72" s="52">
        <v>683325750</v>
      </c>
      <c r="J72" s="29">
        <v>0</v>
      </c>
      <c r="K72" s="29">
        <v>0</v>
      </c>
      <c r="L72" s="29">
        <v>0</v>
      </c>
      <c r="M72" s="29">
        <v>10193492218</v>
      </c>
    </row>
    <row r="73" spans="1:13">
      <c r="A73" s="26">
        <f>'法人一覧(26)'!A72</f>
        <v>69</v>
      </c>
      <c r="B73" s="38" t="str">
        <f>'法人一覧(26)'!B72</f>
        <v>経済産業省</v>
      </c>
      <c r="C73" s="38" t="str">
        <f>'法人一覧(26)'!C72</f>
        <v>日本貿易保険</v>
      </c>
      <c r="D73" s="52">
        <v>5045000000</v>
      </c>
      <c r="E73" s="52">
        <v>1398000000</v>
      </c>
      <c r="F73" s="29">
        <v>0</v>
      </c>
      <c r="G73" s="29">
        <v>0</v>
      </c>
      <c r="H73" s="29">
        <v>0</v>
      </c>
      <c r="I73" s="29">
        <v>0</v>
      </c>
      <c r="J73" s="29">
        <v>0</v>
      </c>
      <c r="K73" s="29">
        <f>736000000+27500000000-1816000000</f>
        <v>26420000000</v>
      </c>
      <c r="L73" s="29">
        <v>47494000000</v>
      </c>
      <c r="M73" s="29">
        <v>78959000000</v>
      </c>
    </row>
    <row r="74" spans="1:13">
      <c r="A74" s="26">
        <f>'法人一覧(26)'!A73</f>
        <v>70</v>
      </c>
      <c r="B74" s="38" t="str">
        <f>'法人一覧(26)'!B73</f>
        <v>経済産業省</v>
      </c>
      <c r="C74" s="38" t="str">
        <f>'法人一覧(26)'!C73</f>
        <v>産業技術総合研究所</v>
      </c>
      <c r="D74" s="29">
        <v>70354233838</v>
      </c>
      <c r="E74" s="29">
        <v>0</v>
      </c>
      <c r="F74" s="29">
        <v>32758042734</v>
      </c>
      <c r="G74" s="29">
        <v>14424805027</v>
      </c>
      <c r="H74" s="29">
        <v>9393192445</v>
      </c>
      <c r="I74" s="29">
        <v>0</v>
      </c>
      <c r="J74" s="29">
        <v>0</v>
      </c>
      <c r="K74" s="29">
        <v>0</v>
      </c>
      <c r="L74" s="29">
        <v>0</v>
      </c>
      <c r="M74" s="29">
        <v>126930274044</v>
      </c>
    </row>
    <row r="75" spans="1:13">
      <c r="A75" s="26">
        <f>'法人一覧(26)'!A74</f>
        <v>71</v>
      </c>
      <c r="B75" s="38" t="str">
        <f>'法人一覧(26)'!B74</f>
        <v>経済産業省</v>
      </c>
      <c r="C75" s="38" t="str">
        <f>'法人一覧(26)'!C74</f>
        <v>製品評価技術基盤機構</v>
      </c>
      <c r="D75" s="29">
        <v>7424710239</v>
      </c>
      <c r="E75" s="29">
        <v>0</v>
      </c>
      <c r="F75" s="29">
        <v>8829938884</v>
      </c>
      <c r="G75" s="29">
        <v>341444457</v>
      </c>
      <c r="H75" s="29">
        <v>1156060536</v>
      </c>
      <c r="I75" s="29">
        <v>0</v>
      </c>
      <c r="J75" s="29">
        <v>0</v>
      </c>
      <c r="K75" s="29">
        <v>0</v>
      </c>
      <c r="L75" s="29">
        <v>0</v>
      </c>
      <c r="M75" s="29">
        <v>17752154116</v>
      </c>
    </row>
    <row r="76" spans="1:13">
      <c r="A76" s="26">
        <f>'法人一覧(26)'!A75</f>
        <v>72</v>
      </c>
      <c r="B76" s="38" t="str">
        <f>'法人一覧(26)'!B75</f>
        <v>経済産業省</v>
      </c>
      <c r="C76" s="38" t="str">
        <f>'法人一覧(26)'!C75</f>
        <v>新エネルギー・産業技術総合開発機構</v>
      </c>
      <c r="D76" s="52">
        <v>130018396779</v>
      </c>
      <c r="E76" s="29">
        <v>0</v>
      </c>
      <c r="F76" s="29">
        <v>0</v>
      </c>
      <c r="G76" s="52">
        <v>55791552</v>
      </c>
      <c r="H76" s="52">
        <v>6797462899</v>
      </c>
      <c r="I76" s="29">
        <v>0</v>
      </c>
      <c r="J76" s="29">
        <v>0</v>
      </c>
      <c r="K76" s="29">
        <v>0</v>
      </c>
      <c r="L76" s="29">
        <v>0</v>
      </c>
      <c r="M76" s="52">
        <v>136871651230</v>
      </c>
    </row>
    <row r="77" spans="1:13">
      <c r="A77" s="26">
        <f>'法人一覧(26)'!A76</f>
        <v>73</v>
      </c>
      <c r="B77" s="38" t="str">
        <f>'法人一覧(26)'!B76</f>
        <v>経済産業省</v>
      </c>
      <c r="C77" s="38" t="str">
        <f>'法人一覧(26)'!C76</f>
        <v>日本貿易振興機構</v>
      </c>
      <c r="D77" s="52">
        <v>28755571565</v>
      </c>
      <c r="E77" s="29">
        <v>0</v>
      </c>
      <c r="F77" s="29">
        <v>0</v>
      </c>
      <c r="G77" s="52">
        <v>1258370164</v>
      </c>
      <c r="H77" s="52">
        <v>1684657106</v>
      </c>
      <c r="I77" s="29">
        <v>0</v>
      </c>
      <c r="J77" s="29">
        <v>0</v>
      </c>
      <c r="K77" s="29">
        <v>0</v>
      </c>
      <c r="L77" s="29">
        <v>0</v>
      </c>
      <c r="M77" s="52">
        <v>31698598835</v>
      </c>
    </row>
    <row r="78" spans="1:13">
      <c r="A78" s="26">
        <f>'法人一覧(26)'!A77</f>
        <v>74</v>
      </c>
      <c r="B78" s="38" t="str">
        <f>'法人一覧(26)'!B77</f>
        <v>経済産業省</v>
      </c>
      <c r="C78" s="38" t="str">
        <f>'法人一覧(26)'!C77</f>
        <v>情報処理推進機構</v>
      </c>
      <c r="D78" s="52">
        <v>6519415524</v>
      </c>
      <c r="E78" s="29">
        <v>0</v>
      </c>
      <c r="F78" s="29">
        <v>0</v>
      </c>
      <c r="G78" s="52">
        <v>12672764</v>
      </c>
      <c r="H78" s="52">
        <v>864962029</v>
      </c>
      <c r="I78" s="29">
        <v>0</v>
      </c>
      <c r="J78" s="29">
        <v>0</v>
      </c>
      <c r="K78" s="29">
        <v>0</v>
      </c>
      <c r="L78" s="29">
        <v>0</v>
      </c>
      <c r="M78" s="52">
        <v>7397050317</v>
      </c>
    </row>
    <row r="79" spans="1:13">
      <c r="A79" s="26">
        <f>'法人一覧(26)'!A78</f>
        <v>75</v>
      </c>
      <c r="B79" s="38" t="str">
        <f>'法人一覧(26)'!B78</f>
        <v>経済産業省</v>
      </c>
      <c r="C79" s="38" t="str">
        <f>'法人一覧(26)'!C78</f>
        <v>石油天然ガス・金属鉱物資源機構</v>
      </c>
      <c r="D79" s="29">
        <v>57852275757</v>
      </c>
      <c r="E79" s="29">
        <v>0</v>
      </c>
      <c r="F79" s="29">
        <v>0</v>
      </c>
      <c r="G79" s="29">
        <v>87392874276</v>
      </c>
      <c r="H79" s="29">
        <v>1459038411</v>
      </c>
      <c r="I79" s="29">
        <v>0</v>
      </c>
      <c r="J79" s="29">
        <v>0</v>
      </c>
      <c r="K79" s="29">
        <f>848738756360+2200000000+839792753900+574470998+1181747299</f>
        <v>1692487728557</v>
      </c>
      <c r="L79" s="29">
        <v>0</v>
      </c>
      <c r="M79" s="29">
        <v>1839191917001</v>
      </c>
    </row>
    <row r="80" spans="1:13">
      <c r="A80" s="26">
        <f>'法人一覧(26)'!A79</f>
        <v>76</v>
      </c>
      <c r="B80" s="38" t="str">
        <f>'法人一覧(26)'!B79</f>
        <v>経済産業省</v>
      </c>
      <c r="C80" s="38" t="str">
        <f>'法人一覧(26)'!C79</f>
        <v>中小企業基盤整備機構</v>
      </c>
      <c r="D80" s="29">
        <f>37830155512+169243536+1051323271+568422115983+53260935496+8268461</f>
        <v>660742042259</v>
      </c>
      <c r="E80" s="29">
        <v>0</v>
      </c>
      <c r="F80" s="29">
        <v>0</v>
      </c>
      <c r="G80" s="29">
        <v>142623633</v>
      </c>
      <c r="H80" s="29">
        <f>1198431309+25547530+52343343+137014812+104911736+846083</f>
        <v>1519094813</v>
      </c>
      <c r="I80" s="29">
        <v>0</v>
      </c>
      <c r="J80" s="29">
        <v>0</v>
      </c>
      <c r="K80" s="29">
        <f>6308931000+30117131160+576125125+25486979110+9081030+1801893258+412435964000+11411975+442804145+39603600000+11681242</f>
        <v>516805602045</v>
      </c>
      <c r="L80" s="29">
        <v>0</v>
      </c>
      <c r="M80" s="29">
        <f>101660376849+2005765354+1103666614+981449310915+92981128474+9114544</f>
        <v>1179209362750</v>
      </c>
    </row>
    <row r="81" spans="1:13">
      <c r="A81" s="26">
        <f>'法人一覧(26)'!A80</f>
        <v>77</v>
      </c>
      <c r="B81" s="38" t="str">
        <f>'法人一覧(26)'!B80</f>
        <v>国土交通省</v>
      </c>
      <c r="C81" s="38" t="str">
        <f>'法人一覧(26)'!C80</f>
        <v>土木研究所</v>
      </c>
      <c r="D81" s="52">
        <v>3833324000</v>
      </c>
      <c r="E81" s="29">
        <v>0</v>
      </c>
      <c r="F81" s="52">
        <v>1251372000</v>
      </c>
      <c r="G81" s="52">
        <v>289044000</v>
      </c>
      <c r="H81" s="52">
        <v>548384000</v>
      </c>
      <c r="I81" s="52">
        <v>0</v>
      </c>
      <c r="J81" s="52">
        <v>4269923000</v>
      </c>
      <c r="K81" s="69" t="s">
        <v>465</v>
      </c>
      <c r="L81" s="69" t="s">
        <v>465</v>
      </c>
      <c r="M81" s="52">
        <v>10192046000</v>
      </c>
    </row>
    <row r="82" spans="1:13">
      <c r="A82" s="26">
        <f>'法人一覧(26)'!A81</f>
        <v>78</v>
      </c>
      <c r="B82" s="38" t="str">
        <f>'法人一覧(26)'!B81</f>
        <v>国土交通省</v>
      </c>
      <c r="C82" s="38" t="str">
        <f>'法人一覧(26)'!C81</f>
        <v>建築研究所</v>
      </c>
      <c r="D82" s="52">
        <v>545003604</v>
      </c>
      <c r="E82" s="29">
        <v>0</v>
      </c>
      <c r="F82" s="52">
        <v>226822626</v>
      </c>
      <c r="G82" s="52">
        <v>75846069</v>
      </c>
      <c r="H82" s="52">
        <v>302930662</v>
      </c>
      <c r="I82" s="52">
        <v>0</v>
      </c>
      <c r="J82" s="52">
        <v>991520451</v>
      </c>
      <c r="K82" s="69" t="s">
        <v>465</v>
      </c>
      <c r="L82" s="69" t="s">
        <v>465</v>
      </c>
      <c r="M82" s="52">
        <v>2142123413</v>
      </c>
    </row>
    <row r="83" spans="1:13">
      <c r="A83" s="26">
        <f>'法人一覧(26)'!A82</f>
        <v>79</v>
      </c>
      <c r="B83" s="38" t="str">
        <f>'法人一覧(26)'!B82</f>
        <v>国土交通省</v>
      </c>
      <c r="C83" s="38" t="str">
        <f>'法人一覧(26)'!C82</f>
        <v>交通安全環境研究所</v>
      </c>
      <c r="D83" s="52">
        <f>SUM(187528145,642259620)</f>
        <v>829787765</v>
      </c>
      <c r="E83" s="29">
        <v>0</v>
      </c>
      <c r="F83" s="52">
        <v>312740380</v>
      </c>
      <c r="G83" s="52">
        <v>735041522</v>
      </c>
      <c r="H83" s="52">
        <f>SUM(73077341)</f>
        <v>73077341</v>
      </c>
      <c r="I83" s="52">
        <v>0</v>
      </c>
      <c r="J83" s="52">
        <v>908919716</v>
      </c>
      <c r="K83" s="52">
        <v>0</v>
      </c>
      <c r="L83" s="52">
        <v>0</v>
      </c>
      <c r="M83" s="52">
        <v>2859566724</v>
      </c>
    </row>
    <row r="84" spans="1:13">
      <c r="A84" s="26">
        <f>'法人一覧(26)'!A83</f>
        <v>80</v>
      </c>
      <c r="B84" s="38" t="str">
        <f>'法人一覧(26)'!B83</f>
        <v>国土交通省</v>
      </c>
      <c r="C84" s="38" t="str">
        <f>'法人一覧(26)'!C83</f>
        <v>海上技術安全研究所</v>
      </c>
      <c r="D84" s="52">
        <v>768517934</v>
      </c>
      <c r="E84" s="29">
        <v>0</v>
      </c>
      <c r="F84" s="52">
        <v>354044657</v>
      </c>
      <c r="G84" s="52">
        <v>1971031797</v>
      </c>
      <c r="H84" s="52">
        <v>92411754</v>
      </c>
      <c r="I84" s="52">
        <v>0</v>
      </c>
      <c r="J84" s="52">
        <v>2147122921</v>
      </c>
      <c r="K84" s="52">
        <v>0</v>
      </c>
      <c r="L84" s="52">
        <v>0</v>
      </c>
      <c r="M84" s="52">
        <v>5333129063</v>
      </c>
    </row>
    <row r="85" spans="1:13">
      <c r="A85" s="26">
        <f>'法人一覧(26)'!A84</f>
        <v>81</v>
      </c>
      <c r="B85" s="38" t="str">
        <f>'法人一覧(26)'!B84</f>
        <v>国土交通省</v>
      </c>
      <c r="C85" s="38" t="str">
        <f>'法人一覧(26)'!C84</f>
        <v>港湾空港技術研究所</v>
      </c>
      <c r="D85" s="52">
        <v>246780974</v>
      </c>
      <c r="E85" s="29">
        <v>0</v>
      </c>
      <c r="F85" s="52">
        <v>319747000</v>
      </c>
      <c r="G85" s="52">
        <v>1714150778</v>
      </c>
      <c r="H85" s="52">
        <v>102672635</v>
      </c>
      <c r="I85" s="52">
        <v>0</v>
      </c>
      <c r="J85" s="52">
        <v>994795977</v>
      </c>
      <c r="K85" s="52">
        <v>0</v>
      </c>
      <c r="L85" s="52">
        <v>0</v>
      </c>
      <c r="M85" s="52">
        <v>3378147364</v>
      </c>
    </row>
    <row r="86" spans="1:13">
      <c r="A86" s="26">
        <f>'法人一覧(26)'!A85</f>
        <v>82</v>
      </c>
      <c r="B86" s="38" t="str">
        <f>'法人一覧(26)'!B85</f>
        <v>国土交通省</v>
      </c>
      <c r="C86" s="38" t="str">
        <f>'法人一覧(26)'!C85</f>
        <v>電子航法研究所</v>
      </c>
      <c r="D86" s="52">
        <v>819055565</v>
      </c>
      <c r="E86" s="29">
        <v>0</v>
      </c>
      <c r="F86" s="52">
        <v>21891336</v>
      </c>
      <c r="G86" s="52">
        <v>106291568</v>
      </c>
      <c r="H86" s="52">
        <v>43371611</v>
      </c>
      <c r="I86" s="52">
        <v>0</v>
      </c>
      <c r="J86" s="52">
        <v>627200297</v>
      </c>
      <c r="K86" s="52">
        <v>0</v>
      </c>
      <c r="L86" s="52">
        <v>0</v>
      </c>
      <c r="M86" s="52">
        <v>1617810377</v>
      </c>
    </row>
    <row r="87" spans="1:13">
      <c r="A87" s="26">
        <f>'法人一覧(26)'!A86</f>
        <v>83</v>
      </c>
      <c r="B87" s="38" t="str">
        <f>'法人一覧(26)'!B86</f>
        <v>国土交通省</v>
      </c>
      <c r="C87" s="38" t="str">
        <f>'法人一覧(26)'!C86</f>
        <v>航海訓練所</v>
      </c>
      <c r="D87" s="52">
        <v>2178481464</v>
      </c>
      <c r="E87" s="29">
        <v>0</v>
      </c>
      <c r="F87" s="52">
        <v>46285560</v>
      </c>
      <c r="G87" s="52">
        <v>167378</v>
      </c>
      <c r="H87" s="52">
        <v>190745644</v>
      </c>
      <c r="I87" s="52">
        <v>0</v>
      </c>
      <c r="J87" s="52">
        <v>3654832494</v>
      </c>
      <c r="K87" s="52">
        <v>0</v>
      </c>
      <c r="L87" s="52">
        <v>0</v>
      </c>
      <c r="M87" s="52">
        <v>6070512540</v>
      </c>
    </row>
    <row r="88" spans="1:13">
      <c r="A88" s="26">
        <f>'法人一覧(26)'!A87</f>
        <v>84</v>
      </c>
      <c r="B88" s="38" t="str">
        <f>'法人一覧(26)'!B87</f>
        <v>国土交通省</v>
      </c>
      <c r="C88" s="38" t="str">
        <f>'法人一覧(26)'!C87</f>
        <v>海技教育機構</v>
      </c>
      <c r="D88" s="52">
        <v>429494134</v>
      </c>
      <c r="E88" s="29">
        <v>0</v>
      </c>
      <c r="F88" s="52">
        <v>0</v>
      </c>
      <c r="G88" s="52">
        <v>29025800</v>
      </c>
      <c r="H88" s="52">
        <v>279897329</v>
      </c>
      <c r="I88" s="52">
        <v>0</v>
      </c>
      <c r="J88" s="52">
        <v>1976119513</v>
      </c>
      <c r="K88" s="52">
        <v>0</v>
      </c>
      <c r="L88" s="52">
        <v>0</v>
      </c>
      <c r="M88" s="52">
        <v>2714536776</v>
      </c>
    </row>
    <row r="89" spans="1:13">
      <c r="A89" s="26">
        <f>'法人一覧(26)'!A88</f>
        <v>85</v>
      </c>
      <c r="B89" s="38" t="str">
        <f>'法人一覧(26)'!B88</f>
        <v>国土交通省</v>
      </c>
      <c r="C89" s="38" t="str">
        <f>'法人一覧(26)'!C88</f>
        <v>航空大学校</v>
      </c>
      <c r="D89" s="52">
        <v>1705652305</v>
      </c>
      <c r="E89" s="29">
        <v>0</v>
      </c>
      <c r="F89" s="52">
        <v>118378148</v>
      </c>
      <c r="G89" s="52">
        <v>0</v>
      </c>
      <c r="H89" s="52">
        <f>247274436+I89</f>
        <v>247274436</v>
      </c>
      <c r="I89" s="52">
        <v>0</v>
      </c>
      <c r="J89" s="52">
        <v>860829757</v>
      </c>
      <c r="K89" s="52">
        <v>0</v>
      </c>
      <c r="L89" s="52">
        <v>0</v>
      </c>
      <c r="M89" s="52">
        <v>2932134646</v>
      </c>
    </row>
    <row r="90" spans="1:13">
      <c r="A90" s="26">
        <f>'法人一覧(26)'!A89</f>
        <v>86</v>
      </c>
      <c r="B90" s="38" t="str">
        <f>'法人一覧(26)'!B89</f>
        <v>国土交通省</v>
      </c>
      <c r="C90" s="38" t="str">
        <f>'法人一覧(26)'!C89</f>
        <v>自動車検査</v>
      </c>
      <c r="D90" s="52">
        <f>SUM(2974654863,44526805,152059203)</f>
        <v>3171240871</v>
      </c>
      <c r="E90" s="29">
        <v>0</v>
      </c>
      <c r="F90" s="52">
        <v>2386295689</v>
      </c>
      <c r="G90" s="52">
        <v>29958321</v>
      </c>
      <c r="H90" s="52">
        <f>SUM(751892786)</f>
        <v>751892786</v>
      </c>
      <c r="I90" s="52">
        <v>0</v>
      </c>
      <c r="J90" s="52">
        <v>6039346650</v>
      </c>
      <c r="K90" s="52">
        <v>0</v>
      </c>
      <c r="L90" s="52">
        <v>0</v>
      </c>
      <c r="M90" s="52">
        <v>12378734317</v>
      </c>
    </row>
    <row r="91" spans="1:13">
      <c r="A91" s="26">
        <f>'法人一覧(26)'!A90</f>
        <v>87</v>
      </c>
      <c r="B91" s="38" t="str">
        <f>'法人一覧(26)'!B90</f>
        <v>国土交通省</v>
      </c>
      <c r="C91" s="38" t="str">
        <f>'法人一覧(26)'!C90</f>
        <v>鉄道建設・運輸施設整備支援機構</v>
      </c>
      <c r="D91" s="52">
        <v>485986474921</v>
      </c>
      <c r="E91" s="29">
        <v>0</v>
      </c>
      <c r="F91" s="69" t="s">
        <v>465</v>
      </c>
      <c r="G91" s="52">
        <v>9595722714</v>
      </c>
      <c r="H91" s="52">
        <v>5407054645</v>
      </c>
      <c r="I91" s="52">
        <v>0</v>
      </c>
      <c r="J91" s="52">
        <v>15686027546</v>
      </c>
      <c r="K91" s="52">
        <v>889077253091</v>
      </c>
      <c r="L91" s="69" t="s">
        <v>465</v>
      </c>
      <c r="M91" s="52">
        <v>1405752532917</v>
      </c>
    </row>
    <row r="92" spans="1:13">
      <c r="A92" s="26">
        <f>'法人一覧(26)'!A91</f>
        <v>88</v>
      </c>
      <c r="B92" s="38" t="str">
        <f>'法人一覧(26)'!B91</f>
        <v>国土交通省</v>
      </c>
      <c r="C92" s="38" t="str">
        <f>'法人一覧(26)'!C91</f>
        <v>国際観光振興機構</v>
      </c>
      <c r="D92" s="52">
        <f>SUM(717347963,69016674)</f>
        <v>786364637</v>
      </c>
      <c r="E92" s="52">
        <v>9355910</v>
      </c>
      <c r="F92" s="52">
        <v>0</v>
      </c>
      <c r="G92" s="52">
        <v>246694754</v>
      </c>
      <c r="H92" s="52">
        <v>258303896</v>
      </c>
      <c r="I92" s="52">
        <v>0</v>
      </c>
      <c r="J92" s="52">
        <v>1210173911</v>
      </c>
      <c r="K92" s="52">
        <v>0</v>
      </c>
      <c r="L92" s="52">
        <v>0</v>
      </c>
      <c r="M92" s="52">
        <f>SUM(2432520524,69016674)</f>
        <v>2501537198</v>
      </c>
    </row>
    <row r="93" spans="1:13">
      <c r="A93" s="26">
        <f>'法人一覧(26)'!A92</f>
        <v>89</v>
      </c>
      <c r="B93" s="38" t="str">
        <f>'法人一覧(26)'!B92</f>
        <v>国土交通省</v>
      </c>
      <c r="C93" s="38" t="str">
        <f>'法人一覧(26)'!C92</f>
        <v>水資源機構</v>
      </c>
      <c r="D93" s="52">
        <v>71025086374</v>
      </c>
      <c r="E93" s="52">
        <v>0</v>
      </c>
      <c r="F93" s="52">
        <v>211950242</v>
      </c>
      <c r="G93" s="52">
        <v>344677994</v>
      </c>
      <c r="H93" s="52">
        <f>1381083023+14353218072</f>
        <v>15734301095</v>
      </c>
      <c r="I93" s="52">
        <v>14353218072</v>
      </c>
      <c r="J93" s="52">
        <v>0</v>
      </c>
      <c r="K93" s="52">
        <f>72794132452+10961954925+5870552836</f>
        <v>89626640213</v>
      </c>
      <c r="L93" s="52">
        <v>0</v>
      </c>
      <c r="M93" s="52">
        <v>176942655918</v>
      </c>
    </row>
    <row r="94" spans="1:13">
      <c r="A94" s="26">
        <f>'法人一覧(26)'!A93</f>
        <v>90</v>
      </c>
      <c r="B94" s="38" t="str">
        <f>'法人一覧(26)'!B93</f>
        <v>国土交通省</v>
      </c>
      <c r="C94" s="38" t="str">
        <f>'法人一覧(26)'!C93</f>
        <v>自動車事故対策機構</v>
      </c>
      <c r="D94" s="52">
        <v>7819984282</v>
      </c>
      <c r="E94" s="52">
        <v>0</v>
      </c>
      <c r="F94" s="52">
        <v>316461600</v>
      </c>
      <c r="G94" s="52">
        <v>0</v>
      </c>
      <c r="H94" s="52">
        <v>974471774</v>
      </c>
      <c r="I94" s="52">
        <v>0</v>
      </c>
      <c r="J94" s="52">
        <v>3150944704</v>
      </c>
      <c r="K94" s="52">
        <f>62735000+1280000000</f>
        <v>1342735000</v>
      </c>
      <c r="L94" s="52">
        <v>0</v>
      </c>
      <c r="M94" s="52">
        <v>13604597360</v>
      </c>
    </row>
    <row r="95" spans="1:13">
      <c r="A95" s="26">
        <f>'法人一覧(26)'!A94</f>
        <v>91</v>
      </c>
      <c r="B95" s="38" t="str">
        <f>'法人一覧(26)'!B94</f>
        <v>国土交通省</v>
      </c>
      <c r="C95" s="38" t="str">
        <f>'法人一覧(26)'!C94</f>
        <v>空港周辺整備機構</v>
      </c>
      <c r="D95" s="29">
        <v>457639016</v>
      </c>
      <c r="E95" s="52">
        <v>0</v>
      </c>
      <c r="F95" s="82" t="s">
        <v>465</v>
      </c>
      <c r="G95" s="29">
        <v>568429891</v>
      </c>
      <c r="H95" s="52">
        <f>64225885</f>
        <v>64225885</v>
      </c>
      <c r="I95" s="52">
        <v>0</v>
      </c>
      <c r="J95" s="52">
        <v>258175395</v>
      </c>
      <c r="K95" s="29">
        <v>55957715</v>
      </c>
      <c r="L95" s="82" t="s">
        <v>465</v>
      </c>
      <c r="M95" s="29">
        <v>1404427902</v>
      </c>
    </row>
    <row r="96" spans="1:13">
      <c r="A96" s="26">
        <f>'法人一覧(26)'!A95</f>
        <v>92</v>
      </c>
      <c r="B96" s="38" t="str">
        <f>'法人一覧(26)'!B95</f>
        <v>国土交通省</v>
      </c>
      <c r="C96" s="38" t="str">
        <f>'法人一覧(26)'!C95</f>
        <v>都市再生機構</v>
      </c>
      <c r="D96" s="29">
        <v>546024969079</v>
      </c>
      <c r="E96" s="52">
        <v>0</v>
      </c>
      <c r="F96" s="29">
        <v>0</v>
      </c>
      <c r="G96" s="29">
        <v>90191424003</v>
      </c>
      <c r="H96" s="29">
        <v>43322084922</v>
      </c>
      <c r="I96" s="29">
        <v>35032116540</v>
      </c>
      <c r="J96" s="29">
        <v>0</v>
      </c>
      <c r="K96" s="29">
        <v>1265771280289</v>
      </c>
      <c r="L96" s="29">
        <v>0</v>
      </c>
      <c r="M96" s="29">
        <v>1945309758293</v>
      </c>
    </row>
    <row r="97" spans="1:13">
      <c r="A97" s="26">
        <f>'法人一覧(26)'!A96</f>
        <v>93</v>
      </c>
      <c r="B97" s="38" t="str">
        <f>'法人一覧(26)'!B96</f>
        <v>国土交通省</v>
      </c>
      <c r="C97" s="38" t="str">
        <f>'法人一覧(26)'!C96</f>
        <v>奄美群島振興開発基金</v>
      </c>
      <c r="D97" s="29">
        <v>403286</v>
      </c>
      <c r="E97" s="52">
        <v>0</v>
      </c>
      <c r="F97" s="29">
        <v>0</v>
      </c>
      <c r="G97" s="29">
        <v>0</v>
      </c>
      <c r="H97" s="29">
        <v>212140650</v>
      </c>
      <c r="I97" s="29">
        <v>164501900</v>
      </c>
      <c r="J97" s="29">
        <v>0</v>
      </c>
      <c r="K97" s="29">
        <f>88767907+1122445000+58375811+6813070</f>
        <v>1276401788</v>
      </c>
      <c r="L97" s="29">
        <v>0</v>
      </c>
      <c r="M97" s="29">
        <v>1488945724</v>
      </c>
    </row>
    <row r="98" spans="1:13">
      <c r="A98" s="26">
        <f>'法人一覧(26)'!A97</f>
        <v>94</v>
      </c>
      <c r="B98" s="38" t="str">
        <f>'法人一覧(26)'!B97</f>
        <v>国土交通省</v>
      </c>
      <c r="C98" s="38" t="str">
        <f>'法人一覧(26)'!C97</f>
        <v>日本高速道路保有・債務返済機構</v>
      </c>
      <c r="D98" s="29">
        <f>5513091946+39158143394+1135524851+4131496835</f>
        <v>49938257026</v>
      </c>
      <c r="E98" s="52">
        <v>0</v>
      </c>
      <c r="F98" s="29">
        <v>0</v>
      </c>
      <c r="G98" s="29">
        <v>0</v>
      </c>
      <c r="H98" s="29">
        <v>1433778543</v>
      </c>
      <c r="I98" s="29">
        <v>939940819</v>
      </c>
      <c r="J98" s="29">
        <v>0</v>
      </c>
      <c r="K98" s="29">
        <f>4487669106232+93238077850</f>
        <v>4580907184082</v>
      </c>
      <c r="L98" s="29">
        <v>0</v>
      </c>
      <c r="M98" s="29">
        <v>4632279219651</v>
      </c>
    </row>
    <row r="99" spans="1:13">
      <c r="A99" s="26">
        <f>'法人一覧(26)'!A98</f>
        <v>95</v>
      </c>
      <c r="B99" s="38" t="str">
        <f>'法人一覧(26)'!B98</f>
        <v>国土交通省</v>
      </c>
      <c r="C99" s="38" t="str">
        <f>'法人一覧(26)'!C98</f>
        <v>住宅金融支援機構</v>
      </c>
      <c r="D99" s="29">
        <v>139984208535</v>
      </c>
      <c r="E99" s="52">
        <v>0</v>
      </c>
      <c r="F99" s="29">
        <v>0</v>
      </c>
      <c r="G99" s="29">
        <v>0</v>
      </c>
      <c r="H99" s="52">
        <f>2985617134</f>
        <v>2985617134</v>
      </c>
      <c r="I99" s="52">
        <v>0</v>
      </c>
      <c r="J99" s="52">
        <v>13539124190</v>
      </c>
      <c r="K99" s="29">
        <f>1612290690000+148897410000+3619998144400+604971119171+195829675780</f>
        <v>6181987039351</v>
      </c>
      <c r="L99" s="29">
        <v>0</v>
      </c>
      <c r="M99" s="29">
        <v>6338495989210</v>
      </c>
    </row>
    <row r="100" spans="1:13">
      <c r="A100" s="26">
        <f>'法人一覧(26)'!A99</f>
        <v>96</v>
      </c>
      <c r="B100" s="38" t="str">
        <f>'法人一覧(26)'!B99</f>
        <v>環境省</v>
      </c>
      <c r="C100" s="38" t="str">
        <f>'法人一覧(26)'!C99</f>
        <v>国立環境研究所</v>
      </c>
      <c r="D100" s="29">
        <v>9199856870</v>
      </c>
      <c r="E100" s="52">
        <v>0</v>
      </c>
      <c r="F100" s="29">
        <v>1197595618</v>
      </c>
      <c r="G100" s="29">
        <v>3598950610</v>
      </c>
      <c r="H100" s="52">
        <f>487650316+I100</f>
        <v>3342995665</v>
      </c>
      <c r="I100" s="52">
        <v>2855345349</v>
      </c>
      <c r="J100" s="52">
        <v>0</v>
      </c>
      <c r="K100" s="29">
        <v>4869000</v>
      </c>
      <c r="L100" s="29">
        <v>0</v>
      </c>
      <c r="M100" s="29">
        <v>17344267763</v>
      </c>
    </row>
    <row r="101" spans="1:13">
      <c r="A101" s="26">
        <f>'法人一覧(26)'!A100</f>
        <v>97</v>
      </c>
      <c r="B101" s="38" t="str">
        <f>'法人一覧(26)'!B100</f>
        <v>環境省</v>
      </c>
      <c r="C101" s="38" t="str">
        <f>'法人一覧(26)'!C100</f>
        <v>環境再生保全機構</v>
      </c>
      <c r="D101" s="52">
        <f>43391719650+3300213595+3246640580+213077480</f>
        <v>50151651305</v>
      </c>
      <c r="E101" s="52">
        <v>766000000</v>
      </c>
      <c r="F101" s="29">
        <v>0</v>
      </c>
      <c r="G101" s="29">
        <v>4842868</v>
      </c>
      <c r="H101" s="29">
        <v>724384685</v>
      </c>
      <c r="I101" s="29">
        <v>348812675</v>
      </c>
      <c r="J101" s="29">
        <v>0</v>
      </c>
      <c r="K101" s="29">
        <f>8699994000+144282238</f>
        <v>8844276238</v>
      </c>
      <c r="L101" s="29">
        <v>0</v>
      </c>
      <c r="M101" s="29">
        <v>59725155096</v>
      </c>
    </row>
    <row r="102" spans="1:13" ht="13.8" thickBot="1">
      <c r="A102" s="116">
        <f>'法人一覧(26)'!A101</f>
        <v>98</v>
      </c>
      <c r="B102" s="117" t="str">
        <f>'法人一覧(26)'!B101</f>
        <v>防衛省</v>
      </c>
      <c r="C102" s="117" t="str">
        <f>'法人一覧(26)'!C101</f>
        <v>駐留軍等労働者労務管理機構</v>
      </c>
      <c r="D102" s="122">
        <v>3192912950</v>
      </c>
      <c r="E102" s="122">
        <v>2006148295</v>
      </c>
      <c r="F102" s="118">
        <v>0</v>
      </c>
      <c r="G102" s="118">
        <v>0</v>
      </c>
      <c r="H102" s="118">
        <v>0</v>
      </c>
      <c r="I102" s="118">
        <v>0</v>
      </c>
      <c r="J102" s="118">
        <v>0</v>
      </c>
      <c r="K102" s="118">
        <v>0</v>
      </c>
      <c r="L102" s="118">
        <v>0</v>
      </c>
      <c r="M102" s="122">
        <v>3192912950</v>
      </c>
    </row>
    <row r="103" spans="1:13" s="37" customFormat="1" ht="21.6" customHeight="1" thickTop="1">
      <c r="A103" s="194" t="s">
        <v>584</v>
      </c>
      <c r="B103" s="187"/>
      <c r="C103" s="170"/>
      <c r="D103" s="115">
        <f t="shared" ref="D103:L103" si="0">SUM(D5:D102)</f>
        <v>18178810911274</v>
      </c>
      <c r="E103" s="115">
        <f t="shared" si="0"/>
        <v>141178030957</v>
      </c>
      <c r="F103" s="115">
        <f t="shared" si="0"/>
        <v>254946589945</v>
      </c>
      <c r="G103" s="115">
        <f t="shared" si="0"/>
        <v>334873469417</v>
      </c>
      <c r="H103" s="115">
        <f t="shared" si="0"/>
        <v>230600490636</v>
      </c>
      <c r="I103" s="115">
        <f t="shared" si="0"/>
        <v>112598140362</v>
      </c>
      <c r="J103" s="115">
        <f t="shared" si="0"/>
        <v>167762335306</v>
      </c>
      <c r="K103" s="115">
        <f t="shared" si="0"/>
        <v>65948786831001</v>
      </c>
      <c r="L103" s="115">
        <f t="shared" si="0"/>
        <v>200767615253</v>
      </c>
      <c r="M103" s="115">
        <f>SUM(M5:M102)</f>
        <v>85316549241833</v>
      </c>
    </row>
    <row r="105" spans="1:13">
      <c r="B105" s="45" t="s">
        <v>590</v>
      </c>
    </row>
    <row r="106" spans="1:13">
      <c r="B106" s="45" t="s">
        <v>666</v>
      </c>
    </row>
  </sheetData>
  <mergeCells count="13">
    <mergeCell ref="M2:M4"/>
    <mergeCell ref="J3:J4"/>
    <mergeCell ref="A103:C103"/>
    <mergeCell ref="A2:A4"/>
    <mergeCell ref="D2:L2"/>
    <mergeCell ref="D3:D4"/>
    <mergeCell ref="F3:F4"/>
    <mergeCell ref="G3:G4"/>
    <mergeCell ref="H3:H4"/>
    <mergeCell ref="K3:K4"/>
    <mergeCell ref="L3:L4"/>
    <mergeCell ref="B2:B4"/>
    <mergeCell ref="C2:C4"/>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7"/>
  <sheetViews>
    <sheetView workbookViewId="0">
      <pane xSplit="3" ySplit="3" topLeftCell="D90" activePane="bottomRight" state="frozen"/>
      <selection activeCell="D25" sqref="D25"/>
      <selection pane="topRight" activeCell="D25" sqref="D25"/>
      <selection pane="bottomLeft" activeCell="D25" sqref="D25"/>
      <selection pane="bottomRight"/>
    </sheetView>
  </sheetViews>
  <sheetFormatPr defaultColWidth="8.88671875" defaultRowHeight="13.2"/>
  <cols>
    <col min="1" max="1" width="4.21875" style="37" customWidth="1"/>
    <col min="2" max="2" width="18.33203125" style="37" customWidth="1"/>
    <col min="3" max="3" width="40.21875" style="37" bestFit="1" customWidth="1"/>
    <col min="4" max="4" width="16.5546875" style="37" customWidth="1"/>
    <col min="5" max="5" width="12.5546875" style="37" customWidth="1"/>
    <col min="6" max="6" width="8.6640625" style="37" customWidth="1"/>
    <col min="7" max="7" width="12.6640625" style="37" customWidth="1"/>
    <col min="8" max="16384" width="8.88671875" style="37"/>
  </cols>
  <sheetData>
    <row r="1" spans="1:7" ht="19.95" customHeight="1">
      <c r="B1" s="144" t="s">
        <v>656</v>
      </c>
      <c r="G1" s="146"/>
    </row>
    <row r="2" spans="1:7">
      <c r="A2" s="161" t="s">
        <v>650</v>
      </c>
      <c r="B2" s="161" t="s">
        <v>0</v>
      </c>
      <c r="C2" s="161" t="s">
        <v>1</v>
      </c>
      <c r="D2" s="164" t="s">
        <v>602</v>
      </c>
      <c r="E2" s="165"/>
      <c r="F2" s="166"/>
      <c r="G2" s="198" t="s">
        <v>601</v>
      </c>
    </row>
    <row r="3" spans="1:7">
      <c r="A3" s="162"/>
      <c r="B3" s="162"/>
      <c r="C3" s="162"/>
      <c r="D3" s="142" t="s">
        <v>651</v>
      </c>
      <c r="E3" s="142" t="s">
        <v>599</v>
      </c>
      <c r="F3" s="142" t="s">
        <v>600</v>
      </c>
      <c r="G3" s="199"/>
    </row>
    <row r="4" spans="1:7">
      <c r="A4" s="155">
        <f>'法人一覧(25)'!A4</f>
        <v>1</v>
      </c>
      <c r="B4" s="38" t="str">
        <f>'法人一覧(25)'!B4</f>
        <v>内閣府</v>
      </c>
      <c r="C4" s="38" t="str">
        <f>'法人一覧(25)'!C4</f>
        <v>国立公文書館</v>
      </c>
      <c r="D4" s="142">
        <v>2</v>
      </c>
      <c r="E4" s="142">
        <v>2</v>
      </c>
      <c r="F4" s="60">
        <f t="shared" ref="F4:F30" si="0">SUM(D4:E4)</f>
        <v>4</v>
      </c>
      <c r="G4" s="147">
        <v>46</v>
      </c>
    </row>
    <row r="5" spans="1:7">
      <c r="A5" s="155">
        <f>'法人一覧(25)'!A5</f>
        <v>2</v>
      </c>
      <c r="B5" s="38" t="str">
        <f>'法人一覧(25)'!B5</f>
        <v>内閣府</v>
      </c>
      <c r="C5" s="38" t="str">
        <f>'法人一覧(25)'!C5</f>
        <v>北方領土問題対策協会</v>
      </c>
      <c r="D5" s="142">
        <v>7</v>
      </c>
      <c r="E5" s="142">
        <v>2</v>
      </c>
      <c r="F5" s="60">
        <f t="shared" si="0"/>
        <v>9</v>
      </c>
      <c r="G5" s="147">
        <v>17</v>
      </c>
    </row>
    <row r="6" spans="1:7">
      <c r="A6" s="155">
        <f>'法人一覧(25)'!A6</f>
        <v>3</v>
      </c>
      <c r="B6" s="38" t="str">
        <f>'法人一覧(25)'!B6</f>
        <v>消費者庁</v>
      </c>
      <c r="C6" s="38" t="str">
        <f>'法人一覧(25)'!C6</f>
        <v>国民生活センター</v>
      </c>
      <c r="D6" s="142">
        <v>4</v>
      </c>
      <c r="E6" s="142">
        <v>2</v>
      </c>
      <c r="F6" s="60">
        <f t="shared" si="0"/>
        <v>6</v>
      </c>
      <c r="G6" s="147">
        <v>122</v>
      </c>
    </row>
    <row r="7" spans="1:7">
      <c r="A7" s="155">
        <f>'法人一覧(25)'!A7</f>
        <v>4</v>
      </c>
      <c r="B7" s="38" t="str">
        <f>'法人一覧(25)'!B7</f>
        <v>総務省</v>
      </c>
      <c r="C7" s="38" t="str">
        <f>'法人一覧(25)'!C7</f>
        <v>情報通信研究機構</v>
      </c>
      <c r="D7" s="80">
        <v>6</v>
      </c>
      <c r="E7" s="80">
        <v>2</v>
      </c>
      <c r="F7" s="60">
        <f t="shared" si="0"/>
        <v>8</v>
      </c>
      <c r="G7" s="147">
        <v>413</v>
      </c>
    </row>
    <row r="8" spans="1:7">
      <c r="A8" s="155">
        <f>'法人一覧(25)'!A8</f>
        <v>5</v>
      </c>
      <c r="B8" s="38" t="str">
        <f>'法人一覧(25)'!B8</f>
        <v>総務省</v>
      </c>
      <c r="C8" s="38" t="str">
        <f>'法人一覧(25)'!C8</f>
        <v>統計センター</v>
      </c>
      <c r="D8" s="80">
        <v>4</v>
      </c>
      <c r="E8" s="81">
        <v>2</v>
      </c>
      <c r="F8" s="60">
        <f t="shared" si="0"/>
        <v>6</v>
      </c>
      <c r="G8" s="147">
        <v>747</v>
      </c>
    </row>
    <row r="9" spans="1:7">
      <c r="A9" s="155">
        <f>'法人一覧(25)'!A9</f>
        <v>6</v>
      </c>
      <c r="B9" s="38" t="str">
        <f>'法人一覧(25)'!B9</f>
        <v>総務省</v>
      </c>
      <c r="C9" s="38" t="str">
        <f>'法人一覧(25)'!C9</f>
        <v>郵便貯金・簡易生命保険管理機構</v>
      </c>
      <c r="D9" s="80">
        <v>2</v>
      </c>
      <c r="E9" s="80">
        <v>2</v>
      </c>
      <c r="F9" s="60">
        <f t="shared" si="0"/>
        <v>4</v>
      </c>
      <c r="G9" s="147">
        <v>40</v>
      </c>
    </row>
    <row r="10" spans="1:7">
      <c r="A10" s="155">
        <f>'法人一覧(25)'!A10</f>
        <v>7</v>
      </c>
      <c r="B10" s="38" t="str">
        <f>'法人一覧(25)'!B10</f>
        <v>外務省</v>
      </c>
      <c r="C10" s="38" t="str">
        <f>'法人一覧(25)'!C10</f>
        <v>国際協力機構</v>
      </c>
      <c r="D10" s="142">
        <v>8</v>
      </c>
      <c r="E10" s="142">
        <v>3</v>
      </c>
      <c r="F10" s="60">
        <f t="shared" si="0"/>
        <v>11</v>
      </c>
      <c r="G10" s="147">
        <v>1842</v>
      </c>
    </row>
    <row r="11" spans="1:7">
      <c r="A11" s="155">
        <f>'法人一覧(25)'!A11</f>
        <v>8</v>
      </c>
      <c r="B11" s="38" t="str">
        <f>'法人一覧(25)'!B11</f>
        <v>外務省</v>
      </c>
      <c r="C11" s="38" t="str">
        <f>'法人一覧(25)'!C11</f>
        <v>国際交流基金</v>
      </c>
      <c r="D11" s="142">
        <v>4</v>
      </c>
      <c r="E11" s="142">
        <v>2</v>
      </c>
      <c r="F11" s="60">
        <f t="shared" si="0"/>
        <v>6</v>
      </c>
      <c r="G11" s="147">
        <v>227</v>
      </c>
    </row>
    <row r="12" spans="1:7">
      <c r="A12" s="155">
        <f>'法人一覧(25)'!A12</f>
        <v>9</v>
      </c>
      <c r="B12" s="38" t="str">
        <f>'法人一覧(25)'!B12</f>
        <v>財務省</v>
      </c>
      <c r="C12" s="38" t="str">
        <f>'法人一覧(25)'!C12</f>
        <v>酒類総合研究所</v>
      </c>
      <c r="D12" s="143">
        <v>2</v>
      </c>
      <c r="E12" s="143">
        <v>2</v>
      </c>
      <c r="F12" s="60">
        <f t="shared" si="0"/>
        <v>4</v>
      </c>
      <c r="G12" s="147">
        <v>43</v>
      </c>
    </row>
    <row r="13" spans="1:7">
      <c r="A13" s="155">
        <f>'法人一覧(25)'!A13</f>
        <v>10</v>
      </c>
      <c r="B13" s="38" t="str">
        <f>'法人一覧(25)'!B13</f>
        <v>財務省</v>
      </c>
      <c r="C13" s="38" t="str">
        <f>'法人一覧(25)'!C13</f>
        <v>造幣局</v>
      </c>
      <c r="D13" s="143">
        <v>4</v>
      </c>
      <c r="E13" s="143">
        <v>2</v>
      </c>
      <c r="F13" s="60">
        <f t="shared" ref="F13:F14" si="1">SUM(D13:E13)</f>
        <v>6</v>
      </c>
      <c r="G13" s="147">
        <v>907</v>
      </c>
    </row>
    <row r="14" spans="1:7">
      <c r="A14" s="155">
        <f>'法人一覧(25)'!A14</f>
        <v>11</v>
      </c>
      <c r="B14" s="38" t="str">
        <f>'法人一覧(25)'!B14</f>
        <v>財務省</v>
      </c>
      <c r="C14" s="38" t="str">
        <f>'法人一覧(25)'!C14</f>
        <v>国立印刷局</v>
      </c>
      <c r="D14" s="142">
        <v>5</v>
      </c>
      <c r="E14" s="80">
        <v>2</v>
      </c>
      <c r="F14" s="60">
        <f t="shared" si="1"/>
        <v>7</v>
      </c>
      <c r="G14" s="147">
        <v>4283</v>
      </c>
    </row>
    <row r="15" spans="1:7">
      <c r="A15" s="155">
        <f>'法人一覧(25)'!A15</f>
        <v>12</v>
      </c>
      <c r="B15" s="38" t="str">
        <f>'法人一覧(25)'!B15</f>
        <v>財務省</v>
      </c>
      <c r="C15" s="38" t="str">
        <f>'法人一覧(25)'!C15</f>
        <v>日本万国博覧会記念機構</v>
      </c>
      <c r="D15" s="80">
        <v>3</v>
      </c>
      <c r="E15" s="80">
        <v>2</v>
      </c>
      <c r="F15" s="60">
        <f t="shared" si="0"/>
        <v>5</v>
      </c>
      <c r="G15" s="147">
        <v>47</v>
      </c>
    </row>
    <row r="16" spans="1:7">
      <c r="A16" s="155">
        <f>'法人一覧(25)'!A16</f>
        <v>13</v>
      </c>
      <c r="B16" s="38" t="str">
        <f>'法人一覧(25)'!B16</f>
        <v>文部科学省</v>
      </c>
      <c r="C16" s="38" t="str">
        <f>'法人一覧(25)'!C16</f>
        <v>国立特別支援教育総合研究所</v>
      </c>
      <c r="D16" s="60">
        <v>2</v>
      </c>
      <c r="E16" s="60">
        <v>2</v>
      </c>
      <c r="F16" s="60">
        <f t="shared" si="0"/>
        <v>4</v>
      </c>
      <c r="G16" s="147">
        <v>62</v>
      </c>
    </row>
    <row r="17" spans="1:7">
      <c r="A17" s="155">
        <f>'法人一覧(25)'!A17</f>
        <v>14</v>
      </c>
      <c r="B17" s="38" t="str">
        <f>'法人一覧(25)'!B17</f>
        <v>文部科学省</v>
      </c>
      <c r="C17" s="38" t="str">
        <f>'法人一覧(25)'!C17</f>
        <v>大学入試センター</v>
      </c>
      <c r="D17" s="60">
        <v>2</v>
      </c>
      <c r="E17" s="60">
        <v>2</v>
      </c>
      <c r="F17" s="60">
        <f t="shared" si="0"/>
        <v>4</v>
      </c>
      <c r="G17" s="147">
        <v>92</v>
      </c>
    </row>
    <row r="18" spans="1:7">
      <c r="A18" s="155">
        <f>'法人一覧(25)'!A18</f>
        <v>15</v>
      </c>
      <c r="B18" s="38" t="str">
        <f>'法人一覧(25)'!B18</f>
        <v>文部科学省</v>
      </c>
      <c r="C18" s="38" t="str">
        <f>'法人一覧(25)'!C18</f>
        <v>国立青少年教育振興機構</v>
      </c>
      <c r="D18" s="88">
        <v>6</v>
      </c>
      <c r="E18" s="88">
        <v>2</v>
      </c>
      <c r="F18" s="60">
        <f t="shared" si="0"/>
        <v>8</v>
      </c>
      <c r="G18" s="147">
        <v>500</v>
      </c>
    </row>
    <row r="19" spans="1:7">
      <c r="A19" s="155">
        <f>'法人一覧(25)'!A19</f>
        <v>16</v>
      </c>
      <c r="B19" s="38" t="str">
        <f>'法人一覧(25)'!B19</f>
        <v>文部科学省</v>
      </c>
      <c r="C19" s="38" t="str">
        <f>'法人一覧(25)'!C19</f>
        <v>国立女性教育会館</v>
      </c>
      <c r="D19" s="88">
        <v>2</v>
      </c>
      <c r="E19" s="88">
        <v>2</v>
      </c>
      <c r="F19" s="60">
        <f t="shared" si="0"/>
        <v>4</v>
      </c>
      <c r="G19" s="147">
        <v>24</v>
      </c>
    </row>
    <row r="20" spans="1:7">
      <c r="A20" s="155">
        <f>'法人一覧(25)'!A20</f>
        <v>17</v>
      </c>
      <c r="B20" s="38" t="str">
        <f>'法人一覧(25)'!B20</f>
        <v>文部科学省</v>
      </c>
      <c r="C20" s="38" t="str">
        <f>'法人一覧(25)'!C20</f>
        <v>国立科学博物館</v>
      </c>
      <c r="D20" s="88">
        <v>2</v>
      </c>
      <c r="E20" s="88">
        <v>2</v>
      </c>
      <c r="F20" s="60">
        <f t="shared" si="0"/>
        <v>4</v>
      </c>
      <c r="G20" s="147">
        <v>126</v>
      </c>
    </row>
    <row r="21" spans="1:7">
      <c r="A21" s="155">
        <f>'法人一覧(25)'!A21</f>
        <v>18</v>
      </c>
      <c r="B21" s="38" t="str">
        <f>'法人一覧(25)'!B21</f>
        <v>文部科学省</v>
      </c>
      <c r="C21" s="38" t="str">
        <f>'法人一覧(25)'!C21</f>
        <v>物質・材料研究機構</v>
      </c>
      <c r="D21" s="60">
        <v>4</v>
      </c>
      <c r="E21" s="60">
        <v>2</v>
      </c>
      <c r="F21" s="60">
        <f t="shared" si="0"/>
        <v>6</v>
      </c>
      <c r="G21" s="147">
        <v>546</v>
      </c>
    </row>
    <row r="22" spans="1:7">
      <c r="A22" s="155">
        <f>'法人一覧(25)'!A22</f>
        <v>19</v>
      </c>
      <c r="B22" s="38" t="str">
        <f>'法人一覧(25)'!B22</f>
        <v>文部科学省</v>
      </c>
      <c r="C22" s="38" t="str">
        <f>'法人一覧(25)'!C22</f>
        <v>防災科学技術研究所</v>
      </c>
      <c r="D22" s="60">
        <v>2</v>
      </c>
      <c r="E22" s="60">
        <v>2</v>
      </c>
      <c r="F22" s="60">
        <f t="shared" si="0"/>
        <v>4</v>
      </c>
      <c r="G22" s="147">
        <v>192</v>
      </c>
    </row>
    <row r="23" spans="1:7">
      <c r="A23" s="155">
        <f>'法人一覧(25)'!A23</f>
        <v>20</v>
      </c>
      <c r="B23" s="38" t="str">
        <f>'法人一覧(25)'!B23</f>
        <v>文部科学省</v>
      </c>
      <c r="C23" s="38" t="str">
        <f>'法人一覧(25)'!C23</f>
        <v>放射線医学総合研究所</v>
      </c>
      <c r="D23" s="60">
        <v>3</v>
      </c>
      <c r="E23" s="60">
        <v>2</v>
      </c>
      <c r="F23" s="60">
        <f t="shared" si="0"/>
        <v>5</v>
      </c>
      <c r="G23" s="147">
        <v>450</v>
      </c>
    </row>
    <row r="24" spans="1:7">
      <c r="A24" s="155">
        <f>'法人一覧(25)'!A24</f>
        <v>21</v>
      </c>
      <c r="B24" s="38" t="str">
        <f>'法人一覧(25)'!B24</f>
        <v>文部科学省</v>
      </c>
      <c r="C24" s="38" t="str">
        <f>'法人一覧(25)'!C24</f>
        <v>国立美術館</v>
      </c>
      <c r="D24" s="100">
        <v>4</v>
      </c>
      <c r="E24" s="100">
        <v>2</v>
      </c>
      <c r="F24" s="60">
        <f t="shared" si="0"/>
        <v>6</v>
      </c>
      <c r="G24" s="147">
        <v>103</v>
      </c>
    </row>
    <row r="25" spans="1:7">
      <c r="A25" s="155">
        <f>'法人一覧(25)'!A25</f>
        <v>22</v>
      </c>
      <c r="B25" s="38" t="str">
        <f>'法人一覧(25)'!B25</f>
        <v>文部科学省</v>
      </c>
      <c r="C25" s="38" t="str">
        <f>'法人一覧(25)'!C25</f>
        <v>国立文化財機構</v>
      </c>
      <c r="D25" s="100">
        <v>3</v>
      </c>
      <c r="E25" s="100">
        <v>2</v>
      </c>
      <c r="F25" s="60">
        <f t="shared" si="0"/>
        <v>5</v>
      </c>
      <c r="G25" s="147">
        <v>339</v>
      </c>
    </row>
    <row r="26" spans="1:7">
      <c r="A26" s="155">
        <f>'法人一覧(25)'!A26</f>
        <v>23</v>
      </c>
      <c r="B26" s="38" t="str">
        <f>'法人一覧(25)'!B26</f>
        <v>文部科学省</v>
      </c>
      <c r="C26" s="38" t="str">
        <f>'法人一覧(25)'!C26</f>
        <v>教員研修センター</v>
      </c>
      <c r="D26" s="60">
        <v>2</v>
      </c>
      <c r="E26" s="60">
        <v>2</v>
      </c>
      <c r="F26" s="60">
        <f t="shared" si="0"/>
        <v>4</v>
      </c>
      <c r="G26" s="147">
        <v>40</v>
      </c>
    </row>
    <row r="27" spans="1:7">
      <c r="A27" s="155">
        <f>'法人一覧(25)'!A27</f>
        <v>24</v>
      </c>
      <c r="B27" s="38" t="str">
        <f>'法人一覧(25)'!B27</f>
        <v>文部科学省</v>
      </c>
      <c r="C27" s="38" t="str">
        <f>'法人一覧(25)'!C27</f>
        <v>科学技術振興機構</v>
      </c>
      <c r="D27" s="88">
        <v>5</v>
      </c>
      <c r="E27" s="88">
        <v>2</v>
      </c>
      <c r="F27" s="60">
        <f t="shared" si="0"/>
        <v>7</v>
      </c>
      <c r="G27" s="147">
        <v>1340</v>
      </c>
    </row>
    <row r="28" spans="1:7">
      <c r="A28" s="155">
        <f>'法人一覧(25)'!A28</f>
        <v>25</v>
      </c>
      <c r="B28" s="38" t="str">
        <f>'法人一覧(25)'!B28</f>
        <v>文部科学省</v>
      </c>
      <c r="C28" s="38" t="str">
        <f>'法人一覧(25)'!C28</f>
        <v>日本学術振興会</v>
      </c>
      <c r="D28" s="60">
        <v>3</v>
      </c>
      <c r="E28" s="60">
        <v>2</v>
      </c>
      <c r="F28" s="60">
        <f t="shared" si="0"/>
        <v>5</v>
      </c>
      <c r="G28" s="147">
        <v>145</v>
      </c>
    </row>
    <row r="29" spans="1:7">
      <c r="A29" s="155">
        <f>'法人一覧(25)'!A29</f>
        <v>26</v>
      </c>
      <c r="B29" s="38" t="str">
        <f>'法人一覧(25)'!B29</f>
        <v>文部科学省</v>
      </c>
      <c r="C29" s="38" t="str">
        <f>'法人一覧(25)'!C29</f>
        <v>理化学研究所</v>
      </c>
      <c r="D29" s="60">
        <v>6</v>
      </c>
      <c r="E29" s="60">
        <v>2</v>
      </c>
      <c r="F29" s="60">
        <f t="shared" si="0"/>
        <v>8</v>
      </c>
      <c r="G29" s="147">
        <v>3450</v>
      </c>
    </row>
    <row r="30" spans="1:7">
      <c r="A30" s="155">
        <f>'法人一覧(25)'!A30</f>
        <v>27</v>
      </c>
      <c r="B30" s="38" t="str">
        <f>'法人一覧(25)'!B30</f>
        <v>文部科学省</v>
      </c>
      <c r="C30" s="38" t="str">
        <f>'法人一覧(25)'!C30</f>
        <v>宇宙航空研究開発機構</v>
      </c>
      <c r="D30" s="60">
        <v>9</v>
      </c>
      <c r="E30" s="60">
        <v>2</v>
      </c>
      <c r="F30" s="60">
        <f t="shared" si="0"/>
        <v>11</v>
      </c>
      <c r="G30" s="147">
        <v>2151</v>
      </c>
    </row>
    <row r="31" spans="1:7">
      <c r="A31" s="155">
        <f>'法人一覧(25)'!A31</f>
        <v>28</v>
      </c>
      <c r="B31" s="38" t="str">
        <f>'法人一覧(25)'!B31</f>
        <v>文部科学省</v>
      </c>
      <c r="C31" s="38" t="str">
        <f>'法人一覧(25)'!C31</f>
        <v>日本スポーツ振興センター</v>
      </c>
      <c r="D31" s="60">
        <v>5</v>
      </c>
      <c r="E31" s="60">
        <v>2</v>
      </c>
      <c r="F31" s="60">
        <f>SUM(D31:E31)</f>
        <v>7</v>
      </c>
      <c r="G31" s="147">
        <v>343</v>
      </c>
    </row>
    <row r="32" spans="1:7">
      <c r="A32" s="155">
        <f>'法人一覧(25)'!A32</f>
        <v>29</v>
      </c>
      <c r="B32" s="38" t="str">
        <f>'法人一覧(25)'!B32</f>
        <v>文部科学省</v>
      </c>
      <c r="C32" s="38" t="str">
        <f>'法人一覧(25)'!C32</f>
        <v>日本芸術文化振興会</v>
      </c>
      <c r="D32" s="60">
        <v>4</v>
      </c>
      <c r="E32" s="60">
        <v>2</v>
      </c>
      <c r="F32" s="60">
        <f t="shared" ref="F32:F38" si="2">SUM(D32:E32)</f>
        <v>6</v>
      </c>
      <c r="G32" s="147">
        <v>299</v>
      </c>
    </row>
    <row r="33" spans="1:7">
      <c r="A33" s="155">
        <f>'法人一覧(25)'!A33</f>
        <v>30</v>
      </c>
      <c r="B33" s="38" t="str">
        <f>'法人一覧(25)'!B33</f>
        <v>文部科学省</v>
      </c>
      <c r="C33" s="38" t="str">
        <f>'法人一覧(25)'!C33</f>
        <v>日本学生支援機構</v>
      </c>
      <c r="D33" s="88">
        <v>5</v>
      </c>
      <c r="E33" s="88">
        <v>2</v>
      </c>
      <c r="F33" s="60">
        <f t="shared" si="2"/>
        <v>7</v>
      </c>
      <c r="G33" s="147">
        <v>478</v>
      </c>
    </row>
    <row r="34" spans="1:7">
      <c r="A34" s="155">
        <f>'法人一覧(25)'!A34</f>
        <v>31</v>
      </c>
      <c r="B34" s="38" t="str">
        <f>'法人一覧(25)'!B34</f>
        <v>文部科学省</v>
      </c>
      <c r="C34" s="38" t="str">
        <f>'法人一覧(25)'!C34</f>
        <v>海洋研究開発機構</v>
      </c>
      <c r="D34" s="60">
        <v>4</v>
      </c>
      <c r="E34" s="60">
        <v>2</v>
      </c>
      <c r="F34" s="60">
        <f t="shared" si="2"/>
        <v>6</v>
      </c>
      <c r="G34" s="147">
        <v>321</v>
      </c>
    </row>
    <row r="35" spans="1:7">
      <c r="A35" s="155">
        <f>'法人一覧(25)'!A35</f>
        <v>32</v>
      </c>
      <c r="B35" s="38" t="str">
        <f>'法人一覧(25)'!B35</f>
        <v>文部科学省</v>
      </c>
      <c r="C35" s="38" t="str">
        <f>'法人一覧(25)'!C35</f>
        <v>国立高等専門学校機構</v>
      </c>
      <c r="D35" s="88">
        <v>7</v>
      </c>
      <c r="E35" s="88">
        <v>2</v>
      </c>
      <c r="F35" s="60">
        <f t="shared" si="2"/>
        <v>9</v>
      </c>
      <c r="G35" s="147">
        <v>6294</v>
      </c>
    </row>
    <row r="36" spans="1:7">
      <c r="A36" s="155">
        <f>'法人一覧(25)'!A36</f>
        <v>33</v>
      </c>
      <c r="B36" s="38" t="str">
        <f>'法人一覧(25)'!B36</f>
        <v>文部科学省</v>
      </c>
      <c r="C36" s="38" t="str">
        <f>'法人一覧(25)'!C36</f>
        <v>大学評価・学位授与機構</v>
      </c>
      <c r="D36" s="60">
        <v>3</v>
      </c>
      <c r="E36" s="60">
        <v>2</v>
      </c>
      <c r="F36" s="60">
        <f t="shared" si="2"/>
        <v>5</v>
      </c>
      <c r="G36" s="147">
        <v>130</v>
      </c>
    </row>
    <row r="37" spans="1:7">
      <c r="A37" s="155">
        <f>'法人一覧(25)'!A37</f>
        <v>34</v>
      </c>
      <c r="B37" s="38" t="str">
        <f>'法人一覧(25)'!B37</f>
        <v>文部科学省</v>
      </c>
      <c r="C37" s="38" t="str">
        <f>'法人一覧(25)'!C37</f>
        <v>国立大学財務・経営センター</v>
      </c>
      <c r="D37" s="60">
        <v>2</v>
      </c>
      <c r="E37" s="60">
        <v>2</v>
      </c>
      <c r="F37" s="60">
        <f t="shared" si="2"/>
        <v>4</v>
      </c>
      <c r="G37" s="147">
        <v>16</v>
      </c>
    </row>
    <row r="38" spans="1:7">
      <c r="A38" s="155">
        <f>'法人一覧(25)'!A38</f>
        <v>35</v>
      </c>
      <c r="B38" s="38" t="str">
        <f>'法人一覧(25)'!B38</f>
        <v>文部科学省</v>
      </c>
      <c r="C38" s="38" t="str">
        <f>'法人一覧(25)'!C38</f>
        <v>日本原子力研究開発機構</v>
      </c>
      <c r="D38" s="60">
        <v>8</v>
      </c>
      <c r="E38" s="60">
        <v>2</v>
      </c>
      <c r="F38" s="60">
        <f t="shared" si="2"/>
        <v>10</v>
      </c>
      <c r="G38" s="147">
        <v>3831</v>
      </c>
    </row>
    <row r="39" spans="1:7">
      <c r="A39" s="155">
        <f>'法人一覧(25)'!A39</f>
        <v>36</v>
      </c>
      <c r="B39" s="38" t="str">
        <f>'法人一覧(25)'!B39</f>
        <v>厚生労働省</v>
      </c>
      <c r="C39" s="38" t="str">
        <f>'法人一覧(25)'!C39</f>
        <v>国立健康・栄養研究所</v>
      </c>
      <c r="D39" s="60">
        <v>2</v>
      </c>
      <c r="E39" s="88">
        <v>2</v>
      </c>
      <c r="F39" s="60">
        <f t="shared" ref="F39:F70" si="3">SUM(D39:E39)</f>
        <v>4</v>
      </c>
      <c r="G39" s="147">
        <v>40</v>
      </c>
    </row>
    <row r="40" spans="1:7">
      <c r="A40" s="155">
        <f>'法人一覧(25)'!A40</f>
        <v>37</v>
      </c>
      <c r="B40" s="38" t="str">
        <f>'法人一覧(25)'!B40</f>
        <v>厚生労働省</v>
      </c>
      <c r="C40" s="38" t="str">
        <f>'法人一覧(25)'!C40</f>
        <v>労働安全衛生総合研究所</v>
      </c>
      <c r="D40" s="60">
        <v>3</v>
      </c>
      <c r="E40" s="60">
        <v>2</v>
      </c>
      <c r="F40" s="60">
        <f t="shared" si="3"/>
        <v>5</v>
      </c>
      <c r="G40" s="147">
        <v>99</v>
      </c>
    </row>
    <row r="41" spans="1:7">
      <c r="A41" s="155">
        <f>'法人一覧(25)'!A41</f>
        <v>38</v>
      </c>
      <c r="B41" s="38" t="str">
        <f>'法人一覧(25)'!B41</f>
        <v>厚生労働省</v>
      </c>
      <c r="C41" s="38" t="str">
        <f>'法人一覧(25)'!C41</f>
        <v>勤労者退職金共済機構</v>
      </c>
      <c r="D41" s="60">
        <v>4</v>
      </c>
      <c r="E41" s="60">
        <v>2</v>
      </c>
      <c r="F41" s="60">
        <f t="shared" si="3"/>
        <v>6</v>
      </c>
      <c r="G41" s="147">
        <v>267</v>
      </c>
    </row>
    <row r="42" spans="1:7">
      <c r="A42" s="155">
        <f>'法人一覧(25)'!A42</f>
        <v>39</v>
      </c>
      <c r="B42" s="38" t="str">
        <f>'法人一覧(25)'!B42</f>
        <v>厚生労働省</v>
      </c>
      <c r="C42" s="38" t="str">
        <f>'法人一覧(25)'!C42</f>
        <v>高齢・障害・求職者雇用支援機構</v>
      </c>
      <c r="D42" s="60">
        <v>6</v>
      </c>
      <c r="E42" s="88">
        <v>2</v>
      </c>
      <c r="F42" s="60">
        <f t="shared" si="3"/>
        <v>8</v>
      </c>
      <c r="G42" s="148">
        <v>3668</v>
      </c>
    </row>
    <row r="43" spans="1:7">
      <c r="A43" s="155">
        <f>'法人一覧(25)'!A43</f>
        <v>40</v>
      </c>
      <c r="B43" s="38" t="str">
        <f>'法人一覧(25)'!B43</f>
        <v>厚生労働省</v>
      </c>
      <c r="C43" s="38" t="str">
        <f>'法人一覧(25)'!C43</f>
        <v>福祉医療機構</v>
      </c>
      <c r="D43" s="60">
        <v>4</v>
      </c>
      <c r="E43" s="60">
        <v>2</v>
      </c>
      <c r="F43" s="60">
        <f t="shared" si="3"/>
        <v>6</v>
      </c>
      <c r="G43" s="147">
        <v>259</v>
      </c>
    </row>
    <row r="44" spans="1:7">
      <c r="A44" s="155">
        <f>'法人一覧(25)'!A44</f>
        <v>41</v>
      </c>
      <c r="B44" s="38" t="str">
        <f>'法人一覧(25)'!B44</f>
        <v>厚生労働省</v>
      </c>
      <c r="C44" s="38" t="str">
        <f>'法人一覧(25)'!C44</f>
        <v>国立重度知的障害者総合施設のぞみの園</v>
      </c>
      <c r="D44" s="60">
        <v>3</v>
      </c>
      <c r="E44" s="60">
        <v>1</v>
      </c>
      <c r="F44" s="60">
        <f t="shared" si="3"/>
        <v>4</v>
      </c>
      <c r="G44" s="147">
        <v>210</v>
      </c>
    </row>
    <row r="45" spans="1:7">
      <c r="A45" s="155">
        <f>'法人一覧(25)'!A45</f>
        <v>42</v>
      </c>
      <c r="B45" s="38" t="str">
        <f>'法人一覧(25)'!B45</f>
        <v>厚生労働省</v>
      </c>
      <c r="C45" s="38" t="str">
        <f>'法人一覧(25)'!C45</f>
        <v>労働政策研究・研修機構</v>
      </c>
      <c r="D45" s="60">
        <v>3</v>
      </c>
      <c r="E45" s="88">
        <v>2</v>
      </c>
      <c r="F45" s="60">
        <f t="shared" si="3"/>
        <v>5</v>
      </c>
      <c r="G45" s="147">
        <v>111</v>
      </c>
    </row>
    <row r="46" spans="1:7">
      <c r="A46" s="155">
        <f>'法人一覧(25)'!A46</f>
        <v>43</v>
      </c>
      <c r="B46" s="38" t="str">
        <f>'法人一覧(25)'!B46</f>
        <v>厚生労働省</v>
      </c>
      <c r="C46" s="38" t="str">
        <f>'法人一覧(25)'!C46</f>
        <v>労働者健康福祉機構</v>
      </c>
      <c r="D46" s="60">
        <v>5</v>
      </c>
      <c r="E46" s="88">
        <v>2</v>
      </c>
      <c r="F46" s="60">
        <f t="shared" si="3"/>
        <v>7</v>
      </c>
      <c r="G46" s="147">
        <v>14609</v>
      </c>
    </row>
    <row r="47" spans="1:7">
      <c r="A47" s="155">
        <f>'法人一覧(25)'!A47</f>
        <v>44</v>
      </c>
      <c r="B47" s="38" t="str">
        <f>'法人一覧(25)'!B47</f>
        <v>厚生労働省</v>
      </c>
      <c r="C47" s="38" t="str">
        <f>'法人一覧(25)'!C47</f>
        <v>国立病院機構</v>
      </c>
      <c r="D47" s="60">
        <v>13</v>
      </c>
      <c r="E47" s="60">
        <v>2</v>
      </c>
      <c r="F47" s="142">
        <f t="shared" si="3"/>
        <v>15</v>
      </c>
      <c r="G47" s="147">
        <v>57609</v>
      </c>
    </row>
    <row r="48" spans="1:7">
      <c r="A48" s="155">
        <f>'法人一覧(25)'!A48</f>
        <v>45</v>
      </c>
      <c r="B48" s="38" t="str">
        <f>'法人一覧(25)'!B48</f>
        <v>厚生労働省</v>
      </c>
      <c r="C48" s="38" t="str">
        <f>'法人一覧(25)'!C48</f>
        <v>医薬品医療機器総合機構</v>
      </c>
      <c r="D48" s="60">
        <v>4</v>
      </c>
      <c r="E48" s="60">
        <v>2</v>
      </c>
      <c r="F48" s="60">
        <f t="shared" si="3"/>
        <v>6</v>
      </c>
      <c r="G48" s="147">
        <v>705</v>
      </c>
    </row>
    <row r="49" spans="1:7">
      <c r="A49" s="155">
        <f>'法人一覧(25)'!A49</f>
        <v>46</v>
      </c>
      <c r="B49" s="38" t="str">
        <f>'法人一覧(25)'!B49</f>
        <v>厚生労働省</v>
      </c>
      <c r="C49" s="38" t="str">
        <f>'法人一覧(25)'!C49</f>
        <v>医薬基盤研究所</v>
      </c>
      <c r="D49" s="60">
        <v>2</v>
      </c>
      <c r="E49" s="60">
        <v>2</v>
      </c>
      <c r="F49" s="60">
        <f t="shared" si="3"/>
        <v>4</v>
      </c>
      <c r="G49" s="148">
        <v>95</v>
      </c>
    </row>
    <row r="50" spans="1:7">
      <c r="A50" s="155">
        <f>'法人一覧(25)'!A50</f>
        <v>47</v>
      </c>
      <c r="B50" s="38" t="str">
        <f>'法人一覧(25)'!B50</f>
        <v>厚生労働省</v>
      </c>
      <c r="C50" s="38" t="str">
        <f>'法人一覧(25)'!C50</f>
        <v>年金・健康保険福祉施設整理機構</v>
      </c>
      <c r="D50" s="60">
        <v>2</v>
      </c>
      <c r="E50" s="60">
        <v>2</v>
      </c>
      <c r="F50" s="60">
        <f t="shared" si="3"/>
        <v>4</v>
      </c>
      <c r="G50" s="147">
        <v>21</v>
      </c>
    </row>
    <row r="51" spans="1:7">
      <c r="A51" s="155">
        <f>'法人一覧(25)'!A51</f>
        <v>48</v>
      </c>
      <c r="B51" s="38" t="str">
        <f>'法人一覧(25)'!B51</f>
        <v>厚生労働省</v>
      </c>
      <c r="C51" s="38" t="str">
        <f>'法人一覧(25)'!C51</f>
        <v>年金積立金管理運用</v>
      </c>
      <c r="D51" s="60">
        <v>2</v>
      </c>
      <c r="E51" s="60">
        <v>2</v>
      </c>
      <c r="F51" s="60">
        <f t="shared" si="3"/>
        <v>4</v>
      </c>
      <c r="G51" s="147">
        <v>72</v>
      </c>
    </row>
    <row r="52" spans="1:7">
      <c r="A52" s="155">
        <f>'法人一覧(25)'!A52</f>
        <v>49</v>
      </c>
      <c r="B52" s="38" t="str">
        <f>'法人一覧(25)'!B52</f>
        <v>厚生労働省</v>
      </c>
      <c r="C52" s="38" t="str">
        <f>'法人一覧(25)'!C52</f>
        <v>国立がん研究センター</v>
      </c>
      <c r="D52" s="60">
        <v>6</v>
      </c>
      <c r="E52" s="60">
        <v>2</v>
      </c>
      <c r="F52" s="60">
        <f t="shared" si="3"/>
        <v>8</v>
      </c>
      <c r="G52" s="147">
        <v>1721</v>
      </c>
    </row>
    <row r="53" spans="1:7">
      <c r="A53" s="155">
        <f>'法人一覧(25)'!A53</f>
        <v>50</v>
      </c>
      <c r="B53" s="38" t="str">
        <f>'法人一覧(25)'!B53</f>
        <v>厚生労働省</v>
      </c>
      <c r="C53" s="38" t="str">
        <f>'法人一覧(25)'!C53</f>
        <v>国立循環器病研究センター</v>
      </c>
      <c r="D53" s="60">
        <v>4</v>
      </c>
      <c r="E53" s="60">
        <v>2</v>
      </c>
      <c r="F53" s="60">
        <f t="shared" si="3"/>
        <v>6</v>
      </c>
      <c r="G53" s="147">
        <v>1110</v>
      </c>
    </row>
    <row r="54" spans="1:7">
      <c r="A54" s="155">
        <f>'法人一覧(25)'!A54</f>
        <v>51</v>
      </c>
      <c r="B54" s="38" t="str">
        <f>'法人一覧(25)'!B54</f>
        <v>厚生労働省</v>
      </c>
      <c r="C54" s="38" t="str">
        <f>'法人一覧(25)'!C54</f>
        <v>国立精神・神経医療研究センター</v>
      </c>
      <c r="D54" s="60">
        <v>5</v>
      </c>
      <c r="E54" s="60">
        <v>2</v>
      </c>
      <c r="F54" s="60">
        <f t="shared" si="3"/>
        <v>7</v>
      </c>
      <c r="G54" s="147">
        <v>721</v>
      </c>
    </row>
    <row r="55" spans="1:7">
      <c r="A55" s="155">
        <f>'法人一覧(25)'!A55</f>
        <v>52</v>
      </c>
      <c r="B55" s="38" t="str">
        <f>'法人一覧(25)'!B55</f>
        <v>厚生労働省</v>
      </c>
      <c r="C55" s="38" t="str">
        <f>'法人一覧(25)'!C55</f>
        <v>国立国際医療研究センター</v>
      </c>
      <c r="D55" s="60">
        <v>7</v>
      </c>
      <c r="E55" s="60">
        <v>2</v>
      </c>
      <c r="F55" s="60">
        <f t="shared" si="3"/>
        <v>9</v>
      </c>
      <c r="G55" s="147">
        <v>1720</v>
      </c>
    </row>
    <row r="56" spans="1:7">
      <c r="A56" s="155">
        <f>'法人一覧(25)'!A56</f>
        <v>53</v>
      </c>
      <c r="B56" s="38" t="str">
        <f>'法人一覧(25)'!B56</f>
        <v>厚生労働省</v>
      </c>
      <c r="C56" s="38" t="str">
        <f>'法人一覧(25)'!C56</f>
        <v>国立成育医療研究センター</v>
      </c>
      <c r="D56" s="60">
        <v>4</v>
      </c>
      <c r="E56" s="60">
        <v>2</v>
      </c>
      <c r="F56" s="60">
        <f t="shared" si="3"/>
        <v>6</v>
      </c>
      <c r="G56" s="147">
        <v>966</v>
      </c>
    </row>
    <row r="57" spans="1:7">
      <c r="A57" s="155">
        <f>'法人一覧(25)'!A57</f>
        <v>54</v>
      </c>
      <c r="B57" s="38" t="str">
        <f>'法人一覧(25)'!B57</f>
        <v>厚生労働省</v>
      </c>
      <c r="C57" s="38" t="str">
        <f>'法人一覧(25)'!C57</f>
        <v>国立長寿医療研究センター</v>
      </c>
      <c r="D57" s="60">
        <v>3</v>
      </c>
      <c r="E57" s="60">
        <v>2</v>
      </c>
      <c r="F57" s="60">
        <f t="shared" si="3"/>
        <v>5</v>
      </c>
      <c r="G57" s="147">
        <v>492</v>
      </c>
    </row>
    <row r="58" spans="1:7">
      <c r="A58" s="155">
        <f>'法人一覧(25)'!A58</f>
        <v>55</v>
      </c>
      <c r="B58" s="38" t="str">
        <f>'法人一覧(25)'!B58</f>
        <v>農林水産省</v>
      </c>
      <c r="C58" s="38" t="str">
        <f>'法人一覧(25)'!C58</f>
        <v>農林水産消費安全技術センター</v>
      </c>
      <c r="D58" s="142">
        <v>4</v>
      </c>
      <c r="E58" s="142">
        <v>1</v>
      </c>
      <c r="F58" s="142">
        <f t="shared" si="3"/>
        <v>5</v>
      </c>
      <c r="G58" s="147">
        <v>638</v>
      </c>
    </row>
    <row r="59" spans="1:7">
      <c r="A59" s="155">
        <f>'法人一覧(25)'!A59</f>
        <v>56</v>
      </c>
      <c r="B59" s="38" t="str">
        <f>'法人一覧(25)'!B59</f>
        <v>農林水産省</v>
      </c>
      <c r="C59" s="38" t="str">
        <f>'法人一覧(25)'!C59</f>
        <v>種苗管理センター</v>
      </c>
      <c r="D59" s="142">
        <v>3</v>
      </c>
      <c r="E59" s="142">
        <v>2</v>
      </c>
      <c r="F59" s="142">
        <f t="shared" si="3"/>
        <v>5</v>
      </c>
      <c r="G59" s="147">
        <v>293</v>
      </c>
    </row>
    <row r="60" spans="1:7">
      <c r="A60" s="155">
        <f>'法人一覧(25)'!A60</f>
        <v>57</v>
      </c>
      <c r="B60" s="38" t="str">
        <f>'法人一覧(25)'!B60</f>
        <v>農林水産省</v>
      </c>
      <c r="C60" s="38" t="str">
        <f>'法人一覧(25)'!C60</f>
        <v>家畜改良センター</v>
      </c>
      <c r="D60" s="142">
        <v>5</v>
      </c>
      <c r="E60" s="142">
        <v>2</v>
      </c>
      <c r="F60" s="60">
        <f t="shared" si="3"/>
        <v>7</v>
      </c>
      <c r="G60" s="147">
        <v>790</v>
      </c>
    </row>
    <row r="61" spans="1:7">
      <c r="A61" s="155">
        <f>'法人一覧(25)'!A61</f>
        <v>58</v>
      </c>
      <c r="B61" s="38" t="str">
        <f>'法人一覧(25)'!B61</f>
        <v>農林水産省</v>
      </c>
      <c r="C61" s="38" t="str">
        <f>'法人一覧(25)'!C61</f>
        <v>水産大学校</v>
      </c>
      <c r="D61" s="142">
        <v>2</v>
      </c>
      <c r="E61" s="142">
        <v>2</v>
      </c>
      <c r="F61" s="60">
        <f t="shared" si="3"/>
        <v>4</v>
      </c>
      <c r="G61" s="147">
        <v>171</v>
      </c>
    </row>
    <row r="62" spans="1:7">
      <c r="A62" s="155">
        <f>'法人一覧(25)'!A62</f>
        <v>59</v>
      </c>
      <c r="B62" s="38" t="str">
        <f>'法人一覧(25)'!B62</f>
        <v>農林水産省</v>
      </c>
      <c r="C62" s="38" t="str">
        <f>'法人一覧(25)'!C62</f>
        <v>農業・食品産業技術総合研究機構</v>
      </c>
      <c r="D62" s="142">
        <v>12</v>
      </c>
      <c r="E62" s="142">
        <v>3</v>
      </c>
      <c r="F62" s="60">
        <f t="shared" si="3"/>
        <v>15</v>
      </c>
      <c r="G62" s="147">
        <v>2671</v>
      </c>
    </row>
    <row r="63" spans="1:7">
      <c r="A63" s="155">
        <f>'法人一覧(25)'!A63</f>
        <v>60</v>
      </c>
      <c r="B63" s="38" t="str">
        <f>'法人一覧(25)'!B63</f>
        <v>農林水産省</v>
      </c>
      <c r="C63" s="38" t="str">
        <f>'法人一覧(25)'!C63</f>
        <v>農業生物資源研究所</v>
      </c>
      <c r="D63" s="142">
        <v>3</v>
      </c>
      <c r="E63" s="142">
        <v>2</v>
      </c>
      <c r="F63" s="60">
        <f t="shared" si="3"/>
        <v>5</v>
      </c>
      <c r="G63" s="147">
        <v>355</v>
      </c>
    </row>
    <row r="64" spans="1:7">
      <c r="A64" s="155">
        <f>'法人一覧(25)'!A64</f>
        <v>61</v>
      </c>
      <c r="B64" s="38" t="str">
        <f>'法人一覧(25)'!B64</f>
        <v>農林水産省</v>
      </c>
      <c r="C64" s="38" t="str">
        <f>'法人一覧(25)'!C64</f>
        <v>農業環境技術研究所</v>
      </c>
      <c r="D64" s="142">
        <v>2</v>
      </c>
      <c r="E64" s="142">
        <v>2</v>
      </c>
      <c r="F64" s="60">
        <f t="shared" si="3"/>
        <v>4</v>
      </c>
      <c r="G64" s="147">
        <v>165</v>
      </c>
    </row>
    <row r="65" spans="1:7">
      <c r="A65" s="155">
        <f>'法人一覧(25)'!A65</f>
        <v>62</v>
      </c>
      <c r="B65" s="38" t="str">
        <f>'法人一覧(25)'!B65</f>
        <v>農林水産省</v>
      </c>
      <c r="C65" s="38" t="str">
        <f>'法人一覧(25)'!C65</f>
        <v>国際農林水産業研究センター</v>
      </c>
      <c r="D65" s="142">
        <v>2</v>
      </c>
      <c r="E65" s="142">
        <v>2</v>
      </c>
      <c r="F65" s="60">
        <f t="shared" si="3"/>
        <v>4</v>
      </c>
      <c r="G65" s="147">
        <v>176</v>
      </c>
    </row>
    <row r="66" spans="1:7">
      <c r="A66" s="155">
        <f>'法人一覧(25)'!A66</f>
        <v>63</v>
      </c>
      <c r="B66" s="38" t="str">
        <f>'法人一覧(25)'!B66</f>
        <v>農林水産省</v>
      </c>
      <c r="C66" s="38" t="str">
        <f>'法人一覧(25)'!C66</f>
        <v>森林総合研究所</v>
      </c>
      <c r="D66" s="142">
        <v>6</v>
      </c>
      <c r="E66" s="142">
        <v>2</v>
      </c>
      <c r="F66" s="60">
        <f t="shared" si="3"/>
        <v>8</v>
      </c>
      <c r="G66" s="147">
        <v>1056</v>
      </c>
    </row>
    <row r="67" spans="1:7">
      <c r="A67" s="155">
        <f>'法人一覧(25)'!A67</f>
        <v>64</v>
      </c>
      <c r="B67" s="38" t="str">
        <f>'法人一覧(25)'!B67</f>
        <v>農林水産省</v>
      </c>
      <c r="C67" s="38" t="str">
        <f>'法人一覧(25)'!C67</f>
        <v>水産総合研究センター</v>
      </c>
      <c r="D67" s="142">
        <v>6</v>
      </c>
      <c r="E67" s="142">
        <v>2</v>
      </c>
      <c r="F67" s="60">
        <f t="shared" si="3"/>
        <v>8</v>
      </c>
      <c r="G67" s="147">
        <v>934</v>
      </c>
    </row>
    <row r="68" spans="1:7">
      <c r="A68" s="155">
        <f>'法人一覧(25)'!A68</f>
        <v>65</v>
      </c>
      <c r="B68" s="38" t="str">
        <f>'法人一覧(25)'!B68</f>
        <v>農林水産省</v>
      </c>
      <c r="C68" s="38" t="str">
        <f>'法人一覧(25)'!C68</f>
        <v>農畜産業振興機構</v>
      </c>
      <c r="D68" s="142">
        <v>8</v>
      </c>
      <c r="E68" s="142">
        <v>2</v>
      </c>
      <c r="F68" s="60">
        <f t="shared" si="3"/>
        <v>10</v>
      </c>
      <c r="G68" s="147">
        <v>211</v>
      </c>
    </row>
    <row r="69" spans="1:7">
      <c r="A69" s="155">
        <f>'法人一覧(25)'!A69</f>
        <v>66</v>
      </c>
      <c r="B69" s="38" t="str">
        <f>'法人一覧(25)'!B69</f>
        <v>農林水産省</v>
      </c>
      <c r="C69" s="38" t="str">
        <f>'法人一覧(25)'!C69</f>
        <v>農業者年金基金</v>
      </c>
      <c r="D69" s="142">
        <v>3</v>
      </c>
      <c r="E69" s="142">
        <v>2</v>
      </c>
      <c r="F69" s="142">
        <f t="shared" si="3"/>
        <v>5</v>
      </c>
      <c r="G69" s="147">
        <v>75</v>
      </c>
    </row>
    <row r="70" spans="1:7">
      <c r="A70" s="155">
        <f>'法人一覧(25)'!A70</f>
        <v>67</v>
      </c>
      <c r="B70" s="38" t="str">
        <f>'法人一覧(25)'!B70</f>
        <v>農林水産省</v>
      </c>
      <c r="C70" s="38" t="str">
        <f>'法人一覧(25)'!C70</f>
        <v>農林漁業信用基金</v>
      </c>
      <c r="D70" s="142">
        <v>7</v>
      </c>
      <c r="E70" s="142">
        <v>2</v>
      </c>
      <c r="F70" s="142">
        <f t="shared" si="3"/>
        <v>9</v>
      </c>
      <c r="G70" s="147">
        <v>101</v>
      </c>
    </row>
    <row r="71" spans="1:7">
      <c r="A71" s="155">
        <f>'法人一覧(25)'!A71</f>
        <v>68</v>
      </c>
      <c r="B71" s="38" t="str">
        <f>'法人一覧(25)'!B71</f>
        <v>経済産業省</v>
      </c>
      <c r="C71" s="38" t="str">
        <f>'法人一覧(25)'!C71</f>
        <v>経済産業研究所</v>
      </c>
      <c r="D71" s="143">
        <v>2</v>
      </c>
      <c r="E71" s="143">
        <v>2</v>
      </c>
      <c r="F71" s="60">
        <f t="shared" ref="F71:F104" si="4">SUM(D71:E71)</f>
        <v>4</v>
      </c>
      <c r="G71" s="147">
        <v>44</v>
      </c>
    </row>
    <row r="72" spans="1:7">
      <c r="A72" s="155">
        <f>'法人一覧(25)'!A72</f>
        <v>69</v>
      </c>
      <c r="B72" s="38" t="str">
        <f>'法人一覧(25)'!B72</f>
        <v>経済産業省</v>
      </c>
      <c r="C72" s="38" t="str">
        <f>'法人一覧(25)'!C72</f>
        <v>工業所有権情報・研修館</v>
      </c>
      <c r="D72" s="142">
        <v>2</v>
      </c>
      <c r="E72" s="142">
        <v>2</v>
      </c>
      <c r="F72" s="60">
        <f t="shared" si="4"/>
        <v>4</v>
      </c>
      <c r="G72" s="147">
        <v>82</v>
      </c>
    </row>
    <row r="73" spans="1:7">
      <c r="A73" s="155">
        <f>'法人一覧(25)'!A73</f>
        <v>70</v>
      </c>
      <c r="B73" s="38" t="str">
        <f>'法人一覧(25)'!B73</f>
        <v>経済産業省</v>
      </c>
      <c r="C73" s="38" t="str">
        <f>'法人一覧(25)'!C73</f>
        <v>日本貿易保険</v>
      </c>
      <c r="D73" s="142">
        <v>3</v>
      </c>
      <c r="E73" s="142">
        <v>2</v>
      </c>
      <c r="F73" s="60">
        <f t="shared" si="4"/>
        <v>5</v>
      </c>
      <c r="G73" s="147">
        <v>137</v>
      </c>
    </row>
    <row r="74" spans="1:7">
      <c r="A74" s="155">
        <f>'法人一覧(25)'!A74</f>
        <v>71</v>
      </c>
      <c r="B74" s="38" t="str">
        <f>'法人一覧(25)'!B74</f>
        <v>経済産業省</v>
      </c>
      <c r="C74" s="38" t="str">
        <f>'法人一覧(25)'!C74</f>
        <v>産業技術総合研究所</v>
      </c>
      <c r="D74" s="142">
        <v>12</v>
      </c>
      <c r="E74" s="142">
        <v>2</v>
      </c>
      <c r="F74" s="60">
        <f t="shared" si="4"/>
        <v>14</v>
      </c>
      <c r="G74" s="147">
        <v>2926</v>
      </c>
    </row>
    <row r="75" spans="1:7">
      <c r="A75" s="155">
        <f>'法人一覧(25)'!A75</f>
        <v>72</v>
      </c>
      <c r="B75" s="38" t="str">
        <f>'法人一覧(25)'!B75</f>
        <v>経済産業省</v>
      </c>
      <c r="C75" s="38" t="str">
        <f>'法人一覧(25)'!C75</f>
        <v>製品評価技術基盤機構</v>
      </c>
      <c r="D75" s="142">
        <v>3</v>
      </c>
      <c r="E75" s="142">
        <v>2</v>
      </c>
      <c r="F75" s="60">
        <f t="shared" si="4"/>
        <v>5</v>
      </c>
      <c r="G75" s="147">
        <v>407</v>
      </c>
    </row>
    <row r="76" spans="1:7">
      <c r="A76" s="155">
        <f>'法人一覧(25)'!A76</f>
        <v>73</v>
      </c>
      <c r="B76" s="38" t="str">
        <f>'法人一覧(25)'!B76</f>
        <v>経済産業省</v>
      </c>
      <c r="C76" s="38" t="str">
        <f>'法人一覧(25)'!C76</f>
        <v>新エネルギー・産業技術総合開発機構</v>
      </c>
      <c r="D76" s="142">
        <v>7</v>
      </c>
      <c r="E76" s="142">
        <v>2</v>
      </c>
      <c r="F76" s="60">
        <f t="shared" si="4"/>
        <v>9</v>
      </c>
      <c r="G76" s="147">
        <v>780</v>
      </c>
    </row>
    <row r="77" spans="1:7">
      <c r="A77" s="155">
        <f>'法人一覧(25)'!A77</f>
        <v>74</v>
      </c>
      <c r="B77" s="38" t="str">
        <f>'法人一覧(25)'!B77</f>
        <v>経済産業省</v>
      </c>
      <c r="C77" s="38" t="str">
        <f>'法人一覧(25)'!C77</f>
        <v>日本貿易振興機構</v>
      </c>
      <c r="D77" s="142">
        <v>8</v>
      </c>
      <c r="E77" s="142">
        <v>2</v>
      </c>
      <c r="F77" s="60">
        <f t="shared" si="4"/>
        <v>10</v>
      </c>
      <c r="G77" s="147">
        <v>1577</v>
      </c>
    </row>
    <row r="78" spans="1:7">
      <c r="A78" s="155">
        <f>'法人一覧(25)'!A78</f>
        <v>75</v>
      </c>
      <c r="B78" s="38" t="str">
        <f>'法人一覧(25)'!B78</f>
        <v>経済産業省</v>
      </c>
      <c r="C78" s="38" t="str">
        <f>'法人一覧(25)'!C78</f>
        <v>情報処理推進機構</v>
      </c>
      <c r="D78" s="142">
        <v>3</v>
      </c>
      <c r="E78" s="142">
        <v>2</v>
      </c>
      <c r="F78" s="60">
        <f t="shared" si="4"/>
        <v>5</v>
      </c>
      <c r="G78" s="147">
        <v>169</v>
      </c>
    </row>
    <row r="79" spans="1:7">
      <c r="A79" s="155">
        <f>'法人一覧(25)'!A79</f>
        <v>76</v>
      </c>
      <c r="B79" s="38" t="str">
        <f>'法人一覧(25)'!B79</f>
        <v>経済産業省</v>
      </c>
      <c r="C79" s="38" t="str">
        <f>'法人一覧(25)'!C79</f>
        <v>石油天然ガス・金属鉱物資源機構</v>
      </c>
      <c r="D79" s="142">
        <v>8</v>
      </c>
      <c r="E79" s="142">
        <v>2</v>
      </c>
      <c r="F79" s="60">
        <f t="shared" si="4"/>
        <v>10</v>
      </c>
      <c r="G79" s="147">
        <v>500</v>
      </c>
    </row>
    <row r="80" spans="1:7">
      <c r="A80" s="155">
        <f>'法人一覧(25)'!A80</f>
        <v>77</v>
      </c>
      <c r="B80" s="38" t="str">
        <f>'法人一覧(25)'!B80</f>
        <v>経済産業省</v>
      </c>
      <c r="C80" s="38" t="str">
        <f>'法人一覧(25)'!C80</f>
        <v>中小企業基盤整備機構</v>
      </c>
      <c r="D80" s="142">
        <v>10</v>
      </c>
      <c r="E80" s="142">
        <v>3</v>
      </c>
      <c r="F80" s="60">
        <f t="shared" si="4"/>
        <v>13</v>
      </c>
      <c r="G80" s="147">
        <v>760</v>
      </c>
    </row>
    <row r="81" spans="1:7">
      <c r="A81" s="155">
        <f>'法人一覧(25)'!A81</f>
        <v>78</v>
      </c>
      <c r="B81" s="38" t="str">
        <f>'法人一覧(25)'!B81</f>
        <v>国土交通省</v>
      </c>
      <c r="C81" s="38" t="str">
        <f>'法人一覧(25)'!C81</f>
        <v>土木研究所</v>
      </c>
      <c r="D81" s="80">
        <v>3</v>
      </c>
      <c r="E81" s="80">
        <v>2</v>
      </c>
      <c r="F81" s="60">
        <f t="shared" si="4"/>
        <v>5</v>
      </c>
      <c r="G81" s="147">
        <v>452</v>
      </c>
    </row>
    <row r="82" spans="1:7">
      <c r="A82" s="155">
        <f>'法人一覧(25)'!A82</f>
        <v>79</v>
      </c>
      <c r="B82" s="38" t="str">
        <f>'法人一覧(25)'!B82</f>
        <v>国土交通省</v>
      </c>
      <c r="C82" s="38" t="str">
        <f>'法人一覧(25)'!C82</f>
        <v>建築研究所</v>
      </c>
      <c r="D82" s="80">
        <v>2</v>
      </c>
      <c r="E82" s="80">
        <v>2</v>
      </c>
      <c r="F82" s="60">
        <f t="shared" si="4"/>
        <v>4</v>
      </c>
      <c r="G82" s="147">
        <v>84</v>
      </c>
    </row>
    <row r="83" spans="1:7">
      <c r="A83" s="155">
        <f>'法人一覧(25)'!A83</f>
        <v>80</v>
      </c>
      <c r="B83" s="38" t="str">
        <f>'法人一覧(25)'!B83</f>
        <v>国土交通省</v>
      </c>
      <c r="C83" s="38" t="str">
        <f>'法人一覧(25)'!C83</f>
        <v>交通安全環境研究所</v>
      </c>
      <c r="D83" s="80">
        <v>2</v>
      </c>
      <c r="E83" s="80">
        <v>2</v>
      </c>
      <c r="F83" s="60">
        <f t="shared" si="4"/>
        <v>4</v>
      </c>
      <c r="G83" s="147">
        <v>97</v>
      </c>
    </row>
    <row r="84" spans="1:7">
      <c r="A84" s="155">
        <f>'法人一覧(25)'!A84</f>
        <v>81</v>
      </c>
      <c r="B84" s="38" t="str">
        <f>'法人一覧(25)'!B84</f>
        <v>国土交通省</v>
      </c>
      <c r="C84" s="38" t="str">
        <f>'法人一覧(25)'!C84</f>
        <v>海上技術安全研究所</v>
      </c>
      <c r="D84" s="80">
        <v>3</v>
      </c>
      <c r="E84" s="80">
        <v>2</v>
      </c>
      <c r="F84" s="60">
        <f t="shared" si="4"/>
        <v>5</v>
      </c>
      <c r="G84" s="147">
        <v>210</v>
      </c>
    </row>
    <row r="85" spans="1:7">
      <c r="A85" s="155">
        <f>'法人一覧(25)'!A85</f>
        <v>82</v>
      </c>
      <c r="B85" s="38" t="str">
        <f>'法人一覧(25)'!B85</f>
        <v>国土交通省</v>
      </c>
      <c r="C85" s="38" t="str">
        <f>'法人一覧(25)'!C85</f>
        <v>港湾空港技術研究所</v>
      </c>
      <c r="D85" s="80">
        <v>2</v>
      </c>
      <c r="E85" s="80">
        <v>2</v>
      </c>
      <c r="F85" s="60">
        <f t="shared" si="4"/>
        <v>4</v>
      </c>
      <c r="G85" s="147">
        <v>96</v>
      </c>
    </row>
    <row r="86" spans="1:7">
      <c r="A86" s="155">
        <f>'法人一覧(25)'!A86</f>
        <v>83</v>
      </c>
      <c r="B86" s="38" t="str">
        <f>'法人一覧(25)'!B86</f>
        <v>国土交通省</v>
      </c>
      <c r="C86" s="38" t="str">
        <f>'法人一覧(25)'!C86</f>
        <v>電子航法研究所</v>
      </c>
      <c r="D86" s="80">
        <v>2</v>
      </c>
      <c r="E86" s="80">
        <v>2</v>
      </c>
      <c r="F86" s="60">
        <f t="shared" si="4"/>
        <v>4</v>
      </c>
      <c r="G86" s="147">
        <v>59</v>
      </c>
    </row>
    <row r="87" spans="1:7">
      <c r="A87" s="155">
        <f>'法人一覧(25)'!A87</f>
        <v>84</v>
      </c>
      <c r="B87" s="38" t="str">
        <f>'法人一覧(25)'!B87</f>
        <v>国土交通省</v>
      </c>
      <c r="C87" s="38" t="str">
        <f>'法人一覧(25)'!C87</f>
        <v>航海訓練所</v>
      </c>
      <c r="D87" s="81">
        <v>3</v>
      </c>
      <c r="E87" s="81">
        <v>2</v>
      </c>
      <c r="F87" s="60">
        <f t="shared" si="4"/>
        <v>5</v>
      </c>
      <c r="G87" s="147">
        <v>410</v>
      </c>
    </row>
    <row r="88" spans="1:7">
      <c r="A88" s="155">
        <f>'法人一覧(25)'!A88</f>
        <v>85</v>
      </c>
      <c r="B88" s="38" t="str">
        <f>'法人一覧(25)'!B88</f>
        <v>国土交通省</v>
      </c>
      <c r="C88" s="38" t="str">
        <f>'法人一覧(25)'!C88</f>
        <v>海技教育機構</v>
      </c>
      <c r="D88" s="80">
        <v>3</v>
      </c>
      <c r="E88" s="80">
        <v>2</v>
      </c>
      <c r="F88" s="60">
        <f t="shared" si="4"/>
        <v>5</v>
      </c>
      <c r="G88" s="147">
        <v>196</v>
      </c>
    </row>
    <row r="89" spans="1:7">
      <c r="A89" s="155">
        <f>'法人一覧(25)'!A89</f>
        <v>86</v>
      </c>
      <c r="B89" s="38" t="str">
        <f>'法人一覧(25)'!B89</f>
        <v>国土交通省</v>
      </c>
      <c r="C89" s="38" t="str">
        <f>'法人一覧(25)'!C89</f>
        <v>航空大学校</v>
      </c>
      <c r="D89" s="142">
        <v>1</v>
      </c>
      <c r="E89" s="142">
        <v>2</v>
      </c>
      <c r="F89" s="60">
        <f t="shared" si="4"/>
        <v>3</v>
      </c>
      <c r="G89" s="147">
        <v>101</v>
      </c>
    </row>
    <row r="90" spans="1:7">
      <c r="A90" s="155">
        <f>'法人一覧(25)'!A90</f>
        <v>87</v>
      </c>
      <c r="B90" s="38" t="str">
        <f>'法人一覧(25)'!B90</f>
        <v>国土交通省</v>
      </c>
      <c r="C90" s="38" t="str">
        <f>'法人一覧(25)'!C90</f>
        <v>自動車検査</v>
      </c>
      <c r="D90" s="80">
        <v>4</v>
      </c>
      <c r="E90" s="80">
        <v>2</v>
      </c>
      <c r="F90" s="60">
        <f t="shared" si="4"/>
        <v>6</v>
      </c>
      <c r="G90" s="147">
        <v>807</v>
      </c>
    </row>
    <row r="91" spans="1:7">
      <c r="A91" s="155">
        <f>'法人一覧(25)'!A91</f>
        <v>88</v>
      </c>
      <c r="B91" s="38" t="str">
        <f>'法人一覧(25)'!B91</f>
        <v>国土交通省</v>
      </c>
      <c r="C91" s="38" t="str">
        <f>'法人一覧(25)'!C91</f>
        <v>鉄道建設・運輸施設整備支援機構</v>
      </c>
      <c r="D91" s="80">
        <v>8</v>
      </c>
      <c r="E91" s="80">
        <v>3</v>
      </c>
      <c r="F91" s="60">
        <f t="shared" si="4"/>
        <v>11</v>
      </c>
      <c r="G91" s="147">
        <v>1605</v>
      </c>
    </row>
    <row r="92" spans="1:7">
      <c r="A92" s="155">
        <f>'法人一覧(25)'!A92</f>
        <v>89</v>
      </c>
      <c r="B92" s="38" t="str">
        <f>'法人一覧(25)'!B92</f>
        <v>国土交通省</v>
      </c>
      <c r="C92" s="38" t="str">
        <f>'法人一覧(25)'!C92</f>
        <v>国際観光振興機構</v>
      </c>
      <c r="D92" s="80">
        <v>3</v>
      </c>
      <c r="E92" s="80">
        <v>2</v>
      </c>
      <c r="F92" s="60">
        <f t="shared" si="4"/>
        <v>5</v>
      </c>
      <c r="G92" s="147">
        <v>89</v>
      </c>
    </row>
    <row r="93" spans="1:7">
      <c r="A93" s="155">
        <f>'法人一覧(25)'!A93</f>
        <v>90</v>
      </c>
      <c r="B93" s="38" t="str">
        <f>'法人一覧(25)'!B93</f>
        <v>国土交通省</v>
      </c>
      <c r="C93" s="38" t="str">
        <f>'法人一覧(25)'!C93</f>
        <v>水資源機構</v>
      </c>
      <c r="D93" s="80">
        <v>7</v>
      </c>
      <c r="E93" s="80">
        <v>2</v>
      </c>
      <c r="F93" s="60">
        <f t="shared" si="4"/>
        <v>9</v>
      </c>
      <c r="G93" s="147">
        <v>1333</v>
      </c>
    </row>
    <row r="94" spans="1:7">
      <c r="A94" s="155">
        <f>'法人一覧(25)'!A94</f>
        <v>91</v>
      </c>
      <c r="B94" s="38" t="str">
        <f>'法人一覧(25)'!B94</f>
        <v>国土交通省</v>
      </c>
      <c r="C94" s="38" t="str">
        <f>'法人一覧(25)'!C94</f>
        <v>自動車事故対策機構</v>
      </c>
      <c r="D94" s="80">
        <v>4</v>
      </c>
      <c r="E94" s="80">
        <v>2</v>
      </c>
      <c r="F94" s="60">
        <f t="shared" si="4"/>
        <v>6</v>
      </c>
      <c r="G94" s="147">
        <v>334</v>
      </c>
    </row>
    <row r="95" spans="1:7">
      <c r="A95" s="155">
        <f>'法人一覧(25)'!A95</f>
        <v>92</v>
      </c>
      <c r="B95" s="38" t="str">
        <f>'法人一覧(25)'!B95</f>
        <v>国土交通省</v>
      </c>
      <c r="C95" s="38" t="str">
        <f>'法人一覧(25)'!C95</f>
        <v>空港周辺整備機構</v>
      </c>
      <c r="D95" s="80">
        <v>2</v>
      </c>
      <c r="E95" s="80">
        <v>2</v>
      </c>
      <c r="F95" s="60">
        <f t="shared" si="4"/>
        <v>4</v>
      </c>
      <c r="G95" s="147">
        <v>31</v>
      </c>
    </row>
    <row r="96" spans="1:7">
      <c r="A96" s="155">
        <f>'法人一覧(25)'!A96</f>
        <v>93</v>
      </c>
      <c r="B96" s="38" t="str">
        <f>'法人一覧(25)'!B96</f>
        <v>国土交通省</v>
      </c>
      <c r="C96" s="38" t="str">
        <f>'法人一覧(25)'!C96</f>
        <v>海上災害防止センター</v>
      </c>
      <c r="D96" s="80">
        <v>3</v>
      </c>
      <c r="E96" s="80">
        <v>2</v>
      </c>
      <c r="F96" s="60">
        <f t="shared" si="4"/>
        <v>5</v>
      </c>
      <c r="G96" s="147">
        <v>58</v>
      </c>
    </row>
    <row r="97" spans="1:7">
      <c r="A97" s="155">
        <f>'法人一覧(25)'!A97</f>
        <v>94</v>
      </c>
      <c r="B97" s="38" t="str">
        <f>'法人一覧(25)'!B97</f>
        <v>国土交通省</v>
      </c>
      <c r="C97" s="38" t="str">
        <f>'法人一覧(25)'!C97</f>
        <v>都市再生機構</v>
      </c>
      <c r="D97" s="80">
        <v>10</v>
      </c>
      <c r="E97" s="80">
        <v>3</v>
      </c>
      <c r="F97" s="60">
        <f t="shared" si="4"/>
        <v>13</v>
      </c>
      <c r="G97" s="147">
        <v>3194</v>
      </c>
    </row>
    <row r="98" spans="1:7">
      <c r="A98" s="155">
        <f>'法人一覧(25)'!A98</f>
        <v>95</v>
      </c>
      <c r="B98" s="38" t="str">
        <f>'法人一覧(25)'!B98</f>
        <v>国土交通省</v>
      </c>
      <c r="C98" s="38" t="str">
        <f>'法人一覧(25)'!C98</f>
        <v>奄美群島振興開発基金</v>
      </c>
      <c r="D98" s="142">
        <v>2</v>
      </c>
      <c r="E98" s="142">
        <v>2</v>
      </c>
      <c r="F98" s="60">
        <f t="shared" si="4"/>
        <v>4</v>
      </c>
      <c r="G98" s="147">
        <v>18</v>
      </c>
    </row>
    <row r="99" spans="1:7">
      <c r="A99" s="155">
        <f>'法人一覧(25)'!A99</f>
        <v>96</v>
      </c>
      <c r="B99" s="38" t="str">
        <f>'法人一覧(25)'!B99</f>
        <v>国土交通省</v>
      </c>
      <c r="C99" s="38" t="str">
        <f>'法人一覧(25)'!C99</f>
        <v>日本高速道路保有・債務返済機構</v>
      </c>
      <c r="D99" s="80">
        <v>4</v>
      </c>
      <c r="E99" s="80">
        <v>2</v>
      </c>
      <c r="F99" s="60">
        <f t="shared" si="4"/>
        <v>6</v>
      </c>
      <c r="G99" s="147">
        <v>84</v>
      </c>
    </row>
    <row r="100" spans="1:7">
      <c r="A100" s="155">
        <f>'法人一覧(25)'!A100</f>
        <v>97</v>
      </c>
      <c r="B100" s="38" t="str">
        <f>'法人一覧(25)'!B100</f>
        <v>国土交通省</v>
      </c>
      <c r="C100" s="38" t="str">
        <f>'法人一覧(25)'!C100</f>
        <v>住宅金融支援機構</v>
      </c>
      <c r="D100" s="142">
        <v>8</v>
      </c>
      <c r="E100" s="142">
        <v>3</v>
      </c>
      <c r="F100" s="60">
        <f t="shared" si="4"/>
        <v>11</v>
      </c>
      <c r="G100" s="147">
        <v>881</v>
      </c>
    </row>
    <row r="101" spans="1:7">
      <c r="A101" s="155">
        <f>'法人一覧(25)'!A101</f>
        <v>98</v>
      </c>
      <c r="B101" s="38" t="str">
        <f>'法人一覧(25)'!B101</f>
        <v>環境省</v>
      </c>
      <c r="C101" s="38" t="str">
        <f>'法人一覧(25)'!C101</f>
        <v>国立環境研究所</v>
      </c>
      <c r="D101" s="142">
        <v>3</v>
      </c>
      <c r="E101" s="142">
        <v>2</v>
      </c>
      <c r="F101" s="60">
        <f t="shared" si="4"/>
        <v>5</v>
      </c>
      <c r="G101" s="147">
        <v>254</v>
      </c>
    </row>
    <row r="102" spans="1:7">
      <c r="A102" s="155">
        <f>'法人一覧(25)'!A102</f>
        <v>99</v>
      </c>
      <c r="B102" s="38" t="str">
        <f>'法人一覧(25)'!B102</f>
        <v>環境省</v>
      </c>
      <c r="C102" s="38" t="str">
        <f>'法人一覧(25)'!C102</f>
        <v>環境再生保全機構</v>
      </c>
      <c r="D102" s="142">
        <v>4</v>
      </c>
      <c r="E102" s="142">
        <v>2</v>
      </c>
      <c r="F102" s="60">
        <f t="shared" si="4"/>
        <v>6</v>
      </c>
      <c r="G102" s="147">
        <v>142</v>
      </c>
    </row>
    <row r="103" spans="1:7">
      <c r="A103" s="155">
        <f>'法人一覧(25)'!A103</f>
        <v>100</v>
      </c>
      <c r="B103" s="38" t="str">
        <f>'法人一覧(25)'!B103</f>
        <v>原子力規制委員会</v>
      </c>
      <c r="C103" s="38" t="str">
        <f>'法人一覧(25)'!C103</f>
        <v>原子力安全基盤機構</v>
      </c>
      <c r="D103" s="142">
        <v>4</v>
      </c>
      <c r="E103" s="142">
        <v>2</v>
      </c>
      <c r="F103" s="60">
        <f t="shared" si="4"/>
        <v>6</v>
      </c>
      <c r="G103" s="147">
        <v>402</v>
      </c>
    </row>
    <row r="104" spans="1:7" ht="13.8" thickBot="1">
      <c r="A104" s="116">
        <f>'法人一覧(25)'!A104</f>
        <v>101</v>
      </c>
      <c r="B104" s="117" t="str">
        <f>'法人一覧(25)'!B104</f>
        <v>防衛省</v>
      </c>
      <c r="C104" s="117" t="str">
        <f>'法人一覧(25)'!C104</f>
        <v>駐留軍等労働者労務管理機構</v>
      </c>
      <c r="D104" s="150">
        <v>3</v>
      </c>
      <c r="E104" s="150">
        <v>2</v>
      </c>
      <c r="F104" s="149">
        <f t="shared" si="4"/>
        <v>5</v>
      </c>
      <c r="G104" s="151">
        <v>290</v>
      </c>
    </row>
    <row r="105" spans="1:7" ht="18.600000000000001" customHeight="1" thickTop="1">
      <c r="A105" s="162" t="s">
        <v>652</v>
      </c>
      <c r="B105" s="162"/>
      <c r="C105" s="162"/>
      <c r="D105" s="27">
        <f>SUM(D4:D104)</f>
        <v>437</v>
      </c>
      <c r="E105" s="27">
        <f t="shared" ref="E105:G105" si="5">SUM(E4:E104)</f>
        <v>206</v>
      </c>
      <c r="F105" s="27">
        <f t="shared" si="5"/>
        <v>643</v>
      </c>
      <c r="G105" s="152">
        <f t="shared" si="5"/>
        <v>140746</v>
      </c>
    </row>
    <row r="106" spans="1:7">
      <c r="A106" s="40"/>
      <c r="B106" s="40"/>
      <c r="C106" s="40"/>
      <c r="D106" s="153"/>
      <c r="E106" s="153"/>
      <c r="F106" s="153"/>
      <c r="G106" s="154"/>
    </row>
    <row r="107" spans="1:7">
      <c r="B107" s="37" t="s">
        <v>653</v>
      </c>
      <c r="G107" s="146"/>
    </row>
  </sheetData>
  <mergeCells count="6">
    <mergeCell ref="G2:G3"/>
    <mergeCell ref="A105:C105"/>
    <mergeCell ref="A2:A3"/>
    <mergeCell ref="B2:B3"/>
    <mergeCell ref="C2:C3"/>
    <mergeCell ref="D2:F2"/>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4"/>
  <sheetViews>
    <sheetView workbookViewId="0">
      <pane xSplit="3" ySplit="3" topLeftCell="D79" activePane="bottomRight" state="frozen"/>
      <selection activeCell="D25" sqref="D25"/>
      <selection pane="topRight" activeCell="D25" sqref="D25"/>
      <selection pane="bottomLeft" activeCell="D25" sqref="D25"/>
      <selection pane="bottomRight"/>
    </sheetView>
  </sheetViews>
  <sheetFormatPr defaultColWidth="8.88671875" defaultRowHeight="13.2"/>
  <cols>
    <col min="1" max="1" width="3.44140625" style="37" customWidth="1"/>
    <col min="2" max="2" width="16.109375" style="37" customWidth="1"/>
    <col min="3" max="3" width="40.21875" style="37" bestFit="1" customWidth="1"/>
    <col min="4" max="4" width="15.44140625" style="37" customWidth="1"/>
    <col min="5" max="5" width="12.6640625" style="37" customWidth="1"/>
    <col min="6" max="6" width="8.6640625" style="37" customWidth="1"/>
    <col min="7" max="7" width="12.6640625" style="37" customWidth="1"/>
    <col min="8" max="16384" width="8.88671875" style="37"/>
  </cols>
  <sheetData>
    <row r="1" spans="1:7" ht="19.95" customHeight="1">
      <c r="B1" s="144" t="s">
        <v>657</v>
      </c>
      <c r="G1" s="146"/>
    </row>
    <row r="2" spans="1:7">
      <c r="A2" s="161" t="s">
        <v>650</v>
      </c>
      <c r="B2" s="161" t="s">
        <v>0</v>
      </c>
      <c r="C2" s="161" t="s">
        <v>1</v>
      </c>
      <c r="D2" s="164" t="s">
        <v>602</v>
      </c>
      <c r="E2" s="165"/>
      <c r="F2" s="166"/>
      <c r="G2" s="198" t="s">
        <v>601</v>
      </c>
    </row>
    <row r="3" spans="1:7">
      <c r="A3" s="162"/>
      <c r="B3" s="162"/>
      <c r="C3" s="162"/>
      <c r="D3" s="142" t="s">
        <v>651</v>
      </c>
      <c r="E3" s="142" t="s">
        <v>599</v>
      </c>
      <c r="F3" s="142" t="s">
        <v>600</v>
      </c>
      <c r="G3" s="199"/>
    </row>
    <row r="4" spans="1:7">
      <c r="A4" s="155">
        <f>'法人一覧(26)'!A4</f>
        <v>1</v>
      </c>
      <c r="B4" s="38" t="str">
        <f>'法人一覧(26)'!B4</f>
        <v>内閣府</v>
      </c>
      <c r="C4" s="38" t="str">
        <f>'法人一覧(26)'!C4</f>
        <v>国立公文書館</v>
      </c>
      <c r="D4" s="142">
        <v>2</v>
      </c>
      <c r="E4" s="142">
        <v>2</v>
      </c>
      <c r="F4" s="142">
        <f>SUM(D4:E4)</f>
        <v>4</v>
      </c>
      <c r="G4" s="147">
        <v>46</v>
      </c>
    </row>
    <row r="5" spans="1:7">
      <c r="A5" s="155">
        <f>'法人一覧(26)'!A5</f>
        <v>2</v>
      </c>
      <c r="B5" s="38" t="str">
        <f>'法人一覧(26)'!B5</f>
        <v>内閣府</v>
      </c>
      <c r="C5" s="38" t="str">
        <f>'法人一覧(26)'!C5</f>
        <v>北方領土問題対策協会</v>
      </c>
      <c r="D5" s="142">
        <v>7</v>
      </c>
      <c r="E5" s="142">
        <v>2</v>
      </c>
      <c r="F5" s="142">
        <f t="shared" ref="F5:F37" si="0">SUM(D5:E5)</f>
        <v>9</v>
      </c>
      <c r="G5" s="147">
        <v>17</v>
      </c>
    </row>
    <row r="6" spans="1:7">
      <c r="A6" s="155">
        <f>'法人一覧(26)'!A6</f>
        <v>3</v>
      </c>
      <c r="B6" s="38" t="str">
        <f>'法人一覧(26)'!B6</f>
        <v>消費者庁</v>
      </c>
      <c r="C6" s="38" t="str">
        <f>'法人一覧(26)'!C6</f>
        <v>国民生活センター</v>
      </c>
      <c r="D6" s="142">
        <v>5</v>
      </c>
      <c r="E6" s="142">
        <v>2</v>
      </c>
      <c r="F6" s="142">
        <f t="shared" si="0"/>
        <v>7</v>
      </c>
      <c r="G6" s="147">
        <v>122</v>
      </c>
    </row>
    <row r="7" spans="1:7">
      <c r="A7" s="155">
        <f>'法人一覧(26)'!A7</f>
        <v>4</v>
      </c>
      <c r="B7" s="38" t="str">
        <f>'法人一覧(26)'!B7</f>
        <v>総務省</v>
      </c>
      <c r="C7" s="38" t="str">
        <f>'法人一覧(26)'!C7</f>
        <v>情報通信研究機構</v>
      </c>
      <c r="D7" s="80">
        <v>6</v>
      </c>
      <c r="E7" s="80">
        <v>2</v>
      </c>
      <c r="F7" s="142">
        <f t="shared" si="0"/>
        <v>8</v>
      </c>
      <c r="G7" s="147">
        <v>418</v>
      </c>
    </row>
    <row r="8" spans="1:7">
      <c r="A8" s="155">
        <f>'法人一覧(26)'!A8</f>
        <v>5</v>
      </c>
      <c r="B8" s="38" t="str">
        <f>'法人一覧(26)'!B8</f>
        <v>総務省</v>
      </c>
      <c r="C8" s="38" t="str">
        <f>'法人一覧(26)'!C8</f>
        <v>統計センター</v>
      </c>
      <c r="D8" s="80">
        <v>4</v>
      </c>
      <c r="E8" s="81">
        <v>2</v>
      </c>
      <c r="F8" s="142">
        <f t="shared" si="0"/>
        <v>6</v>
      </c>
      <c r="G8" s="147">
        <v>727</v>
      </c>
    </row>
    <row r="9" spans="1:7">
      <c r="A9" s="155">
        <f>'法人一覧(26)'!A9</f>
        <v>6</v>
      </c>
      <c r="B9" s="38" t="str">
        <f>'法人一覧(26)'!B9</f>
        <v>総務省</v>
      </c>
      <c r="C9" s="38" t="str">
        <f>'法人一覧(26)'!C9</f>
        <v>郵便貯金・簡易生命保険管理機構</v>
      </c>
      <c r="D9" s="80">
        <v>2</v>
      </c>
      <c r="E9" s="80">
        <v>2</v>
      </c>
      <c r="F9" s="142">
        <f t="shared" si="0"/>
        <v>4</v>
      </c>
      <c r="G9" s="147">
        <v>38</v>
      </c>
    </row>
    <row r="10" spans="1:7">
      <c r="A10" s="155">
        <f>'法人一覧(26)'!A10</f>
        <v>7</v>
      </c>
      <c r="B10" s="38" t="str">
        <f>'法人一覧(26)'!B10</f>
        <v>外務省</v>
      </c>
      <c r="C10" s="38" t="str">
        <f>'法人一覧(26)'!C10</f>
        <v>国際協力機構</v>
      </c>
      <c r="D10" s="142">
        <v>9</v>
      </c>
      <c r="E10" s="142">
        <v>3</v>
      </c>
      <c r="F10" s="142">
        <f t="shared" si="0"/>
        <v>12</v>
      </c>
      <c r="G10" s="147">
        <v>1845</v>
      </c>
    </row>
    <row r="11" spans="1:7">
      <c r="A11" s="155">
        <f>'法人一覧(26)'!A11</f>
        <v>8</v>
      </c>
      <c r="B11" s="38" t="str">
        <f>'法人一覧(26)'!B11</f>
        <v>外務省</v>
      </c>
      <c r="C11" s="38" t="str">
        <f>'法人一覧(26)'!C11</f>
        <v>国際交流基金</v>
      </c>
      <c r="D11" s="142">
        <v>4</v>
      </c>
      <c r="E11" s="142">
        <v>2</v>
      </c>
      <c r="F11" s="142">
        <f t="shared" si="0"/>
        <v>6</v>
      </c>
      <c r="G11" s="147">
        <v>232</v>
      </c>
    </row>
    <row r="12" spans="1:7">
      <c r="A12" s="155">
        <f>'法人一覧(26)'!A12</f>
        <v>9</v>
      </c>
      <c r="B12" s="38" t="str">
        <f>'法人一覧(26)'!B12</f>
        <v>財務省</v>
      </c>
      <c r="C12" s="38" t="str">
        <f>'法人一覧(26)'!C12</f>
        <v>酒類総合研究所</v>
      </c>
      <c r="D12" s="143">
        <v>2</v>
      </c>
      <c r="E12" s="143">
        <v>2</v>
      </c>
      <c r="F12" s="142">
        <f t="shared" si="0"/>
        <v>4</v>
      </c>
      <c r="G12" s="147">
        <v>43</v>
      </c>
    </row>
    <row r="13" spans="1:7">
      <c r="A13" s="155">
        <f>'法人一覧(26)'!A13</f>
        <v>10</v>
      </c>
      <c r="B13" s="38" t="str">
        <f>'法人一覧(26)'!B13</f>
        <v>財務省</v>
      </c>
      <c r="C13" s="38" t="str">
        <f>'法人一覧(26)'!C13</f>
        <v>造幣局</v>
      </c>
      <c r="D13" s="143">
        <v>4</v>
      </c>
      <c r="E13" s="143">
        <v>2</v>
      </c>
      <c r="F13" s="142">
        <f t="shared" si="0"/>
        <v>6</v>
      </c>
      <c r="G13" s="147">
        <v>904</v>
      </c>
    </row>
    <row r="14" spans="1:7">
      <c r="A14" s="155">
        <f>'法人一覧(26)'!A14</f>
        <v>11</v>
      </c>
      <c r="B14" s="38" t="str">
        <f>'法人一覧(26)'!B14</f>
        <v>財務省</v>
      </c>
      <c r="C14" s="38" t="str">
        <f>'法人一覧(26)'!C14</f>
        <v>国立印刷局</v>
      </c>
      <c r="D14" s="142">
        <v>5</v>
      </c>
      <c r="E14" s="142">
        <v>2</v>
      </c>
      <c r="F14" s="142">
        <f t="shared" si="0"/>
        <v>7</v>
      </c>
      <c r="G14" s="147">
        <v>4285</v>
      </c>
    </row>
    <row r="15" spans="1:7">
      <c r="A15" s="155">
        <f>'法人一覧(26)'!A15</f>
        <v>12</v>
      </c>
      <c r="B15" s="38" t="str">
        <f>'法人一覧(26)'!B15</f>
        <v>文部科学省</v>
      </c>
      <c r="C15" s="38" t="str">
        <f>'法人一覧(26)'!C15</f>
        <v>国立特別支援教育総合研究所</v>
      </c>
      <c r="D15" s="60">
        <v>2</v>
      </c>
      <c r="E15" s="60">
        <v>2</v>
      </c>
      <c r="F15" s="142">
        <f t="shared" si="0"/>
        <v>4</v>
      </c>
      <c r="G15" s="147">
        <v>65</v>
      </c>
    </row>
    <row r="16" spans="1:7">
      <c r="A16" s="155">
        <f>'法人一覧(26)'!A16</f>
        <v>13</v>
      </c>
      <c r="B16" s="38" t="str">
        <f>'法人一覧(26)'!B16</f>
        <v>文部科学省</v>
      </c>
      <c r="C16" s="38" t="str">
        <f>'法人一覧(26)'!C16</f>
        <v>大学入試センター</v>
      </c>
      <c r="D16" s="60">
        <v>2</v>
      </c>
      <c r="E16" s="60">
        <v>2</v>
      </c>
      <c r="F16" s="142">
        <f t="shared" si="0"/>
        <v>4</v>
      </c>
      <c r="G16" s="147">
        <v>93</v>
      </c>
    </row>
    <row r="17" spans="1:7">
      <c r="A17" s="155">
        <f>'法人一覧(26)'!A17</f>
        <v>14</v>
      </c>
      <c r="B17" s="38" t="str">
        <f>'法人一覧(26)'!B17</f>
        <v>文部科学省</v>
      </c>
      <c r="C17" s="38" t="str">
        <f>'法人一覧(26)'!C17</f>
        <v>国立青少年教育振興機構</v>
      </c>
      <c r="D17" s="88">
        <v>6</v>
      </c>
      <c r="E17" s="88">
        <v>2</v>
      </c>
      <c r="F17" s="142">
        <f t="shared" si="0"/>
        <v>8</v>
      </c>
      <c r="G17" s="147">
        <v>506</v>
      </c>
    </row>
    <row r="18" spans="1:7">
      <c r="A18" s="155">
        <f>'法人一覧(26)'!A18</f>
        <v>15</v>
      </c>
      <c r="B18" s="38" t="str">
        <f>'法人一覧(26)'!B18</f>
        <v>文部科学省</v>
      </c>
      <c r="C18" s="38" t="str">
        <f>'法人一覧(26)'!C18</f>
        <v>国立女性教育会館</v>
      </c>
      <c r="D18" s="88">
        <v>2</v>
      </c>
      <c r="E18" s="88">
        <v>2</v>
      </c>
      <c r="F18" s="142">
        <f t="shared" si="0"/>
        <v>4</v>
      </c>
      <c r="G18" s="147">
        <v>23</v>
      </c>
    </row>
    <row r="19" spans="1:7">
      <c r="A19" s="155">
        <f>'法人一覧(26)'!A19</f>
        <v>16</v>
      </c>
      <c r="B19" s="38" t="str">
        <f>'法人一覧(26)'!B19</f>
        <v>文部科学省</v>
      </c>
      <c r="C19" s="38" t="str">
        <f>'法人一覧(26)'!C19</f>
        <v>国立科学博物館</v>
      </c>
      <c r="D19" s="100">
        <v>2</v>
      </c>
      <c r="E19" s="100">
        <v>2</v>
      </c>
      <c r="F19" s="142">
        <f t="shared" si="0"/>
        <v>4</v>
      </c>
      <c r="G19" s="147">
        <v>127</v>
      </c>
    </row>
    <row r="20" spans="1:7">
      <c r="A20" s="155">
        <f>'法人一覧(26)'!A20</f>
        <v>17</v>
      </c>
      <c r="B20" s="38" t="str">
        <f>'法人一覧(26)'!B20</f>
        <v>文部科学省</v>
      </c>
      <c r="C20" s="38" t="str">
        <f>'法人一覧(26)'!C20</f>
        <v>物質・材料研究機構</v>
      </c>
      <c r="D20" s="60">
        <v>3</v>
      </c>
      <c r="E20" s="60">
        <v>2</v>
      </c>
      <c r="F20" s="142">
        <f t="shared" si="0"/>
        <v>5</v>
      </c>
      <c r="G20" s="147">
        <v>551</v>
      </c>
    </row>
    <row r="21" spans="1:7">
      <c r="A21" s="155">
        <f>'法人一覧(26)'!A21</f>
        <v>18</v>
      </c>
      <c r="B21" s="38" t="str">
        <f>'法人一覧(26)'!B21</f>
        <v>文部科学省</v>
      </c>
      <c r="C21" s="38" t="str">
        <f>'法人一覧(26)'!C21</f>
        <v>防災科学技術研究所</v>
      </c>
      <c r="D21" s="60">
        <v>2</v>
      </c>
      <c r="E21" s="60">
        <v>2</v>
      </c>
      <c r="F21" s="142">
        <f t="shared" si="0"/>
        <v>4</v>
      </c>
      <c r="G21" s="147">
        <v>211</v>
      </c>
    </row>
    <row r="22" spans="1:7">
      <c r="A22" s="155">
        <f>'法人一覧(26)'!A22</f>
        <v>19</v>
      </c>
      <c r="B22" s="38" t="str">
        <f>'法人一覧(26)'!B22</f>
        <v>文部科学省</v>
      </c>
      <c r="C22" s="38" t="str">
        <f>'法人一覧(26)'!C22</f>
        <v>放射線医学総合研究所</v>
      </c>
      <c r="D22" s="60">
        <v>3</v>
      </c>
      <c r="E22" s="60">
        <v>3</v>
      </c>
      <c r="F22" s="142">
        <f t="shared" si="0"/>
        <v>6</v>
      </c>
      <c r="G22" s="147">
        <v>455</v>
      </c>
    </row>
    <row r="23" spans="1:7">
      <c r="A23" s="155">
        <f>'法人一覧(26)'!A23</f>
        <v>20</v>
      </c>
      <c r="B23" s="38" t="str">
        <f>'法人一覧(26)'!B23</f>
        <v>文部科学省</v>
      </c>
      <c r="C23" s="38" t="str">
        <f>'法人一覧(26)'!C23</f>
        <v>国立美術館</v>
      </c>
      <c r="D23" s="100">
        <v>4</v>
      </c>
      <c r="E23" s="100">
        <v>2</v>
      </c>
      <c r="F23" s="142">
        <f t="shared" si="0"/>
        <v>6</v>
      </c>
      <c r="G23" s="147">
        <v>102</v>
      </c>
    </row>
    <row r="24" spans="1:7">
      <c r="A24" s="155">
        <f>'法人一覧(26)'!A24</f>
        <v>21</v>
      </c>
      <c r="B24" s="38" t="str">
        <f>'法人一覧(26)'!B24</f>
        <v>文部科学省</v>
      </c>
      <c r="C24" s="38" t="str">
        <f>'法人一覧(26)'!C24</f>
        <v>国立文化財機構</v>
      </c>
      <c r="D24" s="100">
        <v>4</v>
      </c>
      <c r="E24" s="100">
        <v>2</v>
      </c>
      <c r="F24" s="142">
        <f t="shared" si="0"/>
        <v>6</v>
      </c>
      <c r="G24" s="147">
        <v>332</v>
      </c>
    </row>
    <row r="25" spans="1:7">
      <c r="A25" s="155">
        <f>'法人一覧(26)'!A25</f>
        <v>22</v>
      </c>
      <c r="B25" s="38" t="str">
        <f>'法人一覧(26)'!B25</f>
        <v>文部科学省</v>
      </c>
      <c r="C25" s="38" t="str">
        <f>'法人一覧(26)'!C25</f>
        <v>教員研修センター</v>
      </c>
      <c r="D25" s="60">
        <v>2</v>
      </c>
      <c r="E25" s="60">
        <v>2</v>
      </c>
      <c r="F25" s="142">
        <f t="shared" si="0"/>
        <v>4</v>
      </c>
      <c r="G25" s="147">
        <v>39</v>
      </c>
    </row>
    <row r="26" spans="1:7">
      <c r="A26" s="155">
        <f>'法人一覧(26)'!A26</f>
        <v>23</v>
      </c>
      <c r="B26" s="38" t="str">
        <f>'法人一覧(26)'!B26</f>
        <v>文部科学省</v>
      </c>
      <c r="C26" s="38" t="str">
        <f>'法人一覧(26)'!C26</f>
        <v>科学技術振興機構</v>
      </c>
      <c r="D26" s="88">
        <v>5</v>
      </c>
      <c r="E26" s="88">
        <v>2</v>
      </c>
      <c r="F26" s="142">
        <f t="shared" si="0"/>
        <v>7</v>
      </c>
      <c r="G26" s="147">
        <v>1308</v>
      </c>
    </row>
    <row r="27" spans="1:7">
      <c r="A27" s="155">
        <f>'法人一覧(26)'!A27</f>
        <v>24</v>
      </c>
      <c r="B27" s="38" t="str">
        <f>'法人一覧(26)'!B27</f>
        <v>文部科学省</v>
      </c>
      <c r="C27" s="38" t="str">
        <f>'法人一覧(26)'!C27</f>
        <v>日本学術振興会</v>
      </c>
      <c r="D27" s="88">
        <v>3</v>
      </c>
      <c r="E27" s="60">
        <v>2</v>
      </c>
      <c r="F27" s="142">
        <f t="shared" si="0"/>
        <v>5</v>
      </c>
      <c r="G27" s="147">
        <v>145</v>
      </c>
    </row>
    <row r="28" spans="1:7">
      <c r="A28" s="155">
        <f>'法人一覧(26)'!A28</f>
        <v>25</v>
      </c>
      <c r="B28" s="38" t="str">
        <f>'法人一覧(26)'!B28</f>
        <v>文部科学省</v>
      </c>
      <c r="C28" s="38" t="str">
        <f>'法人一覧(26)'!C28</f>
        <v>理化学研究所</v>
      </c>
      <c r="D28" s="60">
        <v>6</v>
      </c>
      <c r="E28" s="60">
        <v>2</v>
      </c>
      <c r="F28" s="142">
        <f t="shared" si="0"/>
        <v>8</v>
      </c>
      <c r="G28" s="147">
        <v>3520</v>
      </c>
    </row>
    <row r="29" spans="1:7">
      <c r="A29" s="155">
        <f>'法人一覧(26)'!A29</f>
        <v>26</v>
      </c>
      <c r="B29" s="38" t="str">
        <f>'法人一覧(26)'!B29</f>
        <v>文部科学省</v>
      </c>
      <c r="C29" s="38" t="str">
        <f>'法人一覧(26)'!C29</f>
        <v>宇宙航空研究開発機構</v>
      </c>
      <c r="D29" s="60">
        <v>9</v>
      </c>
      <c r="E29" s="60">
        <v>2</v>
      </c>
      <c r="F29" s="142">
        <f t="shared" si="0"/>
        <v>11</v>
      </c>
      <c r="G29" s="147">
        <v>2235</v>
      </c>
    </row>
    <row r="30" spans="1:7">
      <c r="A30" s="155">
        <f>'法人一覧(26)'!A30</f>
        <v>27</v>
      </c>
      <c r="B30" s="38" t="str">
        <f>'法人一覧(26)'!B30</f>
        <v>文部科学省</v>
      </c>
      <c r="C30" s="38" t="str">
        <f>'法人一覧(26)'!C30</f>
        <v>日本スポーツ振興センター</v>
      </c>
      <c r="D30" s="60">
        <v>5</v>
      </c>
      <c r="E30" s="60">
        <v>2</v>
      </c>
      <c r="F30" s="142">
        <f t="shared" si="0"/>
        <v>7</v>
      </c>
      <c r="G30" s="147">
        <v>357</v>
      </c>
    </row>
    <row r="31" spans="1:7">
      <c r="A31" s="155">
        <f>'法人一覧(26)'!A31</f>
        <v>28</v>
      </c>
      <c r="B31" s="38" t="str">
        <f>'法人一覧(26)'!B31</f>
        <v>文部科学省</v>
      </c>
      <c r="C31" s="38" t="str">
        <f>'法人一覧(26)'!C31</f>
        <v>日本芸術文化振興会</v>
      </c>
      <c r="D31" s="60">
        <v>4</v>
      </c>
      <c r="E31" s="60">
        <v>2</v>
      </c>
      <c r="F31" s="142">
        <f t="shared" si="0"/>
        <v>6</v>
      </c>
      <c r="G31" s="147">
        <v>289</v>
      </c>
    </row>
    <row r="32" spans="1:7">
      <c r="A32" s="155">
        <f>'法人一覧(26)'!A32</f>
        <v>29</v>
      </c>
      <c r="B32" s="38" t="str">
        <f>'法人一覧(26)'!B32</f>
        <v>文部科学省</v>
      </c>
      <c r="C32" s="38" t="str">
        <f>'法人一覧(26)'!C32</f>
        <v>日本学生支援機構</v>
      </c>
      <c r="D32" s="88">
        <v>5</v>
      </c>
      <c r="E32" s="88">
        <v>2</v>
      </c>
      <c r="F32" s="142">
        <f t="shared" si="0"/>
        <v>7</v>
      </c>
      <c r="G32" s="147">
        <v>483</v>
      </c>
    </row>
    <row r="33" spans="1:7">
      <c r="A33" s="155">
        <f>'法人一覧(26)'!A33</f>
        <v>30</v>
      </c>
      <c r="B33" s="38" t="str">
        <f>'法人一覧(26)'!B33</f>
        <v>文部科学省</v>
      </c>
      <c r="C33" s="38" t="str">
        <f>'法人一覧(26)'!C33</f>
        <v>海洋研究開発機構</v>
      </c>
      <c r="D33" s="60">
        <v>4</v>
      </c>
      <c r="E33" s="60">
        <v>2</v>
      </c>
      <c r="F33" s="142">
        <f t="shared" si="0"/>
        <v>6</v>
      </c>
      <c r="G33" s="147">
        <v>1075</v>
      </c>
    </row>
    <row r="34" spans="1:7">
      <c r="A34" s="155">
        <f>'法人一覧(26)'!A34</f>
        <v>31</v>
      </c>
      <c r="B34" s="38" t="str">
        <f>'法人一覧(26)'!B34</f>
        <v>文部科学省</v>
      </c>
      <c r="C34" s="38" t="str">
        <f>'法人一覧(26)'!C34</f>
        <v>国立高等専門学校機構</v>
      </c>
      <c r="D34" s="88">
        <v>7</v>
      </c>
      <c r="E34" s="88">
        <v>2</v>
      </c>
      <c r="F34" s="142">
        <f t="shared" si="0"/>
        <v>9</v>
      </c>
      <c r="G34" s="147">
        <v>6304</v>
      </c>
    </row>
    <row r="35" spans="1:7">
      <c r="A35" s="155">
        <f>'法人一覧(26)'!A35</f>
        <v>32</v>
      </c>
      <c r="B35" s="38" t="str">
        <f>'法人一覧(26)'!B35</f>
        <v>文部科学省</v>
      </c>
      <c r="C35" s="38" t="str">
        <f>'法人一覧(26)'!C35</f>
        <v>大学評価・学位授与機構</v>
      </c>
      <c r="D35" s="60">
        <v>3</v>
      </c>
      <c r="E35" s="60">
        <v>2</v>
      </c>
      <c r="F35" s="142">
        <f t="shared" si="0"/>
        <v>5</v>
      </c>
      <c r="G35" s="147">
        <v>132</v>
      </c>
    </row>
    <row r="36" spans="1:7">
      <c r="A36" s="155">
        <f>'法人一覧(26)'!A36</f>
        <v>33</v>
      </c>
      <c r="B36" s="38" t="str">
        <f>'法人一覧(26)'!B36</f>
        <v>文部科学省</v>
      </c>
      <c r="C36" s="38" t="str">
        <f>'法人一覧(26)'!C36</f>
        <v>国立大学財務・経営センター</v>
      </c>
      <c r="D36" s="60">
        <v>2</v>
      </c>
      <c r="E36" s="60">
        <v>2</v>
      </c>
      <c r="F36" s="142">
        <f t="shared" si="0"/>
        <v>4</v>
      </c>
      <c r="G36" s="147">
        <v>18</v>
      </c>
    </row>
    <row r="37" spans="1:7">
      <c r="A37" s="155">
        <f>'法人一覧(26)'!A37</f>
        <v>34</v>
      </c>
      <c r="B37" s="38" t="str">
        <f>'法人一覧(26)'!B37</f>
        <v>文部科学省</v>
      </c>
      <c r="C37" s="38" t="str">
        <f>'法人一覧(26)'!C37</f>
        <v>日本原子力研究開発機構</v>
      </c>
      <c r="D37" s="60">
        <v>9</v>
      </c>
      <c r="E37" s="60">
        <v>2</v>
      </c>
      <c r="F37" s="142">
        <f t="shared" si="0"/>
        <v>11</v>
      </c>
      <c r="G37" s="147">
        <v>3741</v>
      </c>
    </row>
    <row r="38" spans="1:7">
      <c r="A38" s="155">
        <f>'法人一覧(26)'!A38</f>
        <v>35</v>
      </c>
      <c r="B38" s="38" t="str">
        <f>'法人一覧(26)'!B38</f>
        <v>厚生労働省</v>
      </c>
      <c r="C38" s="38" t="str">
        <f>'法人一覧(26)'!C38</f>
        <v>国立健康・栄養研究所</v>
      </c>
      <c r="D38" s="60">
        <v>2</v>
      </c>
      <c r="E38" s="88">
        <v>2</v>
      </c>
      <c r="F38" s="142">
        <f t="shared" ref="F38:F69" si="1">SUM(D38:E38)</f>
        <v>4</v>
      </c>
      <c r="G38" s="147">
        <v>42</v>
      </c>
    </row>
    <row r="39" spans="1:7">
      <c r="A39" s="155">
        <f>'法人一覧(26)'!A39</f>
        <v>36</v>
      </c>
      <c r="B39" s="38" t="str">
        <f>'法人一覧(26)'!B39</f>
        <v>厚生労働省</v>
      </c>
      <c r="C39" s="38" t="str">
        <f>'法人一覧(26)'!C39</f>
        <v>労働安全衛生総合研究所</v>
      </c>
      <c r="D39" s="60">
        <v>3</v>
      </c>
      <c r="E39" s="60">
        <v>2</v>
      </c>
      <c r="F39" s="142">
        <f t="shared" si="1"/>
        <v>5</v>
      </c>
      <c r="G39" s="147">
        <v>99</v>
      </c>
    </row>
    <row r="40" spans="1:7">
      <c r="A40" s="155">
        <f>'法人一覧(26)'!A40</f>
        <v>37</v>
      </c>
      <c r="B40" s="38" t="str">
        <f>'法人一覧(26)'!B40</f>
        <v>厚生労働省</v>
      </c>
      <c r="C40" s="38" t="str">
        <f>'法人一覧(26)'!C40</f>
        <v>勤労者退職金共済機構</v>
      </c>
      <c r="D40" s="60">
        <v>4</v>
      </c>
      <c r="E40" s="60">
        <v>2</v>
      </c>
      <c r="F40" s="142">
        <f t="shared" si="1"/>
        <v>6</v>
      </c>
      <c r="G40" s="147">
        <v>268</v>
      </c>
    </row>
    <row r="41" spans="1:7">
      <c r="A41" s="155">
        <f>'法人一覧(26)'!A41</f>
        <v>38</v>
      </c>
      <c r="B41" s="38" t="str">
        <f>'法人一覧(26)'!B41</f>
        <v>厚生労働省</v>
      </c>
      <c r="C41" s="38" t="str">
        <f>'法人一覧(26)'!C41</f>
        <v>高齢・障害・求職者雇用支援機構</v>
      </c>
      <c r="D41" s="60">
        <v>6</v>
      </c>
      <c r="E41" s="88">
        <v>2</v>
      </c>
      <c r="F41" s="142">
        <f t="shared" si="1"/>
        <v>8</v>
      </c>
      <c r="G41" s="147">
        <v>3658</v>
      </c>
    </row>
    <row r="42" spans="1:7">
      <c r="A42" s="155">
        <f>'法人一覧(26)'!A42</f>
        <v>39</v>
      </c>
      <c r="B42" s="38" t="str">
        <f>'法人一覧(26)'!B42</f>
        <v>厚生労働省</v>
      </c>
      <c r="C42" s="38" t="str">
        <f>'法人一覧(26)'!C42</f>
        <v>福祉医療機構</v>
      </c>
      <c r="D42" s="60">
        <v>4</v>
      </c>
      <c r="E42" s="60">
        <v>2</v>
      </c>
      <c r="F42" s="142">
        <f t="shared" si="1"/>
        <v>6</v>
      </c>
      <c r="G42" s="147">
        <v>259</v>
      </c>
    </row>
    <row r="43" spans="1:7">
      <c r="A43" s="155">
        <f>'法人一覧(26)'!A43</f>
        <v>40</v>
      </c>
      <c r="B43" s="38" t="str">
        <f>'法人一覧(26)'!B43</f>
        <v>厚生労働省</v>
      </c>
      <c r="C43" s="38" t="str">
        <f>'法人一覧(26)'!C43</f>
        <v>国立重度知的障害者総合施設のぞみの園</v>
      </c>
      <c r="D43" s="60">
        <v>4</v>
      </c>
      <c r="E43" s="60">
        <v>2</v>
      </c>
      <c r="F43" s="142">
        <f t="shared" si="1"/>
        <v>6</v>
      </c>
      <c r="G43" s="147">
        <v>206</v>
      </c>
    </row>
    <row r="44" spans="1:7">
      <c r="A44" s="155">
        <f>'法人一覧(26)'!A44</f>
        <v>41</v>
      </c>
      <c r="B44" s="38" t="str">
        <f>'法人一覧(26)'!B44</f>
        <v>厚生労働省</v>
      </c>
      <c r="C44" s="38" t="str">
        <f>'法人一覧(26)'!C44</f>
        <v>労働政策研究・研修機構</v>
      </c>
      <c r="D44" s="60">
        <v>3</v>
      </c>
      <c r="E44" s="88">
        <v>2</v>
      </c>
      <c r="F44" s="142">
        <f t="shared" si="1"/>
        <v>5</v>
      </c>
      <c r="G44" s="147">
        <v>109</v>
      </c>
    </row>
    <row r="45" spans="1:7">
      <c r="A45" s="155">
        <f>'法人一覧(26)'!A45</f>
        <v>42</v>
      </c>
      <c r="B45" s="38" t="str">
        <f>'法人一覧(26)'!B45</f>
        <v>厚生労働省</v>
      </c>
      <c r="C45" s="38" t="str">
        <f>'法人一覧(26)'!C45</f>
        <v>労働者健康福祉機構</v>
      </c>
      <c r="D45" s="60">
        <v>5</v>
      </c>
      <c r="E45" s="88">
        <v>2</v>
      </c>
      <c r="F45" s="142">
        <f t="shared" si="1"/>
        <v>7</v>
      </c>
      <c r="G45" s="147">
        <v>15158</v>
      </c>
    </row>
    <row r="46" spans="1:7">
      <c r="A46" s="155">
        <f>'法人一覧(26)'!A46</f>
        <v>43</v>
      </c>
      <c r="B46" s="38" t="str">
        <f>'法人一覧(26)'!B46</f>
        <v>厚生労働省</v>
      </c>
      <c r="C46" s="38" t="str">
        <f>'法人一覧(26)'!C46</f>
        <v>国立病院機構</v>
      </c>
      <c r="D46" s="60">
        <v>13</v>
      </c>
      <c r="E46" s="60">
        <v>2</v>
      </c>
      <c r="F46" s="142">
        <f t="shared" si="1"/>
        <v>15</v>
      </c>
      <c r="G46" s="147">
        <v>59349</v>
      </c>
    </row>
    <row r="47" spans="1:7">
      <c r="A47" s="155">
        <f>'法人一覧(26)'!A47</f>
        <v>44</v>
      </c>
      <c r="B47" s="38" t="str">
        <f>'法人一覧(26)'!B47</f>
        <v>厚生労働省</v>
      </c>
      <c r="C47" s="38" t="str">
        <f>'法人一覧(26)'!C47</f>
        <v>医薬品医療機器総合機構</v>
      </c>
      <c r="D47" s="60">
        <v>4</v>
      </c>
      <c r="E47" s="60">
        <v>2</v>
      </c>
      <c r="F47" s="142">
        <f t="shared" si="1"/>
        <v>6</v>
      </c>
      <c r="G47" s="147">
        <v>748</v>
      </c>
    </row>
    <row r="48" spans="1:7">
      <c r="A48" s="155">
        <f>'法人一覧(26)'!A48</f>
        <v>45</v>
      </c>
      <c r="B48" s="38" t="str">
        <f>'法人一覧(26)'!B48</f>
        <v>厚生労働省</v>
      </c>
      <c r="C48" s="38" t="str">
        <f>'法人一覧(26)'!C48</f>
        <v>医薬基盤研究所</v>
      </c>
      <c r="D48" s="60">
        <v>2</v>
      </c>
      <c r="E48" s="60">
        <v>2</v>
      </c>
      <c r="F48" s="60">
        <f t="shared" si="1"/>
        <v>4</v>
      </c>
      <c r="G48" s="148">
        <v>94</v>
      </c>
    </row>
    <row r="49" spans="1:7">
      <c r="A49" s="155">
        <f>'法人一覧(26)'!A49</f>
        <v>46</v>
      </c>
      <c r="B49" s="38" t="str">
        <f>'法人一覧(26)'!B49</f>
        <v>厚生労働省</v>
      </c>
      <c r="C49" s="38" t="str">
        <f>'法人一覧(26)'!C49</f>
        <v>地域医療機能推進機構</v>
      </c>
      <c r="D49" s="60">
        <v>10</v>
      </c>
      <c r="E49" s="60">
        <v>2</v>
      </c>
      <c r="F49" s="142">
        <f t="shared" si="1"/>
        <v>12</v>
      </c>
      <c r="G49" s="147">
        <v>24972</v>
      </c>
    </row>
    <row r="50" spans="1:7">
      <c r="A50" s="155">
        <f>'法人一覧(26)'!A50</f>
        <v>47</v>
      </c>
      <c r="B50" s="38" t="str">
        <f>'法人一覧(26)'!B50</f>
        <v>厚生労働省</v>
      </c>
      <c r="C50" s="38" t="str">
        <f>'法人一覧(26)'!C50</f>
        <v>年金積立金管理運用</v>
      </c>
      <c r="D50" s="60">
        <v>2</v>
      </c>
      <c r="E50" s="60">
        <v>2</v>
      </c>
      <c r="F50" s="142">
        <f t="shared" si="1"/>
        <v>4</v>
      </c>
      <c r="G50" s="147">
        <v>79</v>
      </c>
    </row>
    <row r="51" spans="1:7">
      <c r="A51" s="155">
        <f>'法人一覧(26)'!A51</f>
        <v>48</v>
      </c>
      <c r="B51" s="38" t="str">
        <f>'法人一覧(26)'!B51</f>
        <v>厚生労働省</v>
      </c>
      <c r="C51" s="38" t="str">
        <f>'法人一覧(26)'!C51</f>
        <v>国立がん研究センター</v>
      </c>
      <c r="D51" s="60">
        <v>6</v>
      </c>
      <c r="E51" s="60">
        <v>2</v>
      </c>
      <c r="F51" s="142">
        <f t="shared" si="1"/>
        <v>8</v>
      </c>
      <c r="G51" s="147">
        <v>1789</v>
      </c>
    </row>
    <row r="52" spans="1:7">
      <c r="A52" s="155">
        <f>'法人一覧(26)'!A52</f>
        <v>49</v>
      </c>
      <c r="B52" s="38" t="str">
        <f>'法人一覧(26)'!B52</f>
        <v>厚生労働省</v>
      </c>
      <c r="C52" s="38" t="str">
        <f>'法人一覧(26)'!C52</f>
        <v>国立循環器病研究センター</v>
      </c>
      <c r="D52" s="60">
        <v>4</v>
      </c>
      <c r="E52" s="60">
        <v>2</v>
      </c>
      <c r="F52" s="60">
        <f t="shared" si="1"/>
        <v>6</v>
      </c>
      <c r="G52" s="147">
        <v>1150</v>
      </c>
    </row>
    <row r="53" spans="1:7">
      <c r="A53" s="155">
        <f>'法人一覧(26)'!A53</f>
        <v>50</v>
      </c>
      <c r="B53" s="38" t="str">
        <f>'法人一覧(26)'!B53</f>
        <v>厚生労働省</v>
      </c>
      <c r="C53" s="38" t="str">
        <f>'法人一覧(26)'!C53</f>
        <v>国立精神・神経医療研究センター</v>
      </c>
      <c r="D53" s="60">
        <v>5</v>
      </c>
      <c r="E53" s="60">
        <v>2</v>
      </c>
      <c r="F53" s="60">
        <f t="shared" si="1"/>
        <v>7</v>
      </c>
      <c r="G53" s="147">
        <v>742</v>
      </c>
    </row>
    <row r="54" spans="1:7">
      <c r="A54" s="155">
        <f>'法人一覧(26)'!A54</f>
        <v>51</v>
      </c>
      <c r="B54" s="38" t="str">
        <f>'法人一覧(26)'!B54</f>
        <v>厚生労働省</v>
      </c>
      <c r="C54" s="38" t="str">
        <f>'法人一覧(26)'!C54</f>
        <v>国立国際医療研究センター</v>
      </c>
      <c r="D54" s="60">
        <v>7</v>
      </c>
      <c r="E54" s="60">
        <v>2</v>
      </c>
      <c r="F54" s="142">
        <f t="shared" si="1"/>
        <v>9</v>
      </c>
      <c r="G54" s="147">
        <v>1698</v>
      </c>
    </row>
    <row r="55" spans="1:7">
      <c r="A55" s="155">
        <f>'法人一覧(26)'!A55</f>
        <v>52</v>
      </c>
      <c r="B55" s="38" t="str">
        <f>'法人一覧(26)'!B55</f>
        <v>厚生労働省</v>
      </c>
      <c r="C55" s="38" t="str">
        <f>'法人一覧(26)'!C55</f>
        <v>国立成育医療研究センター</v>
      </c>
      <c r="D55" s="60">
        <v>4</v>
      </c>
      <c r="E55" s="60">
        <v>2</v>
      </c>
      <c r="F55" s="142">
        <f t="shared" si="1"/>
        <v>6</v>
      </c>
      <c r="G55" s="147">
        <v>985</v>
      </c>
    </row>
    <row r="56" spans="1:7">
      <c r="A56" s="155">
        <f>'法人一覧(26)'!A56</f>
        <v>53</v>
      </c>
      <c r="B56" s="38" t="str">
        <f>'法人一覧(26)'!B56</f>
        <v>厚生労働省</v>
      </c>
      <c r="C56" s="38" t="str">
        <f>'法人一覧(26)'!C56</f>
        <v>国立長寿医療研究センター</v>
      </c>
      <c r="D56" s="60">
        <v>3</v>
      </c>
      <c r="E56" s="60">
        <v>2</v>
      </c>
      <c r="F56" s="142">
        <f t="shared" si="1"/>
        <v>5</v>
      </c>
      <c r="G56" s="147">
        <v>514</v>
      </c>
    </row>
    <row r="57" spans="1:7">
      <c r="A57" s="155">
        <f>'法人一覧(26)'!A57</f>
        <v>54</v>
      </c>
      <c r="B57" s="38" t="str">
        <f>'法人一覧(26)'!B57</f>
        <v>農林水産省</v>
      </c>
      <c r="C57" s="38" t="str">
        <f>'法人一覧(26)'!C57</f>
        <v>農林水産消費安全技術センター</v>
      </c>
      <c r="D57" s="142">
        <v>4</v>
      </c>
      <c r="E57" s="142">
        <v>2</v>
      </c>
      <c r="F57" s="142">
        <f t="shared" si="1"/>
        <v>6</v>
      </c>
      <c r="G57" s="147">
        <v>634</v>
      </c>
    </row>
    <row r="58" spans="1:7">
      <c r="A58" s="155">
        <f>'法人一覧(26)'!A58</f>
        <v>55</v>
      </c>
      <c r="B58" s="38" t="str">
        <f>'法人一覧(26)'!B58</f>
        <v>農林水産省</v>
      </c>
      <c r="C58" s="38" t="str">
        <f>'法人一覧(26)'!C58</f>
        <v>種苗管理センター</v>
      </c>
      <c r="D58" s="142">
        <v>3</v>
      </c>
      <c r="E58" s="142">
        <v>2</v>
      </c>
      <c r="F58" s="142">
        <f t="shared" si="1"/>
        <v>5</v>
      </c>
      <c r="G58" s="147">
        <v>294</v>
      </c>
    </row>
    <row r="59" spans="1:7">
      <c r="A59" s="155">
        <f>'法人一覧(26)'!A59</f>
        <v>56</v>
      </c>
      <c r="B59" s="38" t="str">
        <f>'法人一覧(26)'!B59</f>
        <v>農林水産省</v>
      </c>
      <c r="C59" s="38" t="str">
        <f>'法人一覧(26)'!C59</f>
        <v>家畜改良センター</v>
      </c>
      <c r="D59" s="142">
        <v>5</v>
      </c>
      <c r="E59" s="142">
        <v>2</v>
      </c>
      <c r="F59" s="60">
        <f t="shared" si="1"/>
        <v>7</v>
      </c>
      <c r="G59" s="147">
        <v>773</v>
      </c>
    </row>
    <row r="60" spans="1:7">
      <c r="A60" s="155">
        <f>'法人一覧(26)'!A60</f>
        <v>57</v>
      </c>
      <c r="B60" s="38" t="str">
        <f>'法人一覧(26)'!B60</f>
        <v>農林水産省</v>
      </c>
      <c r="C60" s="38" t="str">
        <f>'法人一覧(26)'!C60</f>
        <v>水産大学校</v>
      </c>
      <c r="D60" s="142">
        <v>2</v>
      </c>
      <c r="E60" s="142">
        <v>2</v>
      </c>
      <c r="F60" s="142">
        <f t="shared" si="1"/>
        <v>4</v>
      </c>
      <c r="G60" s="147">
        <v>177</v>
      </c>
    </row>
    <row r="61" spans="1:7">
      <c r="A61" s="155">
        <f>'法人一覧(26)'!A61</f>
        <v>58</v>
      </c>
      <c r="B61" s="38" t="str">
        <f>'法人一覧(26)'!B61</f>
        <v>農林水産省</v>
      </c>
      <c r="C61" s="38" t="str">
        <f>'法人一覧(26)'!C61</f>
        <v>農業・食品産業技術総合研究機構</v>
      </c>
      <c r="D61" s="142">
        <v>12</v>
      </c>
      <c r="E61" s="142">
        <v>3</v>
      </c>
      <c r="F61" s="142">
        <f t="shared" si="1"/>
        <v>15</v>
      </c>
      <c r="G61" s="147">
        <v>2624</v>
      </c>
    </row>
    <row r="62" spans="1:7">
      <c r="A62" s="155">
        <f>'法人一覧(26)'!A62</f>
        <v>59</v>
      </c>
      <c r="B62" s="38" t="str">
        <f>'法人一覧(26)'!B62</f>
        <v>農林水産省</v>
      </c>
      <c r="C62" s="38" t="str">
        <f>'法人一覧(26)'!C62</f>
        <v>農業生物資源研究所</v>
      </c>
      <c r="D62" s="142">
        <v>3</v>
      </c>
      <c r="E62" s="142">
        <v>2</v>
      </c>
      <c r="F62" s="142">
        <f t="shared" si="1"/>
        <v>5</v>
      </c>
      <c r="G62" s="147">
        <v>343</v>
      </c>
    </row>
    <row r="63" spans="1:7">
      <c r="A63" s="155">
        <f>'法人一覧(26)'!A63</f>
        <v>60</v>
      </c>
      <c r="B63" s="38" t="str">
        <f>'法人一覧(26)'!B63</f>
        <v>農林水産省</v>
      </c>
      <c r="C63" s="38" t="str">
        <f>'法人一覧(26)'!C63</f>
        <v>農業環境技術研究所</v>
      </c>
      <c r="D63" s="142">
        <v>2</v>
      </c>
      <c r="E63" s="142">
        <v>2</v>
      </c>
      <c r="F63" s="142">
        <f t="shared" si="1"/>
        <v>4</v>
      </c>
      <c r="G63" s="147">
        <v>165</v>
      </c>
    </row>
    <row r="64" spans="1:7">
      <c r="A64" s="155">
        <f>'法人一覧(26)'!A64</f>
        <v>61</v>
      </c>
      <c r="B64" s="38" t="str">
        <f>'法人一覧(26)'!B64</f>
        <v>農林水産省</v>
      </c>
      <c r="C64" s="38" t="str">
        <f>'法人一覧(26)'!C64</f>
        <v>国際農林水産業研究センター</v>
      </c>
      <c r="D64" s="142">
        <v>2</v>
      </c>
      <c r="E64" s="142">
        <v>2</v>
      </c>
      <c r="F64" s="142">
        <f t="shared" si="1"/>
        <v>4</v>
      </c>
      <c r="G64" s="147">
        <v>175</v>
      </c>
    </row>
    <row r="65" spans="1:7">
      <c r="A65" s="155">
        <f>'法人一覧(26)'!A65</f>
        <v>62</v>
      </c>
      <c r="B65" s="38" t="str">
        <f>'法人一覧(26)'!B65</f>
        <v>農林水産省</v>
      </c>
      <c r="C65" s="38" t="str">
        <f>'法人一覧(26)'!C65</f>
        <v>森林総合研究所</v>
      </c>
      <c r="D65" s="142">
        <v>6</v>
      </c>
      <c r="E65" s="142">
        <v>2</v>
      </c>
      <c r="F65" s="142">
        <f t="shared" si="1"/>
        <v>8</v>
      </c>
      <c r="G65" s="147">
        <v>1058</v>
      </c>
    </row>
    <row r="66" spans="1:7">
      <c r="A66" s="155">
        <f>'法人一覧(26)'!A66</f>
        <v>63</v>
      </c>
      <c r="B66" s="38" t="str">
        <f>'法人一覧(26)'!B66</f>
        <v>農林水産省</v>
      </c>
      <c r="C66" s="38" t="str">
        <f>'法人一覧(26)'!C66</f>
        <v>水産総合研究センター</v>
      </c>
      <c r="D66" s="142">
        <v>6</v>
      </c>
      <c r="E66" s="142">
        <v>2</v>
      </c>
      <c r="F66" s="142">
        <f t="shared" si="1"/>
        <v>8</v>
      </c>
      <c r="G66" s="147">
        <v>925</v>
      </c>
    </row>
    <row r="67" spans="1:7">
      <c r="A67" s="155">
        <f>'法人一覧(26)'!A67</f>
        <v>64</v>
      </c>
      <c r="B67" s="38" t="str">
        <f>'法人一覧(26)'!B67</f>
        <v>農林水産省</v>
      </c>
      <c r="C67" s="38" t="str">
        <f>'法人一覧(26)'!C67</f>
        <v>農畜産業振興機構</v>
      </c>
      <c r="D67" s="142">
        <v>8</v>
      </c>
      <c r="E67" s="142">
        <v>2</v>
      </c>
      <c r="F67" s="142">
        <f t="shared" si="1"/>
        <v>10</v>
      </c>
      <c r="G67" s="147">
        <v>208</v>
      </c>
    </row>
    <row r="68" spans="1:7">
      <c r="A68" s="155">
        <f>'法人一覧(26)'!A68</f>
        <v>65</v>
      </c>
      <c r="B68" s="38" t="str">
        <f>'法人一覧(26)'!B68</f>
        <v>農林水産省</v>
      </c>
      <c r="C68" s="38" t="str">
        <f>'法人一覧(26)'!C68</f>
        <v>農業者年金基金</v>
      </c>
      <c r="D68" s="142">
        <v>3</v>
      </c>
      <c r="E68" s="142">
        <v>2</v>
      </c>
      <c r="F68" s="142">
        <f t="shared" si="1"/>
        <v>5</v>
      </c>
      <c r="G68" s="147">
        <v>73</v>
      </c>
    </row>
    <row r="69" spans="1:7">
      <c r="A69" s="155">
        <f>'法人一覧(26)'!A69</f>
        <v>66</v>
      </c>
      <c r="B69" s="38" t="str">
        <f>'法人一覧(26)'!B69</f>
        <v>農林水産省</v>
      </c>
      <c r="C69" s="38" t="str">
        <f>'法人一覧(26)'!C69</f>
        <v>農林漁業信用基金</v>
      </c>
      <c r="D69" s="142">
        <v>7</v>
      </c>
      <c r="E69" s="142">
        <v>2</v>
      </c>
      <c r="F69" s="142">
        <f t="shared" si="1"/>
        <v>9</v>
      </c>
      <c r="G69" s="147">
        <v>104</v>
      </c>
    </row>
    <row r="70" spans="1:7">
      <c r="A70" s="155">
        <f>'法人一覧(26)'!A70</f>
        <v>67</v>
      </c>
      <c r="B70" s="38" t="str">
        <f>'法人一覧(26)'!B70</f>
        <v>経済産業省</v>
      </c>
      <c r="C70" s="38" t="str">
        <f>'法人一覧(26)'!C70</f>
        <v>経済産業研究所</v>
      </c>
      <c r="D70" s="143">
        <v>2</v>
      </c>
      <c r="E70" s="143">
        <v>2</v>
      </c>
      <c r="F70" s="142">
        <f t="shared" ref="F70:F101" si="2">SUM(D70:E70)</f>
        <v>4</v>
      </c>
      <c r="G70" s="147">
        <v>46</v>
      </c>
    </row>
    <row r="71" spans="1:7">
      <c r="A71" s="155">
        <f>'法人一覧(26)'!A71</f>
        <v>68</v>
      </c>
      <c r="B71" s="38" t="str">
        <f>'法人一覧(26)'!B71</f>
        <v>経済産業省</v>
      </c>
      <c r="C71" s="38" t="str">
        <f>'法人一覧(26)'!C71</f>
        <v>工業所有権情報・研修館</v>
      </c>
      <c r="D71" s="142">
        <v>2</v>
      </c>
      <c r="E71" s="142">
        <v>2</v>
      </c>
      <c r="F71" s="142">
        <f t="shared" si="2"/>
        <v>4</v>
      </c>
      <c r="G71" s="147">
        <v>85</v>
      </c>
    </row>
    <row r="72" spans="1:7">
      <c r="A72" s="155">
        <f>'法人一覧(26)'!A72</f>
        <v>69</v>
      </c>
      <c r="B72" s="38" t="str">
        <f>'法人一覧(26)'!B72</f>
        <v>経済産業省</v>
      </c>
      <c r="C72" s="38" t="str">
        <f>'法人一覧(26)'!C72</f>
        <v>日本貿易保険</v>
      </c>
      <c r="D72" s="142">
        <v>3</v>
      </c>
      <c r="E72" s="142">
        <v>2</v>
      </c>
      <c r="F72" s="142">
        <f t="shared" si="2"/>
        <v>5</v>
      </c>
      <c r="G72" s="147">
        <v>136</v>
      </c>
    </row>
    <row r="73" spans="1:7">
      <c r="A73" s="155">
        <f>'法人一覧(26)'!A73</f>
        <v>70</v>
      </c>
      <c r="B73" s="38" t="str">
        <f>'法人一覧(26)'!B73</f>
        <v>経済産業省</v>
      </c>
      <c r="C73" s="38" t="str">
        <f>'法人一覧(26)'!C73</f>
        <v>産業技術総合研究所</v>
      </c>
      <c r="D73" s="142">
        <v>12</v>
      </c>
      <c r="E73" s="142">
        <v>2</v>
      </c>
      <c r="F73" s="142">
        <f t="shared" si="2"/>
        <v>14</v>
      </c>
      <c r="G73" s="147">
        <v>2907</v>
      </c>
    </row>
    <row r="74" spans="1:7">
      <c r="A74" s="155">
        <f>'法人一覧(26)'!A74</f>
        <v>71</v>
      </c>
      <c r="B74" s="38" t="str">
        <f>'法人一覧(26)'!B74</f>
        <v>経済産業省</v>
      </c>
      <c r="C74" s="38" t="str">
        <f>'法人一覧(26)'!C74</f>
        <v>製品評価技術基盤機構</v>
      </c>
      <c r="D74" s="142">
        <v>3</v>
      </c>
      <c r="E74" s="142">
        <v>2</v>
      </c>
      <c r="F74" s="142">
        <f t="shared" si="2"/>
        <v>5</v>
      </c>
      <c r="G74" s="147">
        <v>422</v>
      </c>
    </row>
    <row r="75" spans="1:7">
      <c r="A75" s="155">
        <f>'法人一覧(26)'!A75</f>
        <v>72</v>
      </c>
      <c r="B75" s="38" t="str">
        <f>'法人一覧(26)'!B75</f>
        <v>経済産業省</v>
      </c>
      <c r="C75" s="38" t="str">
        <f>'法人一覧(26)'!C75</f>
        <v>新エネルギー・産業技術総合開発機構</v>
      </c>
      <c r="D75" s="142">
        <v>7</v>
      </c>
      <c r="E75" s="142">
        <v>2</v>
      </c>
      <c r="F75" s="142">
        <f t="shared" si="2"/>
        <v>9</v>
      </c>
      <c r="G75" s="147">
        <v>830</v>
      </c>
    </row>
    <row r="76" spans="1:7">
      <c r="A76" s="155">
        <f>'法人一覧(26)'!A76</f>
        <v>73</v>
      </c>
      <c r="B76" s="38" t="str">
        <f>'法人一覧(26)'!B76</f>
        <v>経済産業省</v>
      </c>
      <c r="C76" s="38" t="str">
        <f>'法人一覧(26)'!C76</f>
        <v>日本貿易振興機構</v>
      </c>
      <c r="D76" s="142">
        <v>8</v>
      </c>
      <c r="E76" s="142">
        <v>2</v>
      </c>
      <c r="F76" s="142">
        <f t="shared" si="2"/>
        <v>10</v>
      </c>
      <c r="G76" s="147">
        <v>1618</v>
      </c>
    </row>
    <row r="77" spans="1:7">
      <c r="A77" s="155">
        <f>'法人一覧(26)'!A77</f>
        <v>74</v>
      </c>
      <c r="B77" s="38" t="str">
        <f>'法人一覧(26)'!B77</f>
        <v>経済産業省</v>
      </c>
      <c r="C77" s="38" t="str">
        <f>'法人一覧(26)'!C77</f>
        <v>情報処理推進機構</v>
      </c>
      <c r="D77" s="142">
        <v>3</v>
      </c>
      <c r="E77" s="142">
        <v>2</v>
      </c>
      <c r="F77" s="142">
        <f t="shared" si="2"/>
        <v>5</v>
      </c>
      <c r="G77" s="147">
        <v>171</v>
      </c>
    </row>
    <row r="78" spans="1:7">
      <c r="A78" s="155">
        <f>'法人一覧(26)'!A78</f>
        <v>75</v>
      </c>
      <c r="B78" s="38" t="str">
        <f>'法人一覧(26)'!B78</f>
        <v>経済産業省</v>
      </c>
      <c r="C78" s="38" t="str">
        <f>'法人一覧(26)'!C78</f>
        <v>石油天然ガス・金属鉱物資源機構</v>
      </c>
      <c r="D78" s="142">
        <v>8</v>
      </c>
      <c r="E78" s="142">
        <v>2</v>
      </c>
      <c r="F78" s="142">
        <f t="shared" si="2"/>
        <v>10</v>
      </c>
      <c r="G78" s="147">
        <v>520</v>
      </c>
    </row>
    <row r="79" spans="1:7">
      <c r="A79" s="155">
        <f>'法人一覧(26)'!A79</f>
        <v>76</v>
      </c>
      <c r="B79" s="38" t="str">
        <f>'法人一覧(26)'!B79</f>
        <v>経済産業省</v>
      </c>
      <c r="C79" s="38" t="str">
        <f>'法人一覧(26)'!C79</f>
        <v>中小企業基盤整備機構</v>
      </c>
      <c r="D79" s="142">
        <v>10</v>
      </c>
      <c r="E79" s="142">
        <v>3</v>
      </c>
      <c r="F79" s="142">
        <f t="shared" si="2"/>
        <v>13</v>
      </c>
      <c r="G79" s="147">
        <v>753</v>
      </c>
    </row>
    <row r="80" spans="1:7">
      <c r="A80" s="155">
        <f>'法人一覧(26)'!A80</f>
        <v>77</v>
      </c>
      <c r="B80" s="38" t="str">
        <f>'法人一覧(26)'!B80</f>
        <v>国土交通省</v>
      </c>
      <c r="C80" s="38" t="str">
        <f>'法人一覧(26)'!C80</f>
        <v>土木研究所</v>
      </c>
      <c r="D80" s="80">
        <v>3</v>
      </c>
      <c r="E80" s="80">
        <v>2</v>
      </c>
      <c r="F80" s="142">
        <f t="shared" si="2"/>
        <v>5</v>
      </c>
      <c r="G80" s="147">
        <v>456</v>
      </c>
    </row>
    <row r="81" spans="1:7">
      <c r="A81" s="155">
        <f>'法人一覧(26)'!A81</f>
        <v>78</v>
      </c>
      <c r="B81" s="38" t="str">
        <f>'法人一覧(26)'!B81</f>
        <v>国土交通省</v>
      </c>
      <c r="C81" s="38" t="str">
        <f>'法人一覧(26)'!C81</f>
        <v>建築研究所</v>
      </c>
      <c r="D81" s="80">
        <v>2</v>
      </c>
      <c r="E81" s="80">
        <v>2</v>
      </c>
      <c r="F81" s="142">
        <f t="shared" si="2"/>
        <v>4</v>
      </c>
      <c r="G81" s="147">
        <v>86</v>
      </c>
    </row>
    <row r="82" spans="1:7">
      <c r="A82" s="155">
        <f>'法人一覧(26)'!A82</f>
        <v>79</v>
      </c>
      <c r="B82" s="38" t="str">
        <f>'法人一覧(26)'!B82</f>
        <v>国土交通省</v>
      </c>
      <c r="C82" s="38" t="str">
        <f>'法人一覧(26)'!C82</f>
        <v>交通安全環境研究所</v>
      </c>
      <c r="D82" s="80">
        <v>2</v>
      </c>
      <c r="E82" s="80">
        <v>2</v>
      </c>
      <c r="F82" s="142">
        <f t="shared" si="2"/>
        <v>4</v>
      </c>
      <c r="G82" s="147">
        <v>96</v>
      </c>
    </row>
    <row r="83" spans="1:7">
      <c r="A83" s="155">
        <f>'法人一覧(26)'!A83</f>
        <v>80</v>
      </c>
      <c r="B83" s="38" t="str">
        <f>'法人一覧(26)'!B83</f>
        <v>国土交通省</v>
      </c>
      <c r="C83" s="38" t="str">
        <f>'法人一覧(26)'!C83</f>
        <v>海上技術安全研究所</v>
      </c>
      <c r="D83" s="80">
        <v>3</v>
      </c>
      <c r="E83" s="80">
        <v>2</v>
      </c>
      <c r="F83" s="142">
        <f t="shared" si="2"/>
        <v>5</v>
      </c>
      <c r="G83" s="147">
        <v>222</v>
      </c>
    </row>
    <row r="84" spans="1:7">
      <c r="A84" s="155">
        <f>'法人一覧(26)'!A84</f>
        <v>81</v>
      </c>
      <c r="B84" s="38" t="str">
        <f>'法人一覧(26)'!B84</f>
        <v>国土交通省</v>
      </c>
      <c r="C84" s="38" t="str">
        <f>'法人一覧(26)'!C84</f>
        <v>港湾空港技術研究所</v>
      </c>
      <c r="D84" s="80">
        <v>2</v>
      </c>
      <c r="E84" s="80">
        <v>2</v>
      </c>
      <c r="F84" s="142">
        <f t="shared" si="2"/>
        <v>4</v>
      </c>
      <c r="G84" s="147">
        <v>101</v>
      </c>
    </row>
    <row r="85" spans="1:7">
      <c r="A85" s="155">
        <f>'法人一覧(26)'!A85</f>
        <v>82</v>
      </c>
      <c r="B85" s="38" t="str">
        <f>'法人一覧(26)'!B85</f>
        <v>国土交通省</v>
      </c>
      <c r="C85" s="38" t="str">
        <f>'法人一覧(26)'!C85</f>
        <v>電子航法研究所</v>
      </c>
      <c r="D85" s="80">
        <v>2</v>
      </c>
      <c r="E85" s="80">
        <v>2</v>
      </c>
      <c r="F85" s="142">
        <f t="shared" si="2"/>
        <v>4</v>
      </c>
      <c r="G85" s="147">
        <v>63</v>
      </c>
    </row>
    <row r="86" spans="1:7">
      <c r="A86" s="155">
        <f>'法人一覧(26)'!A86</f>
        <v>83</v>
      </c>
      <c r="B86" s="38" t="str">
        <f>'法人一覧(26)'!B86</f>
        <v>国土交通省</v>
      </c>
      <c r="C86" s="38" t="str">
        <f>'法人一覧(26)'!C86</f>
        <v>航海訓練所</v>
      </c>
      <c r="D86" s="81">
        <v>3</v>
      </c>
      <c r="E86" s="81">
        <v>2</v>
      </c>
      <c r="F86" s="142">
        <f t="shared" si="2"/>
        <v>5</v>
      </c>
      <c r="G86" s="147">
        <v>404</v>
      </c>
    </row>
    <row r="87" spans="1:7">
      <c r="A87" s="155">
        <f>'法人一覧(26)'!A87</f>
        <v>84</v>
      </c>
      <c r="B87" s="38" t="str">
        <f>'法人一覧(26)'!B87</f>
        <v>国土交通省</v>
      </c>
      <c r="C87" s="38" t="str">
        <f>'法人一覧(26)'!C87</f>
        <v>海技教育機構</v>
      </c>
      <c r="D87" s="80">
        <v>3</v>
      </c>
      <c r="E87" s="80">
        <v>2</v>
      </c>
      <c r="F87" s="142">
        <f t="shared" si="2"/>
        <v>5</v>
      </c>
      <c r="G87" s="147">
        <v>197</v>
      </c>
    </row>
    <row r="88" spans="1:7">
      <c r="A88" s="155">
        <f>'法人一覧(26)'!A88</f>
        <v>85</v>
      </c>
      <c r="B88" s="38" t="str">
        <f>'法人一覧(26)'!B88</f>
        <v>国土交通省</v>
      </c>
      <c r="C88" s="38" t="str">
        <f>'法人一覧(26)'!C88</f>
        <v>航空大学校</v>
      </c>
      <c r="D88" s="142">
        <v>1</v>
      </c>
      <c r="E88" s="142">
        <v>2</v>
      </c>
      <c r="F88" s="142">
        <f t="shared" si="2"/>
        <v>3</v>
      </c>
      <c r="G88" s="147">
        <v>98</v>
      </c>
    </row>
    <row r="89" spans="1:7">
      <c r="A89" s="155">
        <f>'法人一覧(26)'!A89</f>
        <v>86</v>
      </c>
      <c r="B89" s="38" t="str">
        <f>'法人一覧(26)'!B89</f>
        <v>国土交通省</v>
      </c>
      <c r="C89" s="38" t="str">
        <f>'法人一覧(26)'!C89</f>
        <v>自動車検査</v>
      </c>
      <c r="D89" s="80">
        <v>5</v>
      </c>
      <c r="E89" s="80">
        <v>2</v>
      </c>
      <c r="F89" s="142">
        <f t="shared" si="2"/>
        <v>7</v>
      </c>
      <c r="G89" s="147">
        <v>813</v>
      </c>
    </row>
    <row r="90" spans="1:7">
      <c r="A90" s="155">
        <f>'法人一覧(26)'!A90</f>
        <v>87</v>
      </c>
      <c r="B90" s="38" t="str">
        <f>'法人一覧(26)'!B90</f>
        <v>国土交通省</v>
      </c>
      <c r="C90" s="38" t="str">
        <f>'法人一覧(26)'!C90</f>
        <v>鉄道建設・運輸施設整備支援機構</v>
      </c>
      <c r="D90" s="80">
        <v>8</v>
      </c>
      <c r="E90" s="80">
        <v>3</v>
      </c>
      <c r="F90" s="142">
        <f t="shared" si="2"/>
        <v>11</v>
      </c>
      <c r="G90" s="147">
        <v>1600</v>
      </c>
    </row>
    <row r="91" spans="1:7">
      <c r="A91" s="155">
        <f>'法人一覧(26)'!A91</f>
        <v>88</v>
      </c>
      <c r="B91" s="38" t="str">
        <f>'法人一覧(26)'!B91</f>
        <v>国土交通省</v>
      </c>
      <c r="C91" s="38" t="str">
        <f>'法人一覧(26)'!C91</f>
        <v>国際観光振興機構</v>
      </c>
      <c r="D91" s="80">
        <v>3</v>
      </c>
      <c r="E91" s="80">
        <v>2</v>
      </c>
      <c r="F91" s="142">
        <f t="shared" si="2"/>
        <v>5</v>
      </c>
      <c r="G91" s="147">
        <v>93</v>
      </c>
    </row>
    <row r="92" spans="1:7">
      <c r="A92" s="155">
        <f>'法人一覧(26)'!A92</f>
        <v>89</v>
      </c>
      <c r="B92" s="38" t="str">
        <f>'法人一覧(26)'!B92</f>
        <v>国土交通省</v>
      </c>
      <c r="C92" s="38" t="str">
        <f>'法人一覧(26)'!C92</f>
        <v>水資源機構</v>
      </c>
      <c r="D92" s="80">
        <v>7</v>
      </c>
      <c r="E92" s="80">
        <v>2</v>
      </c>
      <c r="F92" s="142">
        <f t="shared" si="2"/>
        <v>9</v>
      </c>
      <c r="G92" s="147">
        <v>1331</v>
      </c>
    </row>
    <row r="93" spans="1:7">
      <c r="A93" s="155">
        <f>'法人一覧(26)'!A93</f>
        <v>90</v>
      </c>
      <c r="B93" s="38" t="str">
        <f>'法人一覧(26)'!B93</f>
        <v>国土交通省</v>
      </c>
      <c r="C93" s="38" t="str">
        <f>'法人一覧(26)'!C93</f>
        <v>自動車事故対策機構</v>
      </c>
      <c r="D93" s="80">
        <v>4</v>
      </c>
      <c r="E93" s="80">
        <v>2</v>
      </c>
      <c r="F93" s="142">
        <f t="shared" si="2"/>
        <v>6</v>
      </c>
      <c r="G93" s="147">
        <v>334</v>
      </c>
    </row>
    <row r="94" spans="1:7">
      <c r="A94" s="155">
        <f>'法人一覧(26)'!A94</f>
        <v>91</v>
      </c>
      <c r="B94" s="38" t="str">
        <f>'法人一覧(26)'!B94</f>
        <v>国土交通省</v>
      </c>
      <c r="C94" s="38" t="str">
        <f>'法人一覧(26)'!C94</f>
        <v>空港周辺整備機構</v>
      </c>
      <c r="D94" s="80">
        <v>2</v>
      </c>
      <c r="E94" s="80">
        <v>2</v>
      </c>
      <c r="F94" s="142">
        <f t="shared" si="2"/>
        <v>4</v>
      </c>
      <c r="G94" s="147">
        <v>31</v>
      </c>
    </row>
    <row r="95" spans="1:7">
      <c r="A95" s="155">
        <f>'法人一覧(26)'!A95</f>
        <v>92</v>
      </c>
      <c r="B95" s="38" t="str">
        <f>'法人一覧(26)'!B95</f>
        <v>国土交通省</v>
      </c>
      <c r="C95" s="38" t="str">
        <f>'法人一覧(26)'!C95</f>
        <v>都市再生機構</v>
      </c>
      <c r="D95" s="80">
        <v>10</v>
      </c>
      <c r="E95" s="80">
        <v>3</v>
      </c>
      <c r="F95" s="142">
        <f t="shared" si="2"/>
        <v>13</v>
      </c>
      <c r="G95" s="147">
        <v>3128</v>
      </c>
    </row>
    <row r="96" spans="1:7">
      <c r="A96" s="155">
        <f>'法人一覧(26)'!A96</f>
        <v>93</v>
      </c>
      <c r="B96" s="38" t="str">
        <f>'法人一覧(26)'!B96</f>
        <v>国土交通省</v>
      </c>
      <c r="C96" s="38" t="str">
        <f>'法人一覧(26)'!C96</f>
        <v>奄美群島振興開発基金</v>
      </c>
      <c r="D96" s="142">
        <v>2</v>
      </c>
      <c r="E96" s="142">
        <v>2</v>
      </c>
      <c r="F96" s="142">
        <f t="shared" si="2"/>
        <v>4</v>
      </c>
      <c r="G96" s="147">
        <v>18</v>
      </c>
    </row>
    <row r="97" spans="1:7">
      <c r="A97" s="155">
        <f>'法人一覧(26)'!A97</f>
        <v>94</v>
      </c>
      <c r="B97" s="38" t="str">
        <f>'法人一覧(26)'!B97</f>
        <v>国土交通省</v>
      </c>
      <c r="C97" s="38" t="str">
        <f>'法人一覧(26)'!C97</f>
        <v>日本高速道路保有・債務返済機構</v>
      </c>
      <c r="D97" s="80">
        <v>4</v>
      </c>
      <c r="E97" s="80">
        <v>2</v>
      </c>
      <c r="F97" s="142">
        <f t="shared" si="2"/>
        <v>6</v>
      </c>
      <c r="G97" s="147">
        <v>82</v>
      </c>
    </row>
    <row r="98" spans="1:7">
      <c r="A98" s="155">
        <f>'法人一覧(26)'!A98</f>
        <v>95</v>
      </c>
      <c r="B98" s="38" t="str">
        <f>'法人一覧(26)'!B98</f>
        <v>国土交通省</v>
      </c>
      <c r="C98" s="38" t="str">
        <f>'法人一覧(26)'!C98</f>
        <v>住宅金融支援機構</v>
      </c>
      <c r="D98" s="142">
        <v>8</v>
      </c>
      <c r="E98" s="142">
        <v>3</v>
      </c>
      <c r="F98" s="142">
        <f t="shared" si="2"/>
        <v>11</v>
      </c>
      <c r="G98" s="147">
        <v>890</v>
      </c>
    </row>
    <row r="99" spans="1:7">
      <c r="A99" s="155">
        <f>'法人一覧(26)'!A99</f>
        <v>96</v>
      </c>
      <c r="B99" s="38" t="str">
        <f>'法人一覧(26)'!B99</f>
        <v>環境省</v>
      </c>
      <c r="C99" s="38" t="str">
        <f>'法人一覧(26)'!C99</f>
        <v>国立環境研究所</v>
      </c>
      <c r="D99" s="142">
        <v>3</v>
      </c>
      <c r="E99" s="142">
        <v>2</v>
      </c>
      <c r="F99" s="142">
        <f t="shared" si="2"/>
        <v>5</v>
      </c>
      <c r="G99" s="147">
        <v>265</v>
      </c>
    </row>
    <row r="100" spans="1:7">
      <c r="A100" s="155">
        <f>'法人一覧(26)'!A100</f>
        <v>97</v>
      </c>
      <c r="B100" s="38" t="str">
        <f>'法人一覧(26)'!B100</f>
        <v>環境省</v>
      </c>
      <c r="C100" s="38" t="str">
        <f>'法人一覧(26)'!C100</f>
        <v>環境再生保全機構</v>
      </c>
      <c r="D100" s="142">
        <v>4</v>
      </c>
      <c r="E100" s="142">
        <v>2</v>
      </c>
      <c r="F100" s="142">
        <f t="shared" si="2"/>
        <v>6</v>
      </c>
      <c r="G100" s="147">
        <v>140</v>
      </c>
    </row>
    <row r="101" spans="1:7" ht="13.8" thickBot="1">
      <c r="A101" s="116">
        <f>'法人一覧(26)'!A101</f>
        <v>98</v>
      </c>
      <c r="B101" s="117" t="str">
        <f>'法人一覧(26)'!B101</f>
        <v>防衛省</v>
      </c>
      <c r="C101" s="117" t="str">
        <f>'法人一覧(26)'!C101</f>
        <v>駐留軍等労働者労務管理機構</v>
      </c>
      <c r="D101" s="150">
        <v>3</v>
      </c>
      <c r="E101" s="150">
        <v>2</v>
      </c>
      <c r="F101" s="116">
        <f t="shared" si="2"/>
        <v>5</v>
      </c>
      <c r="G101" s="151">
        <v>273</v>
      </c>
    </row>
    <row r="102" spans="1:7" ht="19.2" customHeight="1" thickTop="1">
      <c r="A102" s="162" t="s">
        <v>654</v>
      </c>
      <c r="B102" s="162"/>
      <c r="C102" s="162"/>
      <c r="D102" s="27">
        <f>SUM(D1:D101)</f>
        <v>440</v>
      </c>
      <c r="E102" s="27">
        <f t="shared" ref="E102:G102" si="3">SUM(E1:E101)</f>
        <v>203</v>
      </c>
      <c r="F102" s="27">
        <f t="shared" si="3"/>
        <v>643</v>
      </c>
      <c r="G102" s="152">
        <f t="shared" si="3"/>
        <v>168469</v>
      </c>
    </row>
    <row r="103" spans="1:7">
      <c r="A103" s="40"/>
      <c r="B103" s="42"/>
      <c r="C103" s="42"/>
      <c r="D103" s="40"/>
      <c r="E103" s="40"/>
      <c r="F103" s="40"/>
      <c r="G103" s="146"/>
    </row>
    <row r="104" spans="1:7">
      <c r="B104" s="37" t="s">
        <v>655</v>
      </c>
      <c r="G104" s="146"/>
    </row>
  </sheetData>
  <mergeCells count="6">
    <mergeCell ref="G2:G3"/>
    <mergeCell ref="A102:C102"/>
    <mergeCell ref="A2:A3"/>
    <mergeCell ref="B2:B3"/>
    <mergeCell ref="C2:C3"/>
    <mergeCell ref="D2:F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101"/>
  <sheetViews>
    <sheetView workbookViewId="0">
      <pane ySplit="3" topLeftCell="A79" activePane="bottomLeft" state="frozen"/>
      <selection pane="bottomLeft" activeCell="E72" sqref="E72"/>
    </sheetView>
  </sheetViews>
  <sheetFormatPr defaultRowHeight="13.2"/>
  <cols>
    <col min="1" max="1" width="3.109375" customWidth="1"/>
    <col min="2" max="2" width="11.6640625" customWidth="1"/>
    <col min="3" max="3" width="37.88671875" bestFit="1" customWidth="1"/>
    <col min="5" max="5" width="12.77734375" customWidth="1"/>
    <col min="6" max="6" width="11.6640625" customWidth="1"/>
  </cols>
  <sheetData>
    <row r="1" spans="1:3">
      <c r="A1" s="144" t="s">
        <v>196</v>
      </c>
      <c r="C1" s="145" t="s">
        <v>197</v>
      </c>
    </row>
    <row r="2" spans="1:3">
      <c r="A2" s="161" t="s">
        <v>195</v>
      </c>
      <c r="B2" s="161" t="s">
        <v>0</v>
      </c>
      <c r="C2" s="161" t="s">
        <v>1</v>
      </c>
    </row>
    <row r="3" spans="1:3">
      <c r="A3" s="162"/>
      <c r="B3" s="162"/>
      <c r="C3" s="162"/>
    </row>
    <row r="4" spans="1:3">
      <c r="A4" s="21">
        <v>1</v>
      </c>
      <c r="B4" s="22" t="s">
        <v>85</v>
      </c>
      <c r="C4" s="15" t="s">
        <v>86</v>
      </c>
    </row>
    <row r="5" spans="1:3">
      <c r="A5" s="21">
        <v>2</v>
      </c>
      <c r="B5" s="22" t="s">
        <v>85</v>
      </c>
      <c r="C5" s="16" t="s">
        <v>87</v>
      </c>
    </row>
    <row r="6" spans="1:3">
      <c r="A6" s="21">
        <v>3</v>
      </c>
      <c r="B6" s="22" t="s">
        <v>88</v>
      </c>
      <c r="C6" s="16" t="s">
        <v>89</v>
      </c>
    </row>
    <row r="7" spans="1:3">
      <c r="A7" s="21">
        <v>4</v>
      </c>
      <c r="B7" s="22" t="s">
        <v>90</v>
      </c>
      <c r="C7" s="17" t="s">
        <v>91</v>
      </c>
    </row>
    <row r="8" spans="1:3">
      <c r="A8" s="21">
        <v>5</v>
      </c>
      <c r="B8" s="22" t="s">
        <v>90</v>
      </c>
      <c r="C8" s="16" t="s">
        <v>92</v>
      </c>
    </row>
    <row r="9" spans="1:3">
      <c r="A9" s="21">
        <v>6</v>
      </c>
      <c r="B9" s="22" t="s">
        <v>90</v>
      </c>
      <c r="C9" s="16" t="s">
        <v>93</v>
      </c>
    </row>
    <row r="10" spans="1:3">
      <c r="A10" s="21">
        <v>7</v>
      </c>
      <c r="B10" s="22" t="s">
        <v>94</v>
      </c>
      <c r="C10" s="16" t="s">
        <v>95</v>
      </c>
    </row>
    <row r="11" spans="1:3">
      <c r="A11" s="21">
        <v>8</v>
      </c>
      <c r="B11" s="22" t="s">
        <v>94</v>
      </c>
      <c r="C11" s="16" t="s">
        <v>96</v>
      </c>
    </row>
    <row r="12" spans="1:3">
      <c r="A12" s="21">
        <v>9</v>
      </c>
      <c r="B12" s="17" t="s">
        <v>97</v>
      </c>
      <c r="C12" s="17" t="s">
        <v>98</v>
      </c>
    </row>
    <row r="13" spans="1:3">
      <c r="A13" s="21">
        <v>10</v>
      </c>
      <c r="B13" s="17" t="s">
        <v>97</v>
      </c>
      <c r="C13" s="17" t="s">
        <v>99</v>
      </c>
    </row>
    <row r="14" spans="1:3">
      <c r="A14" s="21">
        <v>11</v>
      </c>
      <c r="B14" s="17" t="s">
        <v>97</v>
      </c>
      <c r="C14" s="16" t="s">
        <v>100</v>
      </c>
    </row>
    <row r="15" spans="1:3">
      <c r="A15" s="21">
        <v>12</v>
      </c>
      <c r="B15" s="17" t="s">
        <v>101</v>
      </c>
      <c r="C15" s="16" t="s">
        <v>102</v>
      </c>
    </row>
    <row r="16" spans="1:3">
      <c r="A16" s="21">
        <v>13</v>
      </c>
      <c r="B16" s="17" t="s">
        <v>101</v>
      </c>
      <c r="C16" s="16" t="s">
        <v>103</v>
      </c>
    </row>
    <row r="17" spans="1:3">
      <c r="A17" s="21">
        <v>14</v>
      </c>
      <c r="B17" s="17" t="s">
        <v>101</v>
      </c>
      <c r="C17" s="16" t="s">
        <v>104</v>
      </c>
    </row>
    <row r="18" spans="1:3">
      <c r="A18" s="21">
        <v>15</v>
      </c>
      <c r="B18" s="17" t="s">
        <v>101</v>
      </c>
      <c r="C18" s="16" t="s">
        <v>105</v>
      </c>
    </row>
    <row r="19" spans="1:3">
      <c r="A19" s="21">
        <v>16</v>
      </c>
      <c r="B19" s="17" t="s">
        <v>101</v>
      </c>
      <c r="C19" s="17" t="s">
        <v>106</v>
      </c>
    </row>
    <row r="20" spans="1:3">
      <c r="A20" s="21">
        <v>17</v>
      </c>
      <c r="B20" s="17" t="s">
        <v>101</v>
      </c>
      <c r="C20" s="16" t="s">
        <v>107</v>
      </c>
    </row>
    <row r="21" spans="1:3">
      <c r="A21" s="21">
        <v>18</v>
      </c>
      <c r="B21" s="17" t="s">
        <v>101</v>
      </c>
      <c r="C21" s="16" t="s">
        <v>108</v>
      </c>
    </row>
    <row r="22" spans="1:3">
      <c r="A22" s="21">
        <v>19</v>
      </c>
      <c r="B22" s="17" t="s">
        <v>101</v>
      </c>
      <c r="C22" s="16" t="s">
        <v>109</v>
      </c>
    </row>
    <row r="23" spans="1:3">
      <c r="A23" s="21">
        <v>20</v>
      </c>
      <c r="B23" s="17" t="s">
        <v>101</v>
      </c>
      <c r="C23" s="16" t="s">
        <v>110</v>
      </c>
    </row>
    <row r="24" spans="1:3">
      <c r="A24" s="21">
        <v>21</v>
      </c>
      <c r="B24" s="17" t="s">
        <v>101</v>
      </c>
      <c r="C24" s="16" t="s">
        <v>111</v>
      </c>
    </row>
    <row r="25" spans="1:3">
      <c r="A25" s="21">
        <v>22</v>
      </c>
      <c r="B25" s="17" t="s">
        <v>101</v>
      </c>
      <c r="C25" s="16" t="s">
        <v>112</v>
      </c>
    </row>
    <row r="26" spans="1:3">
      <c r="A26" s="21">
        <v>23</v>
      </c>
      <c r="B26" s="17" t="s">
        <v>101</v>
      </c>
      <c r="C26" s="17" t="s">
        <v>113</v>
      </c>
    </row>
    <row r="27" spans="1:3">
      <c r="A27" s="21">
        <v>24</v>
      </c>
      <c r="B27" s="17" t="s">
        <v>101</v>
      </c>
      <c r="C27" s="16" t="s">
        <v>114</v>
      </c>
    </row>
    <row r="28" spans="1:3">
      <c r="A28" s="21">
        <v>25</v>
      </c>
      <c r="B28" s="17" t="s">
        <v>101</v>
      </c>
      <c r="C28" s="17" t="s">
        <v>115</v>
      </c>
    </row>
    <row r="29" spans="1:3">
      <c r="A29" s="21">
        <v>26</v>
      </c>
      <c r="B29" s="17" t="s">
        <v>101</v>
      </c>
      <c r="C29" s="16" t="s">
        <v>116</v>
      </c>
    </row>
    <row r="30" spans="1:3">
      <c r="A30" s="21">
        <v>27</v>
      </c>
      <c r="B30" s="17" t="s">
        <v>101</v>
      </c>
      <c r="C30" s="17" t="s">
        <v>117</v>
      </c>
    </row>
    <row r="31" spans="1:3">
      <c r="A31" s="21">
        <v>28</v>
      </c>
      <c r="B31" s="17" t="s">
        <v>101</v>
      </c>
      <c r="C31" s="17" t="s">
        <v>118</v>
      </c>
    </row>
    <row r="32" spans="1:3">
      <c r="A32" s="21">
        <v>29</v>
      </c>
      <c r="B32" s="17" t="s">
        <v>101</v>
      </c>
      <c r="C32" s="16" t="s">
        <v>119</v>
      </c>
    </row>
    <row r="33" spans="1:3">
      <c r="A33" s="21">
        <v>30</v>
      </c>
      <c r="B33" s="17" t="s">
        <v>101</v>
      </c>
      <c r="C33" s="16" t="s">
        <v>120</v>
      </c>
    </row>
    <row r="34" spans="1:3">
      <c r="A34" s="21">
        <v>31</v>
      </c>
      <c r="B34" s="17" t="s">
        <v>101</v>
      </c>
      <c r="C34" s="17" t="s">
        <v>121</v>
      </c>
    </row>
    <row r="35" spans="1:3">
      <c r="A35" s="21">
        <v>32</v>
      </c>
      <c r="B35" s="17" t="s">
        <v>101</v>
      </c>
      <c r="C35" s="16" t="s">
        <v>122</v>
      </c>
    </row>
    <row r="36" spans="1:3">
      <c r="A36" s="21">
        <v>33</v>
      </c>
      <c r="B36" s="17" t="s">
        <v>101</v>
      </c>
      <c r="C36" s="17" t="s">
        <v>123</v>
      </c>
    </row>
    <row r="37" spans="1:3">
      <c r="A37" s="21">
        <v>34</v>
      </c>
      <c r="B37" s="17" t="s">
        <v>101</v>
      </c>
      <c r="C37" s="16" t="s">
        <v>124</v>
      </c>
    </row>
    <row r="38" spans="1:3">
      <c r="A38" s="21">
        <v>35</v>
      </c>
      <c r="B38" s="17" t="s">
        <v>125</v>
      </c>
      <c r="C38" s="17" t="s">
        <v>126</v>
      </c>
    </row>
    <row r="39" spans="1:3">
      <c r="A39" s="21">
        <v>36</v>
      </c>
      <c r="B39" s="17" t="s">
        <v>125</v>
      </c>
      <c r="C39" s="18" t="s">
        <v>127</v>
      </c>
    </row>
    <row r="40" spans="1:3">
      <c r="A40" s="21">
        <v>37</v>
      </c>
      <c r="B40" s="17" t="s">
        <v>125</v>
      </c>
      <c r="C40" s="16" t="s">
        <v>128</v>
      </c>
    </row>
    <row r="41" spans="1:3">
      <c r="A41" s="21">
        <v>38</v>
      </c>
      <c r="B41" s="17" t="s">
        <v>125</v>
      </c>
      <c r="C41" s="16" t="s">
        <v>129</v>
      </c>
    </row>
    <row r="42" spans="1:3">
      <c r="A42" s="21">
        <v>39</v>
      </c>
      <c r="B42" s="17" t="s">
        <v>125</v>
      </c>
      <c r="C42" s="19" t="s">
        <v>130</v>
      </c>
    </row>
    <row r="43" spans="1:3">
      <c r="A43" s="21">
        <v>40</v>
      </c>
      <c r="B43" s="17" t="s">
        <v>125</v>
      </c>
      <c r="C43" s="19" t="s">
        <v>131</v>
      </c>
    </row>
    <row r="44" spans="1:3">
      <c r="A44" s="21">
        <v>41</v>
      </c>
      <c r="B44" s="17" t="s">
        <v>125</v>
      </c>
      <c r="C44" s="19" t="s">
        <v>132</v>
      </c>
    </row>
    <row r="45" spans="1:3">
      <c r="A45" s="21">
        <v>42</v>
      </c>
      <c r="B45" s="17" t="s">
        <v>125</v>
      </c>
      <c r="C45" s="19" t="s">
        <v>133</v>
      </c>
    </row>
    <row r="46" spans="1:3">
      <c r="A46" s="21">
        <v>43</v>
      </c>
      <c r="B46" s="17" t="s">
        <v>125</v>
      </c>
      <c r="C46" s="19" t="s">
        <v>134</v>
      </c>
    </row>
    <row r="47" spans="1:3">
      <c r="A47" s="21">
        <v>44</v>
      </c>
      <c r="B47" s="17" t="s">
        <v>125</v>
      </c>
      <c r="C47" s="19" t="s">
        <v>135</v>
      </c>
    </row>
    <row r="48" spans="1:3">
      <c r="A48" s="21">
        <v>45</v>
      </c>
      <c r="B48" s="17" t="s">
        <v>125</v>
      </c>
      <c r="C48" s="19" t="s">
        <v>136</v>
      </c>
    </row>
    <row r="49" spans="1:3">
      <c r="A49" s="21">
        <v>46</v>
      </c>
      <c r="B49" s="17" t="s">
        <v>125</v>
      </c>
      <c r="C49" s="19" t="s">
        <v>137</v>
      </c>
    </row>
    <row r="50" spans="1:3">
      <c r="A50" s="21">
        <v>47</v>
      </c>
      <c r="B50" s="17" t="s">
        <v>125</v>
      </c>
      <c r="C50" s="19" t="s">
        <v>138</v>
      </c>
    </row>
    <row r="51" spans="1:3">
      <c r="A51" s="21">
        <v>48</v>
      </c>
      <c r="B51" s="17" t="s">
        <v>125</v>
      </c>
      <c r="C51" s="19" t="s">
        <v>139</v>
      </c>
    </row>
    <row r="52" spans="1:3">
      <c r="A52" s="21">
        <v>49</v>
      </c>
      <c r="B52" s="17" t="s">
        <v>125</v>
      </c>
      <c r="C52" s="19" t="s">
        <v>140</v>
      </c>
    </row>
    <row r="53" spans="1:3">
      <c r="A53" s="21">
        <v>50</v>
      </c>
      <c r="B53" s="17" t="s">
        <v>125</v>
      </c>
      <c r="C53" s="19" t="s">
        <v>141</v>
      </c>
    </row>
    <row r="54" spans="1:3">
      <c r="A54" s="21">
        <v>51</v>
      </c>
      <c r="B54" s="17" t="s">
        <v>125</v>
      </c>
      <c r="C54" s="19" t="s">
        <v>142</v>
      </c>
    </row>
    <row r="55" spans="1:3">
      <c r="A55" s="21">
        <v>52</v>
      </c>
      <c r="B55" s="17" t="s">
        <v>125</v>
      </c>
      <c r="C55" s="19" t="s">
        <v>143</v>
      </c>
    </row>
    <row r="56" spans="1:3">
      <c r="A56" s="21">
        <v>53</v>
      </c>
      <c r="B56" s="17" t="s">
        <v>125</v>
      </c>
      <c r="C56" s="20" t="s">
        <v>144</v>
      </c>
    </row>
    <row r="57" spans="1:3">
      <c r="A57" s="21">
        <v>54</v>
      </c>
      <c r="B57" s="17" t="s">
        <v>145</v>
      </c>
      <c r="C57" s="19" t="s">
        <v>146</v>
      </c>
    </row>
    <row r="58" spans="1:3">
      <c r="A58" s="21">
        <v>55</v>
      </c>
      <c r="B58" s="17" t="s">
        <v>145</v>
      </c>
      <c r="C58" s="19" t="s">
        <v>147</v>
      </c>
    </row>
    <row r="59" spans="1:3">
      <c r="A59" s="21">
        <v>56</v>
      </c>
      <c r="B59" s="17" t="s">
        <v>145</v>
      </c>
      <c r="C59" s="19" t="s">
        <v>148</v>
      </c>
    </row>
    <row r="60" spans="1:3">
      <c r="A60" s="21">
        <v>57</v>
      </c>
      <c r="B60" s="17" t="s">
        <v>145</v>
      </c>
      <c r="C60" s="19" t="s">
        <v>149</v>
      </c>
    </row>
    <row r="61" spans="1:3">
      <c r="A61" s="21">
        <v>58</v>
      </c>
      <c r="B61" s="17" t="s">
        <v>145</v>
      </c>
      <c r="C61" s="19" t="s">
        <v>150</v>
      </c>
    </row>
    <row r="62" spans="1:3">
      <c r="A62" s="21">
        <v>59</v>
      </c>
      <c r="B62" s="17" t="s">
        <v>145</v>
      </c>
      <c r="C62" s="19" t="s">
        <v>151</v>
      </c>
    </row>
    <row r="63" spans="1:3">
      <c r="A63" s="21">
        <v>60</v>
      </c>
      <c r="B63" s="17" t="s">
        <v>145</v>
      </c>
      <c r="C63" s="19" t="s">
        <v>152</v>
      </c>
    </row>
    <row r="64" spans="1:3">
      <c r="A64" s="21">
        <v>61</v>
      </c>
      <c r="B64" s="17" t="s">
        <v>145</v>
      </c>
      <c r="C64" s="19" t="s">
        <v>153</v>
      </c>
    </row>
    <row r="65" spans="1:3">
      <c r="A65" s="21">
        <v>62</v>
      </c>
      <c r="B65" s="17" t="s">
        <v>145</v>
      </c>
      <c r="C65" s="19" t="s">
        <v>154</v>
      </c>
    </row>
    <row r="66" spans="1:3">
      <c r="A66" s="21">
        <v>63</v>
      </c>
      <c r="B66" s="17" t="s">
        <v>145</v>
      </c>
      <c r="C66" s="19" t="s">
        <v>155</v>
      </c>
    </row>
    <row r="67" spans="1:3">
      <c r="A67" s="21">
        <v>64</v>
      </c>
      <c r="B67" s="17" t="s">
        <v>145</v>
      </c>
      <c r="C67" s="19" t="s">
        <v>156</v>
      </c>
    </row>
    <row r="68" spans="1:3">
      <c r="A68" s="21">
        <v>65</v>
      </c>
      <c r="B68" s="17" t="s">
        <v>145</v>
      </c>
      <c r="C68" s="19" t="s">
        <v>157</v>
      </c>
    </row>
    <row r="69" spans="1:3">
      <c r="A69" s="21">
        <v>66</v>
      </c>
      <c r="B69" s="17" t="s">
        <v>145</v>
      </c>
      <c r="C69" s="19" t="s">
        <v>158</v>
      </c>
    </row>
    <row r="70" spans="1:3">
      <c r="A70" s="21">
        <v>67</v>
      </c>
      <c r="B70" s="17" t="s">
        <v>159</v>
      </c>
      <c r="C70" s="19" t="s">
        <v>160</v>
      </c>
    </row>
    <row r="71" spans="1:3">
      <c r="A71" s="21">
        <v>68</v>
      </c>
      <c r="B71" s="17" t="s">
        <v>159</v>
      </c>
      <c r="C71" s="19" t="s">
        <v>161</v>
      </c>
    </row>
    <row r="72" spans="1:3">
      <c r="A72" s="21">
        <v>69</v>
      </c>
      <c r="B72" s="17" t="s">
        <v>159</v>
      </c>
      <c r="C72" s="19" t="s">
        <v>162</v>
      </c>
    </row>
    <row r="73" spans="1:3">
      <c r="A73" s="21">
        <v>70</v>
      </c>
      <c r="B73" s="17" t="s">
        <v>159</v>
      </c>
      <c r="C73" s="19" t="s">
        <v>163</v>
      </c>
    </row>
    <row r="74" spans="1:3">
      <c r="A74" s="21">
        <v>71</v>
      </c>
      <c r="B74" s="17" t="s">
        <v>159</v>
      </c>
      <c r="C74" s="19" t="s">
        <v>164</v>
      </c>
    </row>
    <row r="75" spans="1:3">
      <c r="A75" s="21">
        <v>72</v>
      </c>
      <c r="B75" s="17" t="s">
        <v>159</v>
      </c>
      <c r="C75" s="19" t="s">
        <v>165</v>
      </c>
    </row>
    <row r="76" spans="1:3">
      <c r="A76" s="21">
        <v>73</v>
      </c>
      <c r="B76" s="17" t="s">
        <v>159</v>
      </c>
      <c r="C76" s="19" t="s">
        <v>166</v>
      </c>
    </row>
    <row r="77" spans="1:3">
      <c r="A77" s="21">
        <v>74</v>
      </c>
      <c r="B77" s="17" t="s">
        <v>159</v>
      </c>
      <c r="C77" s="19" t="s">
        <v>167</v>
      </c>
    </row>
    <row r="78" spans="1:3">
      <c r="A78" s="21">
        <v>75</v>
      </c>
      <c r="B78" s="17" t="s">
        <v>159</v>
      </c>
      <c r="C78" s="19" t="s">
        <v>168</v>
      </c>
    </row>
    <row r="79" spans="1:3">
      <c r="A79" s="21">
        <v>76</v>
      </c>
      <c r="B79" s="17" t="s">
        <v>159</v>
      </c>
      <c r="C79" s="19" t="s">
        <v>169</v>
      </c>
    </row>
    <row r="80" spans="1:3">
      <c r="A80" s="21">
        <v>77</v>
      </c>
      <c r="B80" s="17" t="s">
        <v>170</v>
      </c>
      <c r="C80" s="19" t="s">
        <v>171</v>
      </c>
    </row>
    <row r="81" spans="1:3">
      <c r="A81" s="21">
        <v>78</v>
      </c>
      <c r="B81" s="17" t="s">
        <v>170</v>
      </c>
      <c r="C81" s="19" t="s">
        <v>172</v>
      </c>
    </row>
    <row r="82" spans="1:3">
      <c r="A82" s="21">
        <v>79</v>
      </c>
      <c r="B82" s="17" t="s">
        <v>170</v>
      </c>
      <c r="C82" s="19" t="s">
        <v>173</v>
      </c>
    </row>
    <row r="83" spans="1:3">
      <c r="A83" s="21">
        <v>80</v>
      </c>
      <c r="B83" s="17" t="s">
        <v>170</v>
      </c>
      <c r="C83" s="19" t="s">
        <v>174</v>
      </c>
    </row>
    <row r="84" spans="1:3">
      <c r="A84" s="21">
        <v>81</v>
      </c>
      <c r="B84" s="17" t="s">
        <v>170</v>
      </c>
      <c r="C84" s="19" t="s">
        <v>175</v>
      </c>
    </row>
    <row r="85" spans="1:3">
      <c r="A85" s="21">
        <v>82</v>
      </c>
      <c r="B85" s="17" t="s">
        <v>170</v>
      </c>
      <c r="C85" s="19" t="s">
        <v>176</v>
      </c>
    </row>
    <row r="86" spans="1:3">
      <c r="A86" s="21">
        <v>83</v>
      </c>
      <c r="B86" s="17" t="s">
        <v>170</v>
      </c>
      <c r="C86" s="19" t="s">
        <v>177</v>
      </c>
    </row>
    <row r="87" spans="1:3">
      <c r="A87" s="21">
        <v>84</v>
      </c>
      <c r="B87" s="17" t="s">
        <v>170</v>
      </c>
      <c r="C87" s="19" t="s">
        <v>178</v>
      </c>
    </row>
    <row r="88" spans="1:3">
      <c r="A88" s="21">
        <v>85</v>
      </c>
      <c r="B88" s="17" t="s">
        <v>170</v>
      </c>
      <c r="C88" s="19" t="s">
        <v>179</v>
      </c>
    </row>
    <row r="89" spans="1:3">
      <c r="A89" s="21">
        <v>86</v>
      </c>
      <c r="B89" s="17" t="s">
        <v>170</v>
      </c>
      <c r="C89" s="19" t="s">
        <v>180</v>
      </c>
    </row>
    <row r="90" spans="1:3">
      <c r="A90" s="21">
        <v>87</v>
      </c>
      <c r="B90" s="17" t="s">
        <v>170</v>
      </c>
      <c r="C90" s="19" t="s">
        <v>181</v>
      </c>
    </row>
    <row r="91" spans="1:3">
      <c r="A91" s="21">
        <v>88</v>
      </c>
      <c r="B91" s="17" t="s">
        <v>170</v>
      </c>
      <c r="C91" s="19" t="s">
        <v>182</v>
      </c>
    </row>
    <row r="92" spans="1:3">
      <c r="A92" s="21">
        <v>89</v>
      </c>
      <c r="B92" s="17" t="s">
        <v>170</v>
      </c>
      <c r="C92" s="19" t="s">
        <v>183</v>
      </c>
    </row>
    <row r="93" spans="1:3">
      <c r="A93" s="21">
        <v>90</v>
      </c>
      <c r="B93" s="17" t="s">
        <v>170</v>
      </c>
      <c r="C93" s="19" t="s">
        <v>184</v>
      </c>
    </row>
    <row r="94" spans="1:3">
      <c r="A94" s="21">
        <v>91</v>
      </c>
      <c r="B94" s="17" t="s">
        <v>170</v>
      </c>
      <c r="C94" s="19" t="s">
        <v>185</v>
      </c>
    </row>
    <row r="95" spans="1:3">
      <c r="A95" s="21">
        <v>92</v>
      </c>
      <c r="B95" s="17" t="s">
        <v>170</v>
      </c>
      <c r="C95" s="19" t="s">
        <v>186</v>
      </c>
    </row>
    <row r="96" spans="1:3">
      <c r="A96" s="21">
        <v>93</v>
      </c>
      <c r="B96" s="17" t="s">
        <v>170</v>
      </c>
      <c r="C96" s="19" t="s">
        <v>187</v>
      </c>
    </row>
    <row r="97" spans="1:3">
      <c r="A97" s="21">
        <v>94</v>
      </c>
      <c r="B97" s="17" t="s">
        <v>170</v>
      </c>
      <c r="C97" s="19" t="s">
        <v>188</v>
      </c>
    </row>
    <row r="98" spans="1:3">
      <c r="A98" s="21">
        <v>95</v>
      </c>
      <c r="B98" s="17" t="s">
        <v>170</v>
      </c>
      <c r="C98" s="19" t="s">
        <v>189</v>
      </c>
    </row>
    <row r="99" spans="1:3">
      <c r="A99" s="21">
        <v>96</v>
      </c>
      <c r="B99" s="17" t="s">
        <v>190</v>
      </c>
      <c r="C99" s="19" t="s">
        <v>191</v>
      </c>
    </row>
    <row r="100" spans="1:3">
      <c r="A100" s="21">
        <v>97</v>
      </c>
      <c r="B100" s="17" t="s">
        <v>190</v>
      </c>
      <c r="C100" s="19" t="s">
        <v>192</v>
      </c>
    </row>
    <row r="101" spans="1:3">
      <c r="A101" s="21">
        <v>98</v>
      </c>
      <c r="B101" s="17" t="s">
        <v>193</v>
      </c>
      <c r="C101" s="19" t="s">
        <v>194</v>
      </c>
    </row>
  </sheetData>
  <mergeCells count="3">
    <mergeCell ref="B2:B3"/>
    <mergeCell ref="C2:C3"/>
    <mergeCell ref="A2:A3"/>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zoomScale="80" zoomScaleNormal="80" workbookViewId="0">
      <pane xSplit="3" ySplit="3" topLeftCell="K76" activePane="bottomRight" state="frozen"/>
      <selection activeCell="D25" sqref="D25"/>
      <selection pane="topRight" activeCell="D25" sqref="D25"/>
      <selection pane="bottomLeft" activeCell="D25" sqref="D25"/>
      <selection pane="bottomRight" activeCell="B107" sqref="B107:M111"/>
    </sheetView>
  </sheetViews>
  <sheetFormatPr defaultColWidth="8.88671875" defaultRowHeight="13.2"/>
  <cols>
    <col min="1" max="1" width="5" style="1" bestFit="1" customWidth="1"/>
    <col min="2" max="2" width="18.88671875" style="1" customWidth="1"/>
    <col min="3" max="3" width="40.21875" style="1" customWidth="1"/>
    <col min="4" max="4" width="15.44140625" style="1" bestFit="1" customWidth="1"/>
    <col min="5" max="5" width="16.6640625" style="1" bestFit="1" customWidth="1"/>
    <col min="6" max="7" width="15.44140625" style="1" bestFit="1" customWidth="1"/>
    <col min="8" max="8" width="11.6640625" style="1" customWidth="1"/>
    <col min="9" max="9" width="14.109375" style="1" bestFit="1" customWidth="1"/>
    <col min="10" max="10" width="16.6640625" style="1" bestFit="1" customWidth="1"/>
    <col min="11" max="11" width="12.109375" style="1" customWidth="1"/>
    <col min="12" max="12" width="14.33203125" style="1" customWidth="1"/>
    <col min="13" max="13" width="15.44140625" style="1" bestFit="1" customWidth="1"/>
    <col min="14" max="14" width="17.88671875" style="1" bestFit="1" customWidth="1"/>
    <col min="15" max="16" width="16.6640625" style="1" bestFit="1" customWidth="1"/>
    <col min="17" max="17" width="14.109375" style="1" customWidth="1"/>
    <col min="18" max="18" width="15.44140625" style="1" bestFit="1" customWidth="1"/>
    <col min="19" max="19" width="14.109375" style="1" bestFit="1" customWidth="1"/>
    <col min="20" max="20" width="17.88671875" style="1" bestFit="1" customWidth="1"/>
    <col min="21" max="21" width="12.88671875" style="1" bestFit="1" customWidth="1"/>
    <col min="22" max="22" width="14.33203125" style="1" customWidth="1"/>
    <col min="23" max="16384" width="8.88671875" style="1"/>
  </cols>
  <sheetData>
    <row r="1" spans="1:22" ht="19.95" customHeight="1">
      <c r="B1" s="144" t="s">
        <v>224</v>
      </c>
      <c r="V1" s="39" t="s">
        <v>204</v>
      </c>
    </row>
    <row r="2" spans="1:22">
      <c r="A2" s="161" t="s">
        <v>195</v>
      </c>
      <c r="B2" s="161" t="s">
        <v>0</v>
      </c>
      <c r="C2" s="161" t="s">
        <v>1</v>
      </c>
      <c r="D2" s="164" t="s">
        <v>19</v>
      </c>
      <c r="E2" s="165"/>
      <c r="F2" s="165"/>
      <c r="G2" s="165"/>
      <c r="H2" s="165"/>
      <c r="I2" s="165"/>
      <c r="J2" s="166"/>
      <c r="K2" s="164" t="s">
        <v>23</v>
      </c>
      <c r="L2" s="165"/>
      <c r="M2" s="165"/>
      <c r="N2" s="165"/>
      <c r="O2" s="165"/>
      <c r="P2" s="166"/>
      <c r="Q2" s="164" t="s">
        <v>26</v>
      </c>
      <c r="R2" s="165"/>
      <c r="S2" s="165"/>
      <c r="T2" s="165"/>
      <c r="U2" s="165"/>
      <c r="V2" s="166"/>
    </row>
    <row r="3" spans="1:22" ht="34.200000000000003" customHeight="1">
      <c r="A3" s="162"/>
      <c r="B3" s="162"/>
      <c r="C3" s="162"/>
      <c r="D3" s="5" t="s">
        <v>21</v>
      </c>
      <c r="E3" s="5" t="s">
        <v>205</v>
      </c>
      <c r="F3" s="5" t="s">
        <v>22</v>
      </c>
      <c r="G3" s="5" t="s">
        <v>20</v>
      </c>
      <c r="H3" s="5" t="s">
        <v>82</v>
      </c>
      <c r="I3" s="5" t="s">
        <v>31</v>
      </c>
      <c r="J3" s="5" t="s">
        <v>203</v>
      </c>
      <c r="K3" s="5" t="s">
        <v>24</v>
      </c>
      <c r="L3" s="5" t="s">
        <v>208</v>
      </c>
      <c r="M3" s="5" t="s">
        <v>206</v>
      </c>
      <c r="N3" s="5" t="s">
        <v>25</v>
      </c>
      <c r="O3" s="5" t="s">
        <v>32</v>
      </c>
      <c r="P3" s="5" t="s">
        <v>207</v>
      </c>
      <c r="Q3" s="5" t="s">
        <v>27</v>
      </c>
      <c r="R3" s="5" t="s">
        <v>28</v>
      </c>
      <c r="S3" s="5" t="s">
        <v>29</v>
      </c>
      <c r="T3" s="12" t="s">
        <v>414</v>
      </c>
      <c r="U3" s="5" t="s">
        <v>6</v>
      </c>
      <c r="V3" s="5" t="s">
        <v>209</v>
      </c>
    </row>
    <row r="4" spans="1:22">
      <c r="A4" s="13">
        <f>'法人一覧(25)'!A4</f>
        <v>1</v>
      </c>
      <c r="B4" s="2" t="str">
        <f>'法人一覧(25)'!B4</f>
        <v>内閣府</v>
      </c>
      <c r="C4" s="2" t="str">
        <f>'法人一覧(25)'!C4</f>
        <v>国立公文書館</v>
      </c>
      <c r="D4" s="29">
        <v>422275725</v>
      </c>
      <c r="E4" s="29">
        <v>0</v>
      </c>
      <c r="F4" s="29">
        <v>0</v>
      </c>
      <c r="G4" s="29">
        <v>5402832730</v>
      </c>
      <c r="H4" s="29">
        <v>0</v>
      </c>
      <c r="I4" s="29">
        <f>J4-SUM(D4:H4)</f>
        <v>21151462</v>
      </c>
      <c r="J4" s="29">
        <v>5846259917</v>
      </c>
      <c r="K4" s="29">
        <v>245088455</v>
      </c>
      <c r="L4" s="29">
        <v>0</v>
      </c>
      <c r="M4" s="29">
        <v>0</v>
      </c>
      <c r="N4" s="29">
        <v>0</v>
      </c>
      <c r="O4" s="29">
        <f>P4-SUM(K4:N4)</f>
        <v>881018325</v>
      </c>
      <c r="P4" s="29">
        <v>1126106780</v>
      </c>
      <c r="Q4" s="29">
        <v>7179918000</v>
      </c>
      <c r="R4" s="29">
        <v>0</v>
      </c>
      <c r="S4" s="29">
        <v>-2429328508</v>
      </c>
      <c r="T4" s="52">
        <v>-30436355</v>
      </c>
      <c r="U4" s="29">
        <f>V4-SUM(Q4:T4)</f>
        <v>0</v>
      </c>
      <c r="V4" s="29">
        <v>4720153137</v>
      </c>
    </row>
    <row r="5" spans="1:22">
      <c r="A5" s="13">
        <f>'法人一覧(25)'!A5</f>
        <v>2</v>
      </c>
      <c r="B5" s="2" t="str">
        <f>'法人一覧(25)'!B5</f>
        <v>内閣府</v>
      </c>
      <c r="C5" s="2" t="str">
        <f>'法人一覧(25)'!C5</f>
        <v>北方領土問題対策協会</v>
      </c>
      <c r="D5" s="29">
        <v>1489779110</v>
      </c>
      <c r="E5" s="29">
        <v>0</v>
      </c>
      <c r="F5" s="29">
        <v>4451379104</v>
      </c>
      <c r="G5" s="29">
        <v>370563044</v>
      </c>
      <c r="H5" s="29">
        <v>0</v>
      </c>
      <c r="I5" s="29">
        <f t="shared" ref="I5" si="0">J5-SUM(D5:H5)</f>
        <v>73106460</v>
      </c>
      <c r="J5" s="29">
        <v>6384827718</v>
      </c>
      <c r="K5" s="29">
        <v>14296766</v>
      </c>
      <c r="L5" s="29">
        <v>47599218</v>
      </c>
      <c r="M5" s="29">
        <f>1049500000+3016600000</f>
        <v>4066100000</v>
      </c>
      <c r="N5" s="29">
        <v>0</v>
      </c>
      <c r="O5" s="29">
        <f t="shared" ref="O5" si="1">P5-SUM(K5:N5)</f>
        <v>282116066</v>
      </c>
      <c r="P5" s="29">
        <v>4410112050</v>
      </c>
      <c r="Q5" s="29">
        <v>256069521</v>
      </c>
      <c r="R5" s="29">
        <v>0</v>
      </c>
      <c r="S5" s="29">
        <v>1011866440</v>
      </c>
      <c r="T5" s="29">
        <v>706779707</v>
      </c>
      <c r="U5" s="29">
        <f t="shared" ref="U5" si="2">V5-SUM(Q5:T5)</f>
        <v>0</v>
      </c>
      <c r="V5" s="29">
        <v>1974715668</v>
      </c>
    </row>
    <row r="6" spans="1:22">
      <c r="A6" s="13">
        <f>'法人一覧(25)'!A6</f>
        <v>3</v>
      </c>
      <c r="B6" s="2" t="str">
        <f>'法人一覧(25)'!B6</f>
        <v>消費者庁</v>
      </c>
      <c r="C6" s="2" t="str">
        <f>'法人一覧(25)'!C6</f>
        <v>国民生活センター</v>
      </c>
      <c r="D6" s="29">
        <v>1881188858</v>
      </c>
      <c r="E6" s="29">
        <v>0</v>
      </c>
      <c r="F6" s="29">
        <v>0</v>
      </c>
      <c r="G6" s="29">
        <v>8667789205</v>
      </c>
      <c r="H6" s="29">
        <v>0</v>
      </c>
      <c r="I6" s="29">
        <f t="shared" ref="I6:I7" si="3">J6-SUM(D6:H6)</f>
        <v>32938657</v>
      </c>
      <c r="J6" s="29">
        <v>10581916720</v>
      </c>
      <c r="K6" s="29">
        <v>1590563576</v>
      </c>
      <c r="L6" s="29">
        <v>0</v>
      </c>
      <c r="M6" s="29">
        <v>0</v>
      </c>
      <c r="N6" s="29">
        <v>0</v>
      </c>
      <c r="O6" s="29">
        <f t="shared" ref="O6:O7" si="4">P6-SUM(K6:N6)</f>
        <v>1047840051</v>
      </c>
      <c r="P6" s="29">
        <v>2638403627</v>
      </c>
      <c r="Q6" s="29">
        <v>8901601997</v>
      </c>
      <c r="R6" s="29">
        <v>0</v>
      </c>
      <c r="S6" s="29">
        <v>-960269808</v>
      </c>
      <c r="T6" s="29">
        <v>2180904</v>
      </c>
      <c r="U6" s="29">
        <f t="shared" ref="U6:U9" si="5">V6-SUM(Q6:T6)</f>
        <v>0</v>
      </c>
      <c r="V6" s="29">
        <v>7943513093</v>
      </c>
    </row>
    <row r="7" spans="1:22">
      <c r="A7" s="13">
        <f>'法人一覧(25)'!A7</f>
        <v>4</v>
      </c>
      <c r="B7" s="2" t="str">
        <f>'法人一覧(25)'!B7</f>
        <v>総務省</v>
      </c>
      <c r="C7" s="2" t="str">
        <f>'法人一覧(25)'!C7</f>
        <v>情報通信研究機構</v>
      </c>
      <c r="D7" s="52">
        <v>12578305150</v>
      </c>
      <c r="E7" s="52">
        <f>1999091455+6615265039+286000000</f>
        <v>8900356494</v>
      </c>
      <c r="F7" s="52">
        <v>0</v>
      </c>
      <c r="G7" s="52">
        <v>127407612183</v>
      </c>
      <c r="H7" s="52">
        <f>540150995+521784+403673974+12600000</f>
        <v>956946753</v>
      </c>
      <c r="I7" s="52">
        <f t="shared" si="3"/>
        <v>24910867770</v>
      </c>
      <c r="J7" s="52">
        <v>174754088350</v>
      </c>
      <c r="K7" s="52">
        <v>7366371602</v>
      </c>
      <c r="L7" s="52">
        <v>747023</v>
      </c>
      <c r="M7" s="52">
        <v>0</v>
      </c>
      <c r="N7" s="52">
        <f>2878822+6518955</f>
        <v>9397777</v>
      </c>
      <c r="O7" s="52">
        <f t="shared" si="4"/>
        <v>36278402684</v>
      </c>
      <c r="P7" s="52">
        <v>43654919086</v>
      </c>
      <c r="Q7" s="52">
        <v>144572986525</v>
      </c>
      <c r="R7" s="52">
        <f>2800000000+433500000</f>
        <v>3233500000</v>
      </c>
      <c r="S7" s="52">
        <v>41216249633</v>
      </c>
      <c r="T7" s="52">
        <v>-57923566894</v>
      </c>
      <c r="U7" s="52">
        <f t="shared" si="5"/>
        <v>0</v>
      </c>
      <c r="V7" s="52">
        <v>131099169264</v>
      </c>
    </row>
    <row r="8" spans="1:22">
      <c r="A8" s="13">
        <f>'法人一覧(25)'!A8</f>
        <v>5</v>
      </c>
      <c r="B8" s="2" t="str">
        <f>'法人一覧(25)'!B8</f>
        <v>総務省</v>
      </c>
      <c r="C8" s="2" t="str">
        <f>'法人一覧(25)'!C8</f>
        <v>統計センター</v>
      </c>
      <c r="D8" s="52">
        <v>1536684920</v>
      </c>
      <c r="E8" s="52">
        <v>0</v>
      </c>
      <c r="F8" s="52">
        <v>0</v>
      </c>
      <c r="G8" s="52">
        <v>1232994715</v>
      </c>
      <c r="H8" s="52">
        <v>0</v>
      </c>
      <c r="I8" s="52">
        <f t="shared" ref="I8:I9" si="6">J8-SUM(D8:H8)</f>
        <v>324446439</v>
      </c>
      <c r="J8" s="52">
        <v>3094126074</v>
      </c>
      <c r="K8" s="52">
        <v>392330977</v>
      </c>
      <c r="L8" s="52">
        <v>0</v>
      </c>
      <c r="M8" s="52">
        <v>0</v>
      </c>
      <c r="N8" s="52">
        <v>0</v>
      </c>
      <c r="O8" s="52">
        <f t="shared" ref="O8:O9" si="7">P8-SUM(K8:N8)</f>
        <v>2065722510</v>
      </c>
      <c r="P8" s="52">
        <v>2458053487</v>
      </c>
      <c r="Q8" s="52">
        <v>0</v>
      </c>
      <c r="R8" s="52">
        <v>0</v>
      </c>
      <c r="S8" s="52">
        <v>0</v>
      </c>
      <c r="T8" s="52">
        <v>636072587</v>
      </c>
      <c r="U8" s="52">
        <f t="shared" si="5"/>
        <v>0</v>
      </c>
      <c r="V8" s="52">
        <v>636072587</v>
      </c>
    </row>
    <row r="9" spans="1:22">
      <c r="A9" s="13">
        <f>'法人一覧(25)'!A9</f>
        <v>6</v>
      </c>
      <c r="B9" s="2" t="str">
        <f>'法人一覧(25)'!B9</f>
        <v>総務省</v>
      </c>
      <c r="C9" s="2" t="str">
        <f>'法人一覧(25)'!C9</f>
        <v>郵便貯金・簡易生命保険管理機構</v>
      </c>
      <c r="D9" s="52">
        <v>26022746753833</v>
      </c>
      <c r="E9" s="52">
        <v>19801400869</v>
      </c>
      <c r="F9" s="52">
        <v>11969201025284</v>
      </c>
      <c r="G9" s="52">
        <v>32880706</v>
      </c>
      <c r="H9" s="52">
        <v>0</v>
      </c>
      <c r="I9" s="52">
        <f t="shared" si="6"/>
        <v>573655874768</v>
      </c>
      <c r="J9" s="52">
        <v>38585437935460</v>
      </c>
      <c r="K9" s="52">
        <v>0</v>
      </c>
      <c r="L9" s="52">
        <v>0</v>
      </c>
      <c r="M9" s="52">
        <v>11969201025284</v>
      </c>
      <c r="N9" s="52">
        <f>33475333543+24180345+3988612+8173188+10215775622</f>
        <v>43727451310</v>
      </c>
      <c r="O9" s="52">
        <f t="shared" si="7"/>
        <v>26527912258716</v>
      </c>
      <c r="P9" s="52">
        <v>38540840735310</v>
      </c>
      <c r="Q9" s="52">
        <v>0</v>
      </c>
      <c r="R9" s="52">
        <v>0</v>
      </c>
      <c r="S9" s="52">
        <v>0</v>
      </c>
      <c r="T9" s="52">
        <v>37597200150</v>
      </c>
      <c r="U9" s="52">
        <f t="shared" si="5"/>
        <v>7000000000</v>
      </c>
      <c r="V9" s="52">
        <v>44597200150</v>
      </c>
    </row>
    <row r="10" spans="1:22">
      <c r="A10" s="13">
        <f>'法人一覧(25)'!A10</f>
        <v>7</v>
      </c>
      <c r="B10" s="2" t="str">
        <f>'法人一覧(25)'!B10</f>
        <v>外務省</v>
      </c>
      <c r="C10" s="2" t="str">
        <f>'法人一覧(25)'!C10</f>
        <v>国際協力機構</v>
      </c>
      <c r="D10" s="29">
        <v>121070767306</v>
      </c>
      <c r="E10" s="29">
        <f>100000000000+300000000+1</f>
        <v>100300000001</v>
      </c>
      <c r="F10" s="29">
        <f>10926055450728+414897651+105175733+881680972+117732919</f>
        <v>10927574938003</v>
      </c>
      <c r="G10" s="29">
        <v>54979091007</v>
      </c>
      <c r="H10" s="29">
        <v>664793</v>
      </c>
      <c r="I10" s="29">
        <f t="shared" ref="I10:I71" si="8">J10-SUM(D10:H10)</f>
        <v>172847866090</v>
      </c>
      <c r="J10" s="29">
        <v>11376773327200</v>
      </c>
      <c r="K10" s="29">
        <v>31731636405</v>
      </c>
      <c r="L10" s="29">
        <v>0</v>
      </c>
      <c r="M10" s="29">
        <f>275875802000+320000000000+1506085530000</f>
        <v>2101961332000</v>
      </c>
      <c r="N10" s="29">
        <f>9429076486+7892244558</f>
        <v>17321321044</v>
      </c>
      <c r="O10" s="29">
        <f t="shared" ref="O10:O71" si="9">P10-SUM(K10:N10)</f>
        <v>173928450528</v>
      </c>
      <c r="P10" s="29">
        <v>2324942739977</v>
      </c>
      <c r="Q10" s="29">
        <v>7832098486201</v>
      </c>
      <c r="R10" s="29">
        <v>0</v>
      </c>
      <c r="S10" s="29">
        <v>-16507397041</v>
      </c>
      <c r="T10" s="29">
        <v>1259542501250</v>
      </c>
      <c r="U10" s="29">
        <f t="shared" ref="U10:U71" si="10">V10-SUM(Q10:T10)</f>
        <v>-23303003187</v>
      </c>
      <c r="V10" s="29">
        <v>9051830587223</v>
      </c>
    </row>
    <row r="11" spans="1:22">
      <c r="A11" s="13">
        <f>'法人一覧(25)'!A11</f>
        <v>8</v>
      </c>
      <c r="B11" s="2" t="str">
        <f>'法人一覧(25)'!B11</f>
        <v>外務省</v>
      </c>
      <c r="C11" s="2" t="str">
        <f>'法人一覧(25)'!C11</f>
        <v>国際交流基金</v>
      </c>
      <c r="D11" s="29">
        <v>5705504594</v>
      </c>
      <c r="E11" s="29">
        <f>24055347660+55335206890+700000000</f>
        <v>80090554550</v>
      </c>
      <c r="F11" s="29">
        <v>0</v>
      </c>
      <c r="G11" s="29">
        <v>9490515770</v>
      </c>
      <c r="H11" s="29">
        <v>0</v>
      </c>
      <c r="I11" s="29">
        <f t="shared" si="8"/>
        <v>1785647215</v>
      </c>
      <c r="J11" s="29">
        <v>97072222129</v>
      </c>
      <c r="K11" s="29">
        <v>171022361</v>
      </c>
      <c r="L11" s="29">
        <f>2866023000+17161739348</f>
        <v>20027762348</v>
      </c>
      <c r="M11" s="29">
        <v>0</v>
      </c>
      <c r="N11" s="29">
        <v>14286815</v>
      </c>
      <c r="O11" s="29">
        <f t="shared" si="9"/>
        <v>3512145950</v>
      </c>
      <c r="P11" s="29">
        <v>23725217474</v>
      </c>
      <c r="Q11" s="29">
        <v>77865325177</v>
      </c>
      <c r="R11" s="29">
        <v>0</v>
      </c>
      <c r="S11" s="29">
        <v>-4019566329</v>
      </c>
      <c r="T11" s="29">
        <v>-498521876</v>
      </c>
      <c r="U11" s="29">
        <f t="shared" si="10"/>
        <v>-232317</v>
      </c>
      <c r="V11" s="29">
        <v>73347004655</v>
      </c>
    </row>
    <row r="12" spans="1:22">
      <c r="A12" s="13">
        <f>'法人一覧(25)'!A12</f>
        <v>9</v>
      </c>
      <c r="B12" s="2" t="str">
        <f>'法人一覧(25)'!B12</f>
        <v>財務省</v>
      </c>
      <c r="C12" s="2" t="str">
        <f>'法人一覧(25)'!C12</f>
        <v>酒類総合研究所</v>
      </c>
      <c r="D12" s="29">
        <v>346657045</v>
      </c>
      <c r="E12" s="29">
        <v>0</v>
      </c>
      <c r="F12" s="29">
        <v>0</v>
      </c>
      <c r="G12" s="29">
        <v>6398930382</v>
      </c>
      <c r="H12" s="29">
        <v>0</v>
      </c>
      <c r="I12" s="29">
        <f t="shared" ref="I12:I15" si="11">J12-SUM(D12:H12)</f>
        <v>25176335</v>
      </c>
      <c r="J12" s="29">
        <v>6770763762</v>
      </c>
      <c r="K12" s="29">
        <v>237815135</v>
      </c>
      <c r="L12" s="29">
        <v>0</v>
      </c>
      <c r="M12" s="29">
        <v>0</v>
      </c>
      <c r="N12" s="29">
        <v>0</v>
      </c>
      <c r="O12" s="29">
        <f t="shared" ref="O12:O15" si="12">P12-SUM(K12:N12)</f>
        <v>509267364</v>
      </c>
      <c r="P12" s="29">
        <v>747082499</v>
      </c>
      <c r="Q12" s="29">
        <v>9833084980</v>
      </c>
      <c r="R12" s="29">
        <v>0</v>
      </c>
      <c r="S12" s="29">
        <v>-3811861821</v>
      </c>
      <c r="T12" s="29">
        <v>2458104</v>
      </c>
      <c r="U12" s="29">
        <f t="shared" si="10"/>
        <v>0</v>
      </c>
      <c r="V12" s="29">
        <v>6023681263</v>
      </c>
    </row>
    <row r="13" spans="1:22">
      <c r="A13" s="13">
        <f>'法人一覧(25)'!A13</f>
        <v>10</v>
      </c>
      <c r="B13" s="2" t="str">
        <f>'法人一覧(25)'!B13</f>
        <v>財務省</v>
      </c>
      <c r="C13" s="2" t="str">
        <f>'法人一覧(25)'!C13</f>
        <v>造幣局</v>
      </c>
      <c r="D13" s="29">
        <v>1601058376</v>
      </c>
      <c r="E13" s="29">
        <f>13509799164+5630661363</f>
        <v>19140460527</v>
      </c>
      <c r="F13" s="29">
        <v>0</v>
      </c>
      <c r="G13" s="29">
        <v>68698266523</v>
      </c>
      <c r="H13" s="29">
        <v>0</v>
      </c>
      <c r="I13" s="29">
        <f t="shared" si="11"/>
        <v>11913863195</v>
      </c>
      <c r="J13" s="29">
        <v>101353648621</v>
      </c>
      <c r="K13" s="29">
        <v>0</v>
      </c>
      <c r="L13" s="29">
        <v>0</v>
      </c>
      <c r="M13" s="29">
        <v>0</v>
      </c>
      <c r="N13" s="29">
        <f>17146454431+456732897</f>
        <v>17603187328</v>
      </c>
      <c r="O13" s="29">
        <f t="shared" si="12"/>
        <v>6707307971</v>
      </c>
      <c r="P13" s="29">
        <v>24310495299</v>
      </c>
      <c r="Q13" s="29">
        <v>61255784676</v>
      </c>
      <c r="R13" s="29">
        <v>0</v>
      </c>
      <c r="S13" s="29">
        <v>1034285382</v>
      </c>
      <c r="T13" s="29">
        <v>14753083264</v>
      </c>
      <c r="U13" s="29">
        <f t="shared" si="10"/>
        <v>0</v>
      </c>
      <c r="V13" s="29">
        <v>77043153322</v>
      </c>
    </row>
    <row r="14" spans="1:22">
      <c r="A14" s="13">
        <f>'法人一覧(25)'!A14</f>
        <v>11</v>
      </c>
      <c r="B14" s="2" t="str">
        <f>'法人一覧(25)'!B14</f>
        <v>財務省</v>
      </c>
      <c r="C14" s="2" t="str">
        <f>'法人一覧(25)'!C14</f>
        <v>国立印刷局</v>
      </c>
      <c r="D14" s="29">
        <v>32231145778</v>
      </c>
      <c r="E14" s="29">
        <f>10498560611+15200000000</f>
        <v>25698560611</v>
      </c>
      <c r="F14" s="29">
        <v>0</v>
      </c>
      <c r="G14" s="29">
        <v>214457651261</v>
      </c>
      <c r="H14" s="29">
        <f>80834796+46598154</f>
        <v>127432950</v>
      </c>
      <c r="I14" s="29">
        <f t="shared" si="11"/>
        <v>22442650298</v>
      </c>
      <c r="J14" s="29">
        <v>294957440898</v>
      </c>
      <c r="K14" s="29">
        <v>0</v>
      </c>
      <c r="L14" s="29">
        <v>0</v>
      </c>
      <c r="M14" s="29">
        <v>0</v>
      </c>
      <c r="N14" s="29">
        <f>2363552042+75692204426</f>
        <v>78055756468</v>
      </c>
      <c r="O14" s="29">
        <f t="shared" si="12"/>
        <v>9442041369</v>
      </c>
      <c r="P14" s="29">
        <v>87497797837</v>
      </c>
      <c r="Q14" s="29">
        <v>148542392786</v>
      </c>
      <c r="R14" s="29">
        <v>0</v>
      </c>
      <c r="S14" s="29">
        <v>5546163026</v>
      </c>
      <c r="T14" s="29">
        <v>53371087249</v>
      </c>
      <c r="U14" s="29">
        <f t="shared" si="10"/>
        <v>0</v>
      </c>
      <c r="V14" s="29">
        <v>207459643061</v>
      </c>
    </row>
    <row r="15" spans="1:22">
      <c r="A15" s="13">
        <f>'法人一覧(25)'!A15</f>
        <v>12</v>
      </c>
      <c r="B15" s="2" t="str">
        <f>'法人一覧(25)'!B15</f>
        <v>財務省</v>
      </c>
      <c r="C15" s="2" t="str">
        <f>'法人一覧(25)'!C15</f>
        <v>日本万国博覧会記念機構</v>
      </c>
      <c r="D15" s="52">
        <v>11455387149</v>
      </c>
      <c r="E15" s="52">
        <f>2299782179+27883004034</f>
        <v>30182786213</v>
      </c>
      <c r="F15" s="52">
        <v>0</v>
      </c>
      <c r="G15" s="52">
        <v>106364048505</v>
      </c>
      <c r="H15" s="52">
        <v>0</v>
      </c>
      <c r="I15" s="52">
        <f t="shared" si="11"/>
        <v>312662677</v>
      </c>
      <c r="J15" s="52">
        <v>148314884544</v>
      </c>
      <c r="K15" s="52">
        <v>0</v>
      </c>
      <c r="L15" s="52">
        <v>0</v>
      </c>
      <c r="M15" s="52">
        <v>0</v>
      </c>
      <c r="N15" s="52">
        <f>55500000+346618376</f>
        <v>402118376</v>
      </c>
      <c r="O15" s="52">
        <f t="shared" si="12"/>
        <v>4942998687</v>
      </c>
      <c r="P15" s="52">
        <v>5345117063</v>
      </c>
      <c r="Q15" s="52">
        <v>64692252507</v>
      </c>
      <c r="R15" s="52">
        <v>57285429933</v>
      </c>
      <c r="S15" s="52">
        <v>0</v>
      </c>
      <c r="T15" s="52">
        <v>1982364601</v>
      </c>
      <c r="U15" s="52">
        <f t="shared" si="10"/>
        <v>19009720440</v>
      </c>
      <c r="V15" s="52">
        <v>142969767481</v>
      </c>
    </row>
    <row r="16" spans="1:22">
      <c r="A16" s="13">
        <f>'法人一覧(25)'!A16</f>
        <v>13</v>
      </c>
      <c r="B16" s="2" t="str">
        <f>'法人一覧(25)'!B16</f>
        <v>文部科学省</v>
      </c>
      <c r="C16" s="2" t="str">
        <f>'法人一覧(25)'!C16</f>
        <v>国立特別支援教育総合研究所</v>
      </c>
      <c r="D16" s="52">
        <v>149370433</v>
      </c>
      <c r="E16" s="52">
        <v>0</v>
      </c>
      <c r="F16" s="52">
        <v>0</v>
      </c>
      <c r="G16" s="52">
        <v>6089044560</v>
      </c>
      <c r="H16" s="52">
        <v>0</v>
      </c>
      <c r="I16" s="52">
        <f t="shared" ref="I16:I57" si="13">J16-SUM(D16:H16)</f>
        <v>18708081</v>
      </c>
      <c r="J16" s="52">
        <v>6257123074</v>
      </c>
      <c r="K16" s="52">
        <v>26584974</v>
      </c>
      <c r="L16" s="52">
        <v>0</v>
      </c>
      <c r="M16" s="52">
        <v>0</v>
      </c>
      <c r="N16" s="52">
        <v>0</v>
      </c>
      <c r="O16" s="52">
        <f t="shared" ref="O16:O57" si="14">P16-SUM(K16:N16)</f>
        <v>249349532</v>
      </c>
      <c r="P16" s="52">
        <v>275934506</v>
      </c>
      <c r="Q16" s="52">
        <v>6048582321</v>
      </c>
      <c r="R16" s="52">
        <v>0</v>
      </c>
      <c r="S16" s="52">
        <v>-73816373</v>
      </c>
      <c r="T16" s="52">
        <v>6422620</v>
      </c>
      <c r="U16" s="52">
        <f t="shared" ref="U16:U57" si="15">V16-SUM(Q16:T16)</f>
        <v>0</v>
      </c>
      <c r="V16" s="52">
        <v>5981188568</v>
      </c>
    </row>
    <row r="17" spans="1:22">
      <c r="A17" s="13">
        <f>'法人一覧(25)'!A17</f>
        <v>14</v>
      </c>
      <c r="B17" s="2" t="str">
        <f>'法人一覧(25)'!B17</f>
        <v>文部科学省</v>
      </c>
      <c r="C17" s="2" t="str">
        <f>'法人一覧(25)'!C17</f>
        <v>大学入試センター</v>
      </c>
      <c r="D17" s="52">
        <v>3135302940</v>
      </c>
      <c r="E17" s="52">
        <v>0</v>
      </c>
      <c r="F17" s="52">
        <v>0</v>
      </c>
      <c r="G17" s="52">
        <v>11633050856</v>
      </c>
      <c r="H17" s="52">
        <v>0</v>
      </c>
      <c r="I17" s="52">
        <f t="shared" si="13"/>
        <v>10053008</v>
      </c>
      <c r="J17" s="52">
        <v>14778406804</v>
      </c>
      <c r="K17" s="52">
        <v>0</v>
      </c>
      <c r="L17" s="52">
        <v>0</v>
      </c>
      <c r="M17" s="52">
        <v>0</v>
      </c>
      <c r="N17" s="52">
        <f>51275711+618808489</f>
        <v>670084200</v>
      </c>
      <c r="O17" s="52">
        <f t="shared" si="14"/>
        <v>998014203</v>
      </c>
      <c r="P17" s="52">
        <v>1668098403</v>
      </c>
      <c r="Q17" s="52">
        <v>11591504000</v>
      </c>
      <c r="R17" s="52">
        <v>0</v>
      </c>
      <c r="S17" s="52">
        <v>-742779233</v>
      </c>
      <c r="T17" s="52">
        <v>2261583634</v>
      </c>
      <c r="U17" s="52">
        <f t="shared" si="15"/>
        <v>0</v>
      </c>
      <c r="V17" s="52">
        <v>13110308401</v>
      </c>
    </row>
    <row r="18" spans="1:22">
      <c r="A18" s="13">
        <f>'法人一覧(25)'!A18</f>
        <v>15</v>
      </c>
      <c r="B18" s="2" t="str">
        <f>'法人一覧(25)'!B18</f>
        <v>文部科学省</v>
      </c>
      <c r="C18" s="2" t="str">
        <f>'法人一覧(25)'!C18</f>
        <v>国立青少年教育振興機構</v>
      </c>
      <c r="D18" s="52">
        <v>2689191043</v>
      </c>
      <c r="E18" s="52">
        <v>94271264</v>
      </c>
      <c r="F18" s="52">
        <v>0</v>
      </c>
      <c r="G18" s="52">
        <v>90842553964</v>
      </c>
      <c r="H18" s="52">
        <v>0</v>
      </c>
      <c r="I18" s="52">
        <f t="shared" si="13"/>
        <v>315297787</v>
      </c>
      <c r="J18" s="52">
        <v>93941314058</v>
      </c>
      <c r="K18" s="52">
        <v>1060428200</v>
      </c>
      <c r="L18" s="52">
        <v>169139</v>
      </c>
      <c r="M18" s="52">
        <v>0</v>
      </c>
      <c r="N18" s="52">
        <v>0</v>
      </c>
      <c r="O18" s="52">
        <f t="shared" si="14"/>
        <v>2730905384</v>
      </c>
      <c r="P18" s="52">
        <v>3791502723</v>
      </c>
      <c r="Q18" s="52">
        <v>113514962061</v>
      </c>
      <c r="R18" s="52">
        <v>0</v>
      </c>
      <c r="S18" s="52">
        <v>-23366916412</v>
      </c>
      <c r="T18" s="52">
        <v>1765686</v>
      </c>
      <c r="U18" s="52">
        <f t="shared" si="15"/>
        <v>0</v>
      </c>
      <c r="V18" s="52">
        <v>90149811335</v>
      </c>
    </row>
    <row r="19" spans="1:22">
      <c r="A19" s="13">
        <f>'法人一覧(25)'!A19</f>
        <v>16</v>
      </c>
      <c r="B19" s="2" t="str">
        <f>'法人一覧(25)'!B19</f>
        <v>文部科学省</v>
      </c>
      <c r="C19" s="2" t="str">
        <f>'法人一覧(25)'!C19</f>
        <v>国立女性教育会館</v>
      </c>
      <c r="D19" s="52">
        <v>204882716</v>
      </c>
      <c r="E19" s="52">
        <v>0</v>
      </c>
      <c r="F19" s="52">
        <v>0</v>
      </c>
      <c r="G19" s="52">
        <v>2336993064</v>
      </c>
      <c r="H19" s="52">
        <v>0</v>
      </c>
      <c r="I19" s="52">
        <f t="shared" si="13"/>
        <v>7411176</v>
      </c>
      <c r="J19" s="52">
        <v>2549286956</v>
      </c>
      <c r="K19" s="52">
        <v>25110000</v>
      </c>
      <c r="L19" s="52">
        <v>2080379</v>
      </c>
      <c r="M19" s="52">
        <v>0</v>
      </c>
      <c r="N19" s="52">
        <v>0</v>
      </c>
      <c r="O19" s="52">
        <f t="shared" si="14"/>
        <v>172761091</v>
      </c>
      <c r="P19" s="52">
        <v>199951470</v>
      </c>
      <c r="Q19" s="52">
        <v>3615041440</v>
      </c>
      <c r="R19" s="52">
        <v>0</v>
      </c>
      <c r="S19" s="52">
        <v>-1313080508</v>
      </c>
      <c r="T19" s="52">
        <v>47374554</v>
      </c>
      <c r="U19" s="52">
        <f t="shared" si="15"/>
        <v>0</v>
      </c>
      <c r="V19" s="52">
        <v>2349335486</v>
      </c>
    </row>
    <row r="20" spans="1:22">
      <c r="A20" s="13">
        <f>'法人一覧(25)'!A20</f>
        <v>17</v>
      </c>
      <c r="B20" s="2" t="str">
        <f>'法人一覧(25)'!B20</f>
        <v>文部科学省</v>
      </c>
      <c r="C20" s="2" t="str">
        <f>'法人一覧(25)'!C20</f>
        <v>国立科学博物館</v>
      </c>
      <c r="D20" s="52">
        <v>984485116</v>
      </c>
      <c r="E20" s="52">
        <v>0</v>
      </c>
      <c r="F20" s="52">
        <v>0</v>
      </c>
      <c r="G20" s="52">
        <v>73936957203</v>
      </c>
      <c r="H20" s="52">
        <v>0</v>
      </c>
      <c r="I20" s="52">
        <f t="shared" si="13"/>
        <v>125636704</v>
      </c>
      <c r="J20" s="52">
        <v>75047079023</v>
      </c>
      <c r="K20" s="52">
        <v>190695320</v>
      </c>
      <c r="L20" s="52">
        <v>0</v>
      </c>
      <c r="M20" s="52">
        <v>0</v>
      </c>
      <c r="N20" s="52">
        <v>36926400</v>
      </c>
      <c r="O20" s="52">
        <f t="shared" si="14"/>
        <v>3314413058</v>
      </c>
      <c r="P20" s="52">
        <v>3542034778</v>
      </c>
      <c r="Q20" s="52">
        <v>68043723925</v>
      </c>
      <c r="R20" s="52">
        <v>0</v>
      </c>
      <c r="S20" s="52">
        <v>3397051865</v>
      </c>
      <c r="T20" s="52">
        <v>64268455</v>
      </c>
      <c r="U20" s="52">
        <f t="shared" si="15"/>
        <v>0</v>
      </c>
      <c r="V20" s="52">
        <v>71505044245</v>
      </c>
    </row>
    <row r="21" spans="1:22">
      <c r="A21" s="13">
        <f>'法人一覧(25)'!A21</f>
        <v>18</v>
      </c>
      <c r="B21" s="2" t="str">
        <f>'法人一覧(25)'!B21</f>
        <v>文部科学省</v>
      </c>
      <c r="C21" s="2" t="str">
        <f>'法人一覧(25)'!C21</f>
        <v>物質・材料研究機構</v>
      </c>
      <c r="D21" s="52">
        <v>8395590304</v>
      </c>
      <c r="E21" s="52">
        <v>0</v>
      </c>
      <c r="F21" s="52">
        <v>0</v>
      </c>
      <c r="G21" s="52">
        <v>80492781789</v>
      </c>
      <c r="H21" s="52">
        <f>280496858+517693726</f>
        <v>798190584</v>
      </c>
      <c r="I21" s="52">
        <f t="shared" si="13"/>
        <v>1229937978</v>
      </c>
      <c r="J21" s="52">
        <v>90916500655</v>
      </c>
      <c r="K21" s="52">
        <v>700736639</v>
      </c>
      <c r="L21" s="52">
        <v>4482547</v>
      </c>
      <c r="M21" s="52">
        <v>0</v>
      </c>
      <c r="N21" s="52">
        <v>0</v>
      </c>
      <c r="O21" s="52">
        <f t="shared" si="14"/>
        <v>22758326208</v>
      </c>
      <c r="P21" s="52">
        <v>23463545394</v>
      </c>
      <c r="Q21" s="52">
        <v>76459219970</v>
      </c>
      <c r="R21" s="52">
        <v>0</v>
      </c>
      <c r="S21" s="52">
        <v>-12549049219</v>
      </c>
      <c r="T21" s="52">
        <v>3542784510</v>
      </c>
      <c r="U21" s="52">
        <f t="shared" si="15"/>
        <v>0</v>
      </c>
      <c r="V21" s="52">
        <v>67452955261</v>
      </c>
    </row>
    <row r="22" spans="1:22">
      <c r="A22" s="13">
        <f>'法人一覧(25)'!A22</f>
        <v>19</v>
      </c>
      <c r="B22" s="2" t="str">
        <f>'法人一覧(25)'!B22</f>
        <v>文部科学省</v>
      </c>
      <c r="C22" s="2" t="str">
        <f>'法人一覧(25)'!C22</f>
        <v>防災科学技術研究所</v>
      </c>
      <c r="D22" s="52">
        <v>7630831497</v>
      </c>
      <c r="E22" s="52">
        <v>0</v>
      </c>
      <c r="F22" s="52">
        <v>0</v>
      </c>
      <c r="G22" s="52">
        <v>85488701150</v>
      </c>
      <c r="H22" s="52">
        <f>4500979+4558036</f>
        <v>9059015</v>
      </c>
      <c r="I22" s="52">
        <f t="shared" si="13"/>
        <v>376332523</v>
      </c>
      <c r="J22" s="52">
        <v>93504924185</v>
      </c>
      <c r="K22" s="52">
        <v>704938780</v>
      </c>
      <c r="L22" s="52">
        <f>22074050+176134634</f>
        <v>198208684</v>
      </c>
      <c r="M22" s="52">
        <v>0</v>
      </c>
      <c r="N22" s="52">
        <v>0</v>
      </c>
      <c r="O22" s="52">
        <f t="shared" si="14"/>
        <v>36524753647</v>
      </c>
      <c r="P22" s="52">
        <v>37427901111</v>
      </c>
      <c r="Q22" s="52">
        <v>58902884888</v>
      </c>
      <c r="R22" s="52">
        <v>0</v>
      </c>
      <c r="S22" s="52">
        <v>-2880601373</v>
      </c>
      <c r="T22" s="52">
        <v>54739559</v>
      </c>
      <c r="U22" s="52">
        <f t="shared" si="15"/>
        <v>0</v>
      </c>
      <c r="V22" s="52">
        <v>56077023074</v>
      </c>
    </row>
    <row r="23" spans="1:22">
      <c r="A23" s="13">
        <f>'法人一覧(25)'!A23</f>
        <v>20</v>
      </c>
      <c r="B23" s="2" t="str">
        <f>'法人一覧(25)'!B23</f>
        <v>文部科学省</v>
      </c>
      <c r="C23" s="2" t="str">
        <f>'法人一覧(25)'!C23</f>
        <v>放射線医学総合研究所</v>
      </c>
      <c r="D23" s="52">
        <v>6603306787</v>
      </c>
      <c r="E23" s="52">
        <v>0</v>
      </c>
      <c r="F23" s="52">
        <v>0</v>
      </c>
      <c r="G23" s="52">
        <v>41779878581</v>
      </c>
      <c r="H23" s="52">
        <v>0</v>
      </c>
      <c r="I23" s="52">
        <f t="shared" si="13"/>
        <v>707432277</v>
      </c>
      <c r="J23" s="52">
        <v>49090617645</v>
      </c>
      <c r="K23" s="52">
        <v>1979672536</v>
      </c>
      <c r="L23" s="52">
        <f>76729360+26655964</f>
        <v>103385324</v>
      </c>
      <c r="M23" s="52">
        <v>0</v>
      </c>
      <c r="N23" s="52">
        <v>0</v>
      </c>
      <c r="O23" s="52">
        <f t="shared" si="14"/>
        <v>21874998089</v>
      </c>
      <c r="P23" s="52">
        <v>23958055949</v>
      </c>
      <c r="Q23" s="52">
        <v>33509769188</v>
      </c>
      <c r="R23" s="52">
        <v>0</v>
      </c>
      <c r="S23" s="52">
        <v>-8815115022</v>
      </c>
      <c r="T23" s="52">
        <v>437907530</v>
      </c>
      <c r="U23" s="52">
        <f t="shared" si="15"/>
        <v>0</v>
      </c>
      <c r="V23" s="52">
        <v>25132561696</v>
      </c>
    </row>
    <row r="24" spans="1:22">
      <c r="A24" s="13">
        <f>'法人一覧(25)'!A24</f>
        <v>21</v>
      </c>
      <c r="B24" s="2" t="str">
        <f>'法人一覧(25)'!B24</f>
        <v>文部科学省</v>
      </c>
      <c r="C24" s="2" t="str">
        <f>'法人一覧(25)'!C24</f>
        <v>国立美術館</v>
      </c>
      <c r="D24" s="52">
        <v>1954539159</v>
      </c>
      <c r="E24" s="52">
        <v>0</v>
      </c>
      <c r="F24" s="52">
        <v>0</v>
      </c>
      <c r="G24" s="52">
        <v>171181596830</v>
      </c>
      <c r="H24" s="52">
        <v>0</v>
      </c>
      <c r="I24" s="52">
        <f t="shared" si="13"/>
        <v>817961347</v>
      </c>
      <c r="J24" s="52">
        <v>173954097336</v>
      </c>
      <c r="K24" s="52">
        <v>802098757</v>
      </c>
      <c r="L24" s="52">
        <v>0</v>
      </c>
      <c r="M24" s="52">
        <v>0</v>
      </c>
      <c r="N24" s="52">
        <v>0</v>
      </c>
      <c r="O24" s="52">
        <f t="shared" si="14"/>
        <v>2787487474</v>
      </c>
      <c r="P24" s="52">
        <v>3589586231</v>
      </c>
      <c r="Q24" s="52">
        <v>81019148662</v>
      </c>
      <c r="R24" s="52">
        <v>0</v>
      </c>
      <c r="S24" s="52">
        <v>88797605750</v>
      </c>
      <c r="T24" s="52">
        <v>547756693</v>
      </c>
      <c r="U24" s="52">
        <f t="shared" si="15"/>
        <v>0</v>
      </c>
      <c r="V24" s="52">
        <v>170364511105</v>
      </c>
    </row>
    <row r="25" spans="1:22">
      <c r="A25" s="13">
        <f>'法人一覧(25)'!A25</f>
        <v>22</v>
      </c>
      <c r="B25" s="2" t="str">
        <f>'法人一覧(25)'!B25</f>
        <v>文部科学省</v>
      </c>
      <c r="C25" s="2" t="str">
        <f>'法人一覧(25)'!C25</f>
        <v>国立文化財機構</v>
      </c>
      <c r="D25" s="52">
        <v>5393420239</v>
      </c>
      <c r="E25" s="52">
        <v>0</v>
      </c>
      <c r="F25" s="52">
        <v>0</v>
      </c>
      <c r="G25" s="52">
        <v>213531356875</v>
      </c>
      <c r="H25" s="52">
        <v>0</v>
      </c>
      <c r="I25" s="52">
        <f t="shared" si="13"/>
        <v>1132949823</v>
      </c>
      <c r="J25" s="52">
        <v>220057726937</v>
      </c>
      <c r="K25" s="52">
        <v>715679777</v>
      </c>
      <c r="L25" s="52">
        <v>0</v>
      </c>
      <c r="M25" s="52">
        <v>0</v>
      </c>
      <c r="N25" s="52">
        <v>12582071</v>
      </c>
      <c r="O25" s="52">
        <f t="shared" si="14"/>
        <v>9018366557</v>
      </c>
      <c r="P25" s="52">
        <v>9746628405</v>
      </c>
      <c r="Q25" s="52">
        <v>104713813740</v>
      </c>
      <c r="R25" s="52">
        <v>0</v>
      </c>
      <c r="S25" s="52">
        <v>104819217876</v>
      </c>
      <c r="T25" s="52">
        <v>778066916</v>
      </c>
      <c r="U25" s="52">
        <f t="shared" si="15"/>
        <v>0</v>
      </c>
      <c r="V25" s="52">
        <v>210311098532</v>
      </c>
    </row>
    <row r="26" spans="1:22">
      <c r="A26" s="13">
        <f>'法人一覧(25)'!A26</f>
        <v>23</v>
      </c>
      <c r="B26" s="2" t="str">
        <f>'法人一覧(25)'!B26</f>
        <v>文部科学省</v>
      </c>
      <c r="C26" s="2" t="str">
        <f>'法人一覧(25)'!C26</f>
        <v>教員研修センター</v>
      </c>
      <c r="D26" s="52">
        <v>339102890</v>
      </c>
      <c r="E26" s="52">
        <v>0</v>
      </c>
      <c r="F26" s="52">
        <v>0</v>
      </c>
      <c r="G26" s="52">
        <v>4963803468</v>
      </c>
      <c r="H26" s="52">
        <v>0</v>
      </c>
      <c r="I26" s="52">
        <f t="shared" si="13"/>
        <v>18920654</v>
      </c>
      <c r="J26" s="52">
        <v>5321827012</v>
      </c>
      <c r="K26" s="52">
        <v>227604803</v>
      </c>
      <c r="L26" s="52">
        <v>0</v>
      </c>
      <c r="M26" s="52">
        <v>0</v>
      </c>
      <c r="N26" s="52">
        <v>0</v>
      </c>
      <c r="O26" s="52">
        <f t="shared" si="14"/>
        <v>588826155</v>
      </c>
      <c r="P26" s="52">
        <v>816430958</v>
      </c>
      <c r="Q26" s="52">
        <v>3891142010</v>
      </c>
      <c r="R26" s="52">
        <v>0</v>
      </c>
      <c r="S26" s="52">
        <v>613100054</v>
      </c>
      <c r="T26" s="52">
        <v>1153990</v>
      </c>
      <c r="U26" s="52">
        <f t="shared" si="15"/>
        <v>0</v>
      </c>
      <c r="V26" s="52">
        <v>4505396054</v>
      </c>
    </row>
    <row r="27" spans="1:22">
      <c r="A27" s="13">
        <f>'法人一覧(25)'!A27</f>
        <v>24</v>
      </c>
      <c r="B27" s="2" t="str">
        <f>'法人一覧(25)'!B27</f>
        <v>文部科学省</v>
      </c>
      <c r="C27" s="2" t="str">
        <f>'法人一覧(25)'!C27</f>
        <v>科学技術振興機構</v>
      </c>
      <c r="D27" s="52">
        <v>93405986568</v>
      </c>
      <c r="E27" s="52">
        <f>20000000000+1319094156</f>
        <v>21319094156</v>
      </c>
      <c r="F27" s="52">
        <f>16755501771+11514121315-1054020966</f>
        <v>27215602120</v>
      </c>
      <c r="G27" s="52">
        <v>60316415459</v>
      </c>
      <c r="H27" s="52">
        <f>2822917442+1415526068+5619946837</f>
        <v>9858390347</v>
      </c>
      <c r="I27" s="52">
        <f t="shared" si="13"/>
        <v>10759605426</v>
      </c>
      <c r="J27" s="52">
        <v>222875094076</v>
      </c>
      <c r="K27" s="52">
        <v>18524550461</v>
      </c>
      <c r="L27" s="52">
        <f>8994190900+46207030217</f>
        <v>55201221117</v>
      </c>
      <c r="M27" s="52">
        <v>0</v>
      </c>
      <c r="N27" s="52">
        <f>7270864+181606824</f>
        <v>188877688</v>
      </c>
      <c r="O27" s="52">
        <f t="shared" si="14"/>
        <v>44297002100</v>
      </c>
      <c r="P27" s="52">
        <v>118211651366</v>
      </c>
      <c r="Q27" s="52">
        <v>214656394656</v>
      </c>
      <c r="R27" s="52">
        <v>57100000</v>
      </c>
      <c r="S27" s="52">
        <v>-36234405138</v>
      </c>
      <c r="T27" s="52">
        <v>-73815646808</v>
      </c>
      <c r="U27" s="52">
        <f t="shared" si="15"/>
        <v>0</v>
      </c>
      <c r="V27" s="52">
        <v>104663442710</v>
      </c>
    </row>
    <row r="28" spans="1:22">
      <c r="A28" s="13">
        <f>'法人一覧(25)'!A28</f>
        <v>25</v>
      </c>
      <c r="B28" s="2" t="str">
        <f>'法人一覧(25)'!B28</f>
        <v>文部科学省</v>
      </c>
      <c r="C28" s="2" t="str">
        <f>'法人一覧(25)'!C28</f>
        <v>日本学術振興会</v>
      </c>
      <c r="D28" s="52">
        <v>76667594855</v>
      </c>
      <c r="E28" s="52">
        <f>12499980243+99926230</f>
        <v>12599906473</v>
      </c>
      <c r="F28" s="52">
        <v>0</v>
      </c>
      <c r="G28" s="52">
        <v>210665420</v>
      </c>
      <c r="H28" s="52">
        <v>0</v>
      </c>
      <c r="I28" s="52">
        <f t="shared" si="13"/>
        <v>4187569139</v>
      </c>
      <c r="J28" s="52">
        <v>93665735887</v>
      </c>
      <c r="K28" s="52">
        <v>69597605</v>
      </c>
      <c r="L28" s="52">
        <f>55188500613+30684505897</f>
        <v>85873006510</v>
      </c>
      <c r="M28" s="52">
        <v>0</v>
      </c>
      <c r="N28" s="52">
        <v>2051274</v>
      </c>
      <c r="O28" s="52">
        <f t="shared" si="14"/>
        <v>7219365948</v>
      </c>
      <c r="P28" s="52">
        <v>93164021337</v>
      </c>
      <c r="Q28" s="52">
        <v>676048249</v>
      </c>
      <c r="R28" s="52">
        <v>1520000</v>
      </c>
      <c r="S28" s="52">
        <v>-455232717</v>
      </c>
      <c r="T28" s="52">
        <v>279379018</v>
      </c>
      <c r="U28" s="52">
        <f t="shared" si="15"/>
        <v>0</v>
      </c>
      <c r="V28" s="52">
        <v>501714550</v>
      </c>
    </row>
    <row r="29" spans="1:22">
      <c r="A29" s="13">
        <f>'法人一覧(25)'!A29</f>
        <v>26</v>
      </c>
      <c r="B29" s="2" t="str">
        <f>'法人一覧(25)'!B29</f>
        <v>文部科学省</v>
      </c>
      <c r="C29" s="2" t="str">
        <f>'法人一覧(25)'!C29</f>
        <v>理化学研究所</v>
      </c>
      <c r="D29" s="52">
        <v>31353913886</v>
      </c>
      <c r="E29" s="52">
        <v>0</v>
      </c>
      <c r="F29" s="52">
        <v>0</v>
      </c>
      <c r="G29" s="52">
        <v>293758037617</v>
      </c>
      <c r="H29" s="52">
        <f>617415130+760185914</f>
        <v>1377601044</v>
      </c>
      <c r="I29" s="52">
        <f t="shared" si="13"/>
        <v>2091506443</v>
      </c>
      <c r="J29" s="52">
        <v>328581058990</v>
      </c>
      <c r="K29" s="52">
        <v>4169172178</v>
      </c>
      <c r="L29" s="52">
        <v>0</v>
      </c>
      <c r="M29" s="52">
        <v>0</v>
      </c>
      <c r="N29" s="52">
        <v>0</v>
      </c>
      <c r="O29" s="52">
        <f t="shared" si="14"/>
        <v>123221698010</v>
      </c>
      <c r="P29" s="52">
        <v>127390870188</v>
      </c>
      <c r="Q29" s="52">
        <v>252457702422</v>
      </c>
      <c r="R29" s="52">
        <f>12726799841+157884580</f>
        <v>12884684421</v>
      </c>
      <c r="S29" s="52">
        <v>-68931737129</v>
      </c>
      <c r="T29" s="52">
        <v>4779539088</v>
      </c>
      <c r="U29" s="52">
        <f t="shared" si="15"/>
        <v>0</v>
      </c>
      <c r="V29" s="52">
        <v>201190188802</v>
      </c>
    </row>
    <row r="30" spans="1:22">
      <c r="A30" s="13">
        <f>'法人一覧(25)'!A30</f>
        <v>27</v>
      </c>
      <c r="B30" s="2" t="str">
        <f>'法人一覧(25)'!B30</f>
        <v>文部科学省</v>
      </c>
      <c r="C30" s="2" t="str">
        <f>'法人一覧(25)'!C30</f>
        <v>宇宙航空研究開発機構</v>
      </c>
      <c r="D30" s="52">
        <v>52422348001</v>
      </c>
      <c r="E30" s="52">
        <v>0</v>
      </c>
      <c r="F30" s="52">
        <v>0</v>
      </c>
      <c r="G30" s="52">
        <v>437892104445</v>
      </c>
      <c r="H30" s="52">
        <f>200269101+157324813</f>
        <v>357593914</v>
      </c>
      <c r="I30" s="52">
        <f t="shared" si="13"/>
        <v>137895170080</v>
      </c>
      <c r="J30" s="52">
        <v>628567216440</v>
      </c>
      <c r="K30" s="52">
        <v>5206318362</v>
      </c>
      <c r="L30" s="52">
        <f>319812744+301837154</f>
        <v>621649898</v>
      </c>
      <c r="M30" s="52">
        <v>0</v>
      </c>
      <c r="N30" s="52">
        <v>0</v>
      </c>
      <c r="O30" s="52">
        <f t="shared" si="14"/>
        <v>383973089277</v>
      </c>
      <c r="P30" s="52">
        <v>389801057537</v>
      </c>
      <c r="Q30" s="52">
        <v>544259092226</v>
      </c>
      <c r="R30" s="52">
        <v>6119132</v>
      </c>
      <c r="S30" s="52">
        <v>-288636899407</v>
      </c>
      <c r="T30" s="52">
        <v>-16862153048</v>
      </c>
      <c r="U30" s="52">
        <f t="shared" si="15"/>
        <v>0</v>
      </c>
      <c r="V30" s="52">
        <v>238766158903</v>
      </c>
    </row>
    <row r="31" spans="1:22">
      <c r="A31" s="13">
        <f>'法人一覧(25)'!A31</f>
        <v>28</v>
      </c>
      <c r="B31" s="2" t="str">
        <f>'法人一覧(25)'!B31</f>
        <v>文部科学省</v>
      </c>
      <c r="C31" s="2" t="str">
        <f>'法人一覧(25)'!C31</f>
        <v>日本スポーツ振興センター</v>
      </c>
      <c r="D31" s="52">
        <v>67242755019</v>
      </c>
      <c r="E31" s="52">
        <f>39600000000+28118786759</f>
        <v>67718786759</v>
      </c>
      <c r="F31" s="52">
        <v>0</v>
      </c>
      <c r="G31" s="52">
        <v>197539995433</v>
      </c>
      <c r="H31" s="52">
        <f>686922+1534033</f>
        <v>2220955</v>
      </c>
      <c r="I31" s="52">
        <f t="shared" si="13"/>
        <v>11831131295</v>
      </c>
      <c r="J31" s="52">
        <v>344334889461</v>
      </c>
      <c r="K31" s="52">
        <v>21313487743</v>
      </c>
      <c r="L31" s="52">
        <v>0</v>
      </c>
      <c r="M31" s="52">
        <v>0</v>
      </c>
      <c r="N31" s="52">
        <f>25383447+6333912000+336072947+39071705199+5402791850</f>
        <v>51169865443</v>
      </c>
      <c r="O31" s="52">
        <f t="shared" si="14"/>
        <v>38171174179</v>
      </c>
      <c r="P31" s="52">
        <v>110654527365</v>
      </c>
      <c r="Q31" s="52">
        <v>233324348693</v>
      </c>
      <c r="R31" s="52">
        <v>0</v>
      </c>
      <c r="S31" s="52">
        <v>-8581991561</v>
      </c>
      <c r="T31" s="52">
        <v>8938004964</v>
      </c>
      <c r="U31" s="52">
        <f t="shared" si="15"/>
        <v>0</v>
      </c>
      <c r="V31" s="52">
        <v>233680362096</v>
      </c>
    </row>
    <row r="32" spans="1:22">
      <c r="A32" s="13">
        <f>'法人一覧(25)'!A32</f>
        <v>29</v>
      </c>
      <c r="B32" s="2" t="str">
        <f>'法人一覧(25)'!B32</f>
        <v>文部科学省</v>
      </c>
      <c r="C32" s="2" t="str">
        <f>'法人一覧(25)'!C32</f>
        <v>日本芸術文化振興会</v>
      </c>
      <c r="D32" s="52">
        <v>5746453578</v>
      </c>
      <c r="E32" s="52">
        <f>10009693444+57464788826+8300000000</f>
        <v>75774482270</v>
      </c>
      <c r="F32" s="52">
        <v>0</v>
      </c>
      <c r="G32" s="52">
        <v>158419652331</v>
      </c>
      <c r="H32" s="52">
        <v>0</v>
      </c>
      <c r="I32" s="52">
        <f t="shared" si="13"/>
        <v>742301105</v>
      </c>
      <c r="J32" s="52">
        <v>240682889284</v>
      </c>
      <c r="K32" s="52">
        <v>301481660</v>
      </c>
      <c r="L32" s="52">
        <v>141514440</v>
      </c>
      <c r="M32" s="52">
        <v>0</v>
      </c>
      <c r="N32" s="52">
        <f>4908357+116539634</f>
        <v>121447991</v>
      </c>
      <c r="O32" s="52">
        <f t="shared" si="14"/>
        <v>7504823391</v>
      </c>
      <c r="P32" s="52">
        <v>8069267482</v>
      </c>
      <c r="Q32" s="52">
        <v>246819120854</v>
      </c>
      <c r="R32" s="52">
        <v>0</v>
      </c>
      <c r="S32" s="52">
        <v>-15453545716</v>
      </c>
      <c r="T32" s="52">
        <v>1248046664</v>
      </c>
      <c r="U32" s="52">
        <f t="shared" si="15"/>
        <v>0</v>
      </c>
      <c r="V32" s="52">
        <v>232613621802</v>
      </c>
    </row>
    <row r="33" spans="1:22">
      <c r="A33" s="13">
        <f>'法人一覧(25)'!A33</f>
        <v>30</v>
      </c>
      <c r="B33" s="2" t="str">
        <f>'法人一覧(25)'!B33</f>
        <v>文部科学省</v>
      </c>
      <c r="C33" s="2" t="str">
        <f>'法人一覧(25)'!C33</f>
        <v>日本学生支援機構</v>
      </c>
      <c r="D33" s="52">
        <v>126926797901</v>
      </c>
      <c r="E33" s="52">
        <f>56022234522+18651398532</f>
        <v>74673633054</v>
      </c>
      <c r="F33" s="52">
        <v>8041765568656</v>
      </c>
      <c r="G33" s="52">
        <v>41273135088</v>
      </c>
      <c r="H33" s="52">
        <v>0</v>
      </c>
      <c r="I33" s="52">
        <f t="shared" si="13"/>
        <v>127512751249</v>
      </c>
      <c r="J33" s="52">
        <v>8412151885948</v>
      </c>
      <c r="K33" s="52">
        <v>0</v>
      </c>
      <c r="L33" s="52">
        <v>995565220</v>
      </c>
      <c r="M33" s="52">
        <f>180000000000+854504000000+230000000000+7070264468858</f>
        <v>8334768468858</v>
      </c>
      <c r="N33" s="52">
        <v>0</v>
      </c>
      <c r="O33" s="52">
        <f t="shared" si="14"/>
        <v>15724160671</v>
      </c>
      <c r="P33" s="52">
        <v>8351488194749</v>
      </c>
      <c r="Q33" s="52">
        <v>100000000</v>
      </c>
      <c r="R33" s="52">
        <v>0</v>
      </c>
      <c r="S33" s="52">
        <v>40662513488</v>
      </c>
      <c r="T33" s="52">
        <v>19901177711</v>
      </c>
      <c r="U33" s="52">
        <f t="shared" si="15"/>
        <v>0</v>
      </c>
      <c r="V33" s="52">
        <v>60663691199</v>
      </c>
    </row>
    <row r="34" spans="1:22">
      <c r="A34" s="13">
        <f>'法人一覧(25)'!A34</f>
        <v>31</v>
      </c>
      <c r="B34" s="2" t="str">
        <f>'法人一覧(25)'!B34</f>
        <v>文部科学省</v>
      </c>
      <c r="C34" s="2" t="str">
        <f>'法人一覧(25)'!C34</f>
        <v>海洋研究開発機構</v>
      </c>
      <c r="D34" s="52">
        <v>26308596097</v>
      </c>
      <c r="E34" s="52">
        <v>0</v>
      </c>
      <c r="F34" s="52">
        <v>0</v>
      </c>
      <c r="G34" s="52">
        <v>113818759171</v>
      </c>
      <c r="H34" s="52">
        <f>85517730+116198483</f>
        <v>201716213</v>
      </c>
      <c r="I34" s="52">
        <f t="shared" si="13"/>
        <v>9968602624</v>
      </c>
      <c r="J34" s="52">
        <v>150297674105</v>
      </c>
      <c r="K34" s="52">
        <v>0</v>
      </c>
      <c r="L34" s="52">
        <v>0</v>
      </c>
      <c r="M34" s="52">
        <v>0</v>
      </c>
      <c r="N34" s="52">
        <v>0</v>
      </c>
      <c r="O34" s="52">
        <f t="shared" si="14"/>
        <v>74355288553</v>
      </c>
      <c r="P34" s="52">
        <v>74355288553</v>
      </c>
      <c r="Q34" s="52">
        <v>82228006553</v>
      </c>
      <c r="R34" s="52">
        <v>4712602</v>
      </c>
      <c r="S34" s="52">
        <v>-13456325357</v>
      </c>
      <c r="T34" s="52">
        <v>7165991754</v>
      </c>
      <c r="U34" s="52">
        <f t="shared" si="15"/>
        <v>0</v>
      </c>
      <c r="V34" s="52">
        <v>75942385552</v>
      </c>
    </row>
    <row r="35" spans="1:22">
      <c r="A35" s="13">
        <f>'法人一覧(25)'!A35</f>
        <v>32</v>
      </c>
      <c r="B35" s="2" t="str">
        <f>'法人一覧(25)'!B35</f>
        <v>文部科学省</v>
      </c>
      <c r="C35" s="2" t="str">
        <f>'法人一覧(25)'!C35</f>
        <v>国立高等専門学校機構</v>
      </c>
      <c r="D35" s="68">
        <v>18874236857</v>
      </c>
      <c r="E35" s="68">
        <v>1400000000</v>
      </c>
      <c r="F35" s="68">
        <f>4573350+14284716</f>
        <v>18858066</v>
      </c>
      <c r="G35" s="68">
        <v>289208165810</v>
      </c>
      <c r="H35" s="68">
        <f>33617002+159388330</f>
        <v>193005332</v>
      </c>
      <c r="I35" s="68">
        <f t="shared" si="13"/>
        <v>1887277661</v>
      </c>
      <c r="J35" s="68">
        <v>311581543726</v>
      </c>
      <c r="K35" s="68">
        <v>0</v>
      </c>
      <c r="L35" s="68">
        <v>16692728</v>
      </c>
      <c r="M35" s="68">
        <v>0</v>
      </c>
      <c r="N35" s="68">
        <f>272702+55725</f>
        <v>328427</v>
      </c>
      <c r="O35" s="68">
        <f t="shared" si="14"/>
        <v>50909504557</v>
      </c>
      <c r="P35" s="68">
        <v>50926525712</v>
      </c>
      <c r="Q35" s="68">
        <v>278543930984</v>
      </c>
      <c r="R35" s="68">
        <v>0</v>
      </c>
      <c r="S35" s="68">
        <v>-19558879233</v>
      </c>
      <c r="T35" s="68">
        <v>1669966263</v>
      </c>
      <c r="U35" s="68">
        <f t="shared" si="15"/>
        <v>0</v>
      </c>
      <c r="V35" s="68">
        <v>260655018014</v>
      </c>
    </row>
    <row r="36" spans="1:22">
      <c r="A36" s="13">
        <f>'法人一覧(25)'!A36</f>
        <v>33</v>
      </c>
      <c r="B36" s="2" t="str">
        <f>'法人一覧(25)'!B36</f>
        <v>文部科学省</v>
      </c>
      <c r="C36" s="2" t="str">
        <f>'法人一覧(25)'!C36</f>
        <v>大学評価・学位授与機構</v>
      </c>
      <c r="D36" s="52">
        <v>552457609</v>
      </c>
      <c r="E36" s="52">
        <v>0</v>
      </c>
      <c r="F36" s="52">
        <v>0</v>
      </c>
      <c r="G36" s="52">
        <v>6087702261</v>
      </c>
      <c r="H36" s="52">
        <v>999107</v>
      </c>
      <c r="I36" s="52">
        <f t="shared" si="13"/>
        <v>358837754</v>
      </c>
      <c r="J36" s="52">
        <v>6999996731</v>
      </c>
      <c r="K36" s="52">
        <v>0</v>
      </c>
      <c r="L36" s="52">
        <f>4191376+5472945</f>
        <v>9664321</v>
      </c>
      <c r="M36" s="52">
        <v>0</v>
      </c>
      <c r="N36" s="52">
        <v>11322541</v>
      </c>
      <c r="O36" s="52">
        <f t="shared" si="14"/>
        <v>950765077</v>
      </c>
      <c r="P36" s="52">
        <v>971751939</v>
      </c>
      <c r="Q36" s="52">
        <v>7470955506</v>
      </c>
      <c r="R36" s="52">
        <v>0</v>
      </c>
      <c r="S36" s="52">
        <v>-1559694445</v>
      </c>
      <c r="T36" s="52">
        <v>116983731</v>
      </c>
      <c r="U36" s="52">
        <f t="shared" si="15"/>
        <v>0</v>
      </c>
      <c r="V36" s="52">
        <v>6028244792</v>
      </c>
    </row>
    <row r="37" spans="1:22">
      <c r="A37" s="13">
        <f>'法人一覧(25)'!A37</f>
        <v>34</v>
      </c>
      <c r="B37" s="2" t="str">
        <f>'法人一覧(25)'!B37</f>
        <v>文部科学省</v>
      </c>
      <c r="C37" s="2" t="str">
        <f>'法人一覧(25)'!C37</f>
        <v>国立大学財務・経営センター</v>
      </c>
      <c r="D37" s="52">
        <v>4295294473</v>
      </c>
      <c r="E37" s="52">
        <v>16887691285</v>
      </c>
      <c r="F37" s="52">
        <f>481231375000+332233126000</f>
        <v>813464501000</v>
      </c>
      <c r="G37" s="52">
        <v>1002177454</v>
      </c>
      <c r="H37" s="52">
        <v>0</v>
      </c>
      <c r="I37" s="52">
        <f t="shared" si="13"/>
        <v>7529669136</v>
      </c>
      <c r="J37" s="52">
        <v>843179333348</v>
      </c>
      <c r="K37" s="52">
        <v>0</v>
      </c>
      <c r="L37" s="52">
        <v>0</v>
      </c>
      <c r="M37" s="52">
        <f>5000000000+26829903000+46107544000+20000000000+429401472000+286125582000</f>
        <v>813464501000</v>
      </c>
      <c r="N37" s="52">
        <v>0</v>
      </c>
      <c r="O37" s="52">
        <f t="shared" si="14"/>
        <v>1271528002</v>
      </c>
      <c r="P37" s="52">
        <v>814736029002</v>
      </c>
      <c r="Q37" s="52">
        <v>1371561085</v>
      </c>
      <c r="R37" s="52">
        <v>0</v>
      </c>
      <c r="S37" s="52">
        <v>-375354724</v>
      </c>
      <c r="T37" s="52">
        <v>27447097985</v>
      </c>
      <c r="U37" s="52">
        <f t="shared" si="15"/>
        <v>0</v>
      </c>
      <c r="V37" s="52">
        <v>28443304346</v>
      </c>
    </row>
    <row r="38" spans="1:22">
      <c r="A38" s="13">
        <f>'法人一覧(25)'!A38</f>
        <v>35</v>
      </c>
      <c r="B38" s="2" t="str">
        <f>'法人一覧(25)'!B38</f>
        <v>文部科学省</v>
      </c>
      <c r="C38" s="2" t="str">
        <f>'法人一覧(25)'!C38</f>
        <v>日本原子力研究開発機構</v>
      </c>
      <c r="D38" s="52">
        <v>152485389284</v>
      </c>
      <c r="E38" s="52">
        <f>17268204350+32632966576</f>
        <v>49901170926</v>
      </c>
      <c r="F38" s="52">
        <v>0</v>
      </c>
      <c r="G38" s="52">
        <v>633281978965</v>
      </c>
      <c r="H38" s="52">
        <f>284006459+149663930</f>
        <v>433670389</v>
      </c>
      <c r="I38" s="52">
        <f t="shared" si="13"/>
        <v>83962749099</v>
      </c>
      <c r="J38" s="52">
        <v>920064958663</v>
      </c>
      <c r="K38" s="52">
        <v>10325957047</v>
      </c>
      <c r="L38" s="52">
        <v>35329606148</v>
      </c>
      <c r="M38" s="52">
        <v>0</v>
      </c>
      <c r="N38" s="52">
        <v>0</v>
      </c>
      <c r="O38" s="52">
        <f t="shared" si="14"/>
        <v>295773879822</v>
      </c>
      <c r="P38" s="52">
        <v>341429443017</v>
      </c>
      <c r="Q38" s="52">
        <v>876568900539</v>
      </c>
      <c r="R38" s="52">
        <v>16416744093</v>
      </c>
      <c r="S38" s="52">
        <v>-337561529146</v>
      </c>
      <c r="T38" s="52">
        <v>23211400160</v>
      </c>
      <c r="U38" s="52">
        <f t="shared" si="15"/>
        <v>0</v>
      </c>
      <c r="V38" s="52">
        <v>578635515646</v>
      </c>
    </row>
    <row r="39" spans="1:22">
      <c r="A39" s="13">
        <f>'法人一覧(25)'!A39</f>
        <v>36</v>
      </c>
      <c r="B39" s="2" t="str">
        <f>'法人一覧(25)'!B39</f>
        <v>厚生労働省</v>
      </c>
      <c r="C39" s="2" t="str">
        <f>'法人一覧(25)'!C39</f>
        <v>国立健康・栄養研究所</v>
      </c>
      <c r="D39" s="52">
        <v>170352873</v>
      </c>
      <c r="E39" s="52">
        <v>0</v>
      </c>
      <c r="F39" s="52">
        <v>0</v>
      </c>
      <c r="G39" s="52">
        <v>27286635</v>
      </c>
      <c r="H39" s="52">
        <v>0</v>
      </c>
      <c r="I39" s="52">
        <f t="shared" si="13"/>
        <v>13363573</v>
      </c>
      <c r="J39" s="52">
        <v>211003081</v>
      </c>
      <c r="K39" s="52">
        <v>40467753</v>
      </c>
      <c r="L39" s="52">
        <v>0</v>
      </c>
      <c r="M39" s="52">
        <v>0</v>
      </c>
      <c r="N39" s="52">
        <v>0</v>
      </c>
      <c r="O39" s="52">
        <f t="shared" si="14"/>
        <v>64677754</v>
      </c>
      <c r="P39" s="52">
        <v>105145507</v>
      </c>
      <c r="Q39" s="52">
        <v>0</v>
      </c>
      <c r="R39" s="52">
        <v>0</v>
      </c>
      <c r="S39" s="52">
        <v>0</v>
      </c>
      <c r="T39" s="52">
        <v>105857574</v>
      </c>
      <c r="U39" s="52">
        <f t="shared" si="15"/>
        <v>0</v>
      </c>
      <c r="V39" s="52">
        <v>105857574</v>
      </c>
    </row>
    <row r="40" spans="1:22">
      <c r="A40" s="13">
        <f>'法人一覧(25)'!A40</f>
        <v>37</v>
      </c>
      <c r="B40" s="2" t="str">
        <f>'法人一覧(25)'!B40</f>
        <v>厚生労働省</v>
      </c>
      <c r="C40" s="2" t="str">
        <f>'法人一覧(25)'!C40</f>
        <v>労働安全衛生総合研究所</v>
      </c>
      <c r="D40" s="52">
        <v>843499250</v>
      </c>
      <c r="E40" s="52">
        <v>0</v>
      </c>
      <c r="F40" s="52">
        <v>0</v>
      </c>
      <c r="G40" s="52">
        <v>10465582373</v>
      </c>
      <c r="H40" s="52">
        <v>420000</v>
      </c>
      <c r="I40" s="52">
        <f t="shared" si="13"/>
        <v>63806566</v>
      </c>
      <c r="J40" s="52">
        <v>11373308189</v>
      </c>
      <c r="K40" s="52">
        <v>525847069</v>
      </c>
      <c r="L40" s="52">
        <v>0</v>
      </c>
      <c r="M40" s="52">
        <v>0</v>
      </c>
      <c r="N40" s="52">
        <v>0</v>
      </c>
      <c r="O40" s="52">
        <f t="shared" si="14"/>
        <v>905265492</v>
      </c>
      <c r="P40" s="52">
        <v>1431112561</v>
      </c>
      <c r="Q40" s="52">
        <v>11691851811</v>
      </c>
      <c r="R40" s="52">
        <v>0</v>
      </c>
      <c r="S40" s="52">
        <v>-1822723546</v>
      </c>
      <c r="T40" s="52">
        <v>73067363</v>
      </c>
      <c r="U40" s="52">
        <f t="shared" si="15"/>
        <v>0</v>
      </c>
      <c r="V40" s="52">
        <v>9942195628</v>
      </c>
    </row>
    <row r="41" spans="1:22">
      <c r="A41" s="13">
        <f>'法人一覧(25)'!A41</f>
        <v>38</v>
      </c>
      <c r="B41" s="2" t="str">
        <f>'法人一覧(25)'!B41</f>
        <v>厚生労働省</v>
      </c>
      <c r="C41" s="2" t="str">
        <f>'法人一覧(25)'!C41</f>
        <v>勤労者退職金共済機構</v>
      </c>
      <c r="D41" s="52">
        <v>41655728600</v>
      </c>
      <c r="E41" s="52">
        <f>415237476865+2092267007772+2445594112263</f>
        <v>4953098596900</v>
      </c>
      <c r="F41" s="52">
        <f>574241181445+19246595855+2169648400+16446000+16979000</f>
        <v>595690850700</v>
      </c>
      <c r="G41" s="52">
        <v>465763992</v>
      </c>
      <c r="H41" s="52">
        <v>0</v>
      </c>
      <c r="I41" s="52">
        <f t="shared" si="13"/>
        <v>265515714046</v>
      </c>
      <c r="J41" s="52">
        <v>5856426654238</v>
      </c>
      <c r="K41" s="52">
        <v>5555582</v>
      </c>
      <c r="L41" s="52">
        <v>69498112</v>
      </c>
      <c r="M41" s="52">
        <f>82812492000+133481473500+6804142000+387509112500</f>
        <v>610607220000</v>
      </c>
      <c r="N41" s="52">
        <f>168287915+4905754615211+6661213478</f>
        <v>4912584116604</v>
      </c>
      <c r="O41" s="52">
        <f t="shared" si="14"/>
        <v>11489359591</v>
      </c>
      <c r="P41" s="52">
        <v>5534755749889</v>
      </c>
      <c r="Q41" s="52">
        <v>1968200</v>
      </c>
      <c r="R41" s="52">
        <v>0</v>
      </c>
      <c r="S41" s="52">
        <v>-6256000</v>
      </c>
      <c r="T41" s="52">
        <v>321617260020</v>
      </c>
      <c r="U41" s="52">
        <f t="shared" si="15"/>
        <v>57932129</v>
      </c>
      <c r="V41" s="52">
        <v>321670904349</v>
      </c>
    </row>
    <row r="42" spans="1:22">
      <c r="A42" s="13">
        <f>'法人一覧(25)'!A42</f>
        <v>39</v>
      </c>
      <c r="B42" s="2" t="str">
        <f>'法人一覧(25)'!B42</f>
        <v>厚生労働省</v>
      </c>
      <c r="C42" s="2" t="str">
        <f>'法人一覧(25)'!C42</f>
        <v>高齢・障害・求職者雇用支援機構</v>
      </c>
      <c r="D42" s="52">
        <v>51446734163</v>
      </c>
      <c r="E42" s="52">
        <v>0</v>
      </c>
      <c r="F42" s="52">
        <v>0</v>
      </c>
      <c r="G42" s="52">
        <v>435345448561</v>
      </c>
      <c r="H42" s="52">
        <v>0</v>
      </c>
      <c r="I42" s="52">
        <f t="shared" si="13"/>
        <v>5265286380</v>
      </c>
      <c r="J42" s="52">
        <v>492057469104</v>
      </c>
      <c r="K42" s="52">
        <v>6673342050</v>
      </c>
      <c r="L42" s="52">
        <v>0</v>
      </c>
      <c r="M42" s="52">
        <v>0</v>
      </c>
      <c r="N42" s="52">
        <f>87370190+2131477438+2005077133</f>
        <v>4223924761</v>
      </c>
      <c r="O42" s="52">
        <f t="shared" si="14"/>
        <v>56956840885</v>
      </c>
      <c r="P42" s="52">
        <v>67854107696</v>
      </c>
      <c r="Q42" s="52">
        <v>426300307833</v>
      </c>
      <c r="R42" s="52">
        <v>221593890</v>
      </c>
      <c r="S42" s="52">
        <v>-28576155882</v>
      </c>
      <c r="T42" s="52">
        <v>26257615567</v>
      </c>
      <c r="U42" s="52">
        <f t="shared" si="15"/>
        <v>0</v>
      </c>
      <c r="V42" s="52">
        <v>424203361408</v>
      </c>
    </row>
    <row r="43" spans="1:22">
      <c r="A43" s="13">
        <f>'法人一覧(25)'!A43</f>
        <v>40</v>
      </c>
      <c r="B43" s="2" t="str">
        <f>'法人一覧(25)'!B43</f>
        <v>厚生労働省</v>
      </c>
      <c r="C43" s="2" t="str">
        <f>'法人一覧(25)'!C43</f>
        <v>福祉医療機構</v>
      </c>
      <c r="D43" s="52">
        <v>11207613459</v>
      </c>
      <c r="E43" s="52">
        <f>70644651803+245800000000</f>
        <v>316444651803</v>
      </c>
      <c r="F43" s="52">
        <f>420528434846+4002658983600-4674000000</f>
        <v>4418513418446</v>
      </c>
      <c r="G43" s="52">
        <v>1441897611</v>
      </c>
      <c r="H43" s="52">
        <v>0</v>
      </c>
      <c r="I43" s="52">
        <f t="shared" si="13"/>
        <v>22464350314</v>
      </c>
      <c r="J43" s="52">
        <v>4770071931633</v>
      </c>
      <c r="K43" s="52">
        <v>207453576</v>
      </c>
      <c r="L43" s="52">
        <v>2918863918</v>
      </c>
      <c r="M43" s="52">
        <f>13170000000+67000000000+259743856000+331979260623+2645895282000</f>
        <v>3317788398623</v>
      </c>
      <c r="N43" s="52">
        <f>27044118+1070240409+103488063248</f>
        <v>104585347775</v>
      </c>
      <c r="O43" s="52">
        <f t="shared" si="14"/>
        <v>12130417427</v>
      </c>
      <c r="P43" s="52">
        <v>3437630481319</v>
      </c>
      <c r="Q43" s="52">
        <v>1301835424795</v>
      </c>
      <c r="R43" s="52">
        <v>0</v>
      </c>
      <c r="S43" s="52">
        <v>-1524323771</v>
      </c>
      <c r="T43" s="52">
        <v>32130349290</v>
      </c>
      <c r="U43" s="52">
        <f t="shared" si="15"/>
        <v>0</v>
      </c>
      <c r="V43" s="52">
        <v>1332441450314</v>
      </c>
    </row>
    <row r="44" spans="1:22">
      <c r="A44" s="13">
        <f>'法人一覧(25)'!A44</f>
        <v>41</v>
      </c>
      <c r="B44" s="2" t="str">
        <f>'法人一覧(25)'!B44</f>
        <v>厚生労働省</v>
      </c>
      <c r="C44" s="2" t="str">
        <f>'法人一覧(25)'!C44</f>
        <v>国立重度知的障害者総合施設のぞみの園</v>
      </c>
      <c r="D44" s="52">
        <v>510348143</v>
      </c>
      <c r="E44" s="52">
        <v>0</v>
      </c>
      <c r="F44" s="52">
        <v>0</v>
      </c>
      <c r="G44" s="52">
        <v>14699249327</v>
      </c>
      <c r="H44" s="52">
        <v>0</v>
      </c>
      <c r="I44" s="52">
        <f t="shared" si="13"/>
        <v>270484489</v>
      </c>
      <c r="J44" s="52">
        <v>15480081959</v>
      </c>
      <c r="K44" s="52">
        <v>353034073</v>
      </c>
      <c r="L44" s="52">
        <v>0</v>
      </c>
      <c r="M44" s="52">
        <v>0</v>
      </c>
      <c r="N44" s="52">
        <v>20815200</v>
      </c>
      <c r="O44" s="52">
        <f t="shared" si="14"/>
        <v>1335038218</v>
      </c>
      <c r="P44" s="52">
        <v>1708887491</v>
      </c>
      <c r="Q44" s="52">
        <v>15189098667</v>
      </c>
      <c r="R44" s="52">
        <v>0</v>
      </c>
      <c r="S44" s="52">
        <v>-1417904199</v>
      </c>
      <c r="T44" s="52">
        <v>0</v>
      </c>
      <c r="U44" s="52">
        <f t="shared" si="15"/>
        <v>0</v>
      </c>
      <c r="V44" s="52">
        <v>13771194468</v>
      </c>
    </row>
    <row r="45" spans="1:22">
      <c r="A45" s="13">
        <f>'法人一覧(25)'!A45</f>
        <v>42</v>
      </c>
      <c r="B45" s="2" t="str">
        <f>'法人一覧(25)'!B45</f>
        <v>厚生労働省</v>
      </c>
      <c r="C45" s="2" t="str">
        <f>'法人一覧(25)'!C45</f>
        <v>労働政策研究・研修機構</v>
      </c>
      <c r="D45" s="52">
        <v>732107638</v>
      </c>
      <c r="E45" s="52">
        <v>0</v>
      </c>
      <c r="F45" s="52">
        <v>0</v>
      </c>
      <c r="G45" s="52">
        <v>6224975998</v>
      </c>
      <c r="H45" s="52">
        <v>0</v>
      </c>
      <c r="I45" s="52">
        <f t="shared" si="13"/>
        <v>160900015</v>
      </c>
      <c r="J45" s="52">
        <v>7117983651</v>
      </c>
      <c r="K45" s="52">
        <v>439512847</v>
      </c>
      <c r="L45" s="52">
        <v>0</v>
      </c>
      <c r="M45" s="52">
        <v>0</v>
      </c>
      <c r="N45" s="52">
        <v>0</v>
      </c>
      <c r="O45" s="52">
        <f t="shared" si="14"/>
        <v>643840723</v>
      </c>
      <c r="P45" s="52">
        <v>1083353570</v>
      </c>
      <c r="Q45" s="52">
        <v>6018256682</v>
      </c>
      <c r="R45" s="52">
        <v>0</v>
      </c>
      <c r="S45" s="52">
        <v>3152788</v>
      </c>
      <c r="T45" s="52">
        <v>13220611</v>
      </c>
      <c r="U45" s="52">
        <f t="shared" si="15"/>
        <v>0</v>
      </c>
      <c r="V45" s="52">
        <v>6034630081</v>
      </c>
    </row>
    <row r="46" spans="1:22">
      <c r="A46" s="13">
        <f>'法人一覧(25)'!A46</f>
        <v>43</v>
      </c>
      <c r="B46" s="2" t="str">
        <f>'法人一覧(25)'!B46</f>
        <v>厚生労働省</v>
      </c>
      <c r="C46" s="2" t="str">
        <f>'法人一覧(25)'!C46</f>
        <v>労働者健康福祉機構</v>
      </c>
      <c r="D46" s="52">
        <v>100922003141</v>
      </c>
      <c r="E46" s="52">
        <f>18900241755+2046766413+5200000000</f>
        <v>26147008168</v>
      </c>
      <c r="F46" s="52">
        <f>91188696+2188777+426452471+4511964</f>
        <v>524341908</v>
      </c>
      <c r="G46" s="52">
        <v>285342511419</v>
      </c>
      <c r="H46" s="52">
        <v>25871</v>
      </c>
      <c r="I46" s="52">
        <f t="shared" si="13"/>
        <v>55120751198</v>
      </c>
      <c r="J46" s="52">
        <v>468056641705</v>
      </c>
      <c r="K46" s="52">
        <v>0</v>
      </c>
      <c r="L46" s="52">
        <v>8386784275</v>
      </c>
      <c r="M46" s="52">
        <v>1641816000</v>
      </c>
      <c r="N46" s="52">
        <f>6742665931+232272919728</f>
        <v>239015585659</v>
      </c>
      <c r="O46" s="52">
        <f t="shared" si="14"/>
        <v>59906321036</v>
      </c>
      <c r="P46" s="52">
        <v>308950506970</v>
      </c>
      <c r="Q46" s="52">
        <v>146412365004</v>
      </c>
      <c r="R46" s="52">
        <v>0</v>
      </c>
      <c r="S46" s="52">
        <v>54089129605</v>
      </c>
      <c r="T46" s="52">
        <v>-41395359874</v>
      </c>
      <c r="U46" s="52">
        <f t="shared" si="15"/>
        <v>0</v>
      </c>
      <c r="V46" s="52">
        <v>159106134735</v>
      </c>
    </row>
    <row r="47" spans="1:22">
      <c r="A47" s="13">
        <f>'法人一覧(25)'!A47</f>
        <v>44</v>
      </c>
      <c r="B47" s="2" t="str">
        <f>'法人一覧(25)'!B47</f>
        <v>厚生労働省</v>
      </c>
      <c r="C47" s="2" t="str">
        <f>'法人一覧(25)'!C47</f>
        <v>国立病院機構</v>
      </c>
      <c r="D47" s="52">
        <v>94388505601</v>
      </c>
      <c r="E47" s="52">
        <f>38300000000+500000000</f>
        <v>38800000000</v>
      </c>
      <c r="F47" s="52">
        <v>1709750000</v>
      </c>
      <c r="G47" s="52">
        <v>1008373169663</v>
      </c>
      <c r="H47" s="52">
        <v>16</v>
      </c>
      <c r="I47" s="52">
        <f t="shared" si="13"/>
        <v>176789856597</v>
      </c>
      <c r="J47" s="52">
        <v>1320061281877</v>
      </c>
      <c r="K47" s="52">
        <v>0</v>
      </c>
      <c r="L47" s="52">
        <v>874277348</v>
      </c>
      <c r="M47" s="52">
        <f>37932312546+391510896886</f>
        <v>429443209432</v>
      </c>
      <c r="N47" s="52">
        <f>26530628891+273196771598</f>
        <v>299727400489</v>
      </c>
      <c r="O47" s="52">
        <f t="shared" si="14"/>
        <v>157191729961</v>
      </c>
      <c r="P47" s="52">
        <v>887236617230</v>
      </c>
      <c r="Q47" s="52">
        <v>208174739674</v>
      </c>
      <c r="R47" s="52">
        <v>0</v>
      </c>
      <c r="S47" s="52">
        <v>222833200304</v>
      </c>
      <c r="T47" s="52">
        <v>1816724669</v>
      </c>
      <c r="U47" s="52">
        <f t="shared" si="15"/>
        <v>0</v>
      </c>
      <c r="V47" s="52">
        <v>432824664647</v>
      </c>
    </row>
    <row r="48" spans="1:22">
      <c r="A48" s="13">
        <f>'法人一覧(25)'!A48</f>
        <v>45</v>
      </c>
      <c r="B48" s="2" t="str">
        <f>'法人一覧(25)'!B48</f>
        <v>厚生労働省</v>
      </c>
      <c r="C48" s="2" t="str">
        <f>'法人一覧(25)'!C48</f>
        <v>医薬品医療機器総合機構</v>
      </c>
      <c r="D48" s="52">
        <v>25452409754</v>
      </c>
      <c r="E48" s="52">
        <f>3200332780+32460630466</f>
        <v>35660963246</v>
      </c>
      <c r="F48" s="52">
        <v>0</v>
      </c>
      <c r="G48" s="52">
        <v>1448662927</v>
      </c>
      <c r="H48" s="52">
        <v>0</v>
      </c>
      <c r="I48" s="52">
        <f t="shared" si="13"/>
        <v>6474186217</v>
      </c>
      <c r="J48" s="52">
        <v>69036222144</v>
      </c>
      <c r="K48" s="52">
        <v>0</v>
      </c>
      <c r="L48" s="52">
        <f>266803037+216222049</f>
        <v>483025086</v>
      </c>
      <c r="M48" s="52">
        <v>0</v>
      </c>
      <c r="N48" s="52">
        <f>427792117+1602913856+17942610043</f>
        <v>19973316016</v>
      </c>
      <c r="O48" s="52">
        <f t="shared" si="14"/>
        <v>17467266013</v>
      </c>
      <c r="P48" s="52">
        <v>37923607115</v>
      </c>
      <c r="Q48" s="52">
        <v>1179844924</v>
      </c>
      <c r="R48" s="52">
        <v>0</v>
      </c>
      <c r="S48" s="52">
        <v>-738951556</v>
      </c>
      <c r="T48" s="52">
        <v>30671721661</v>
      </c>
      <c r="U48" s="52">
        <f t="shared" si="15"/>
        <v>0</v>
      </c>
      <c r="V48" s="52">
        <v>31112615029</v>
      </c>
    </row>
    <row r="49" spans="1:22">
      <c r="A49" s="13">
        <f>'法人一覧(25)'!A49</f>
        <v>46</v>
      </c>
      <c r="B49" s="2" t="str">
        <f>'法人一覧(25)'!B49</f>
        <v>厚生労働省</v>
      </c>
      <c r="C49" s="2" t="str">
        <f>'法人一覧(25)'!C49</f>
        <v>医薬基盤研究所</v>
      </c>
      <c r="D49" s="52">
        <v>5175892430</v>
      </c>
      <c r="E49" s="52">
        <f>696641183+2009533980+525811232</f>
        <v>3231986395</v>
      </c>
      <c r="F49" s="52">
        <v>0</v>
      </c>
      <c r="G49" s="52">
        <v>20378208074</v>
      </c>
      <c r="H49" s="52">
        <f>530336+17845513</f>
        <v>18375849</v>
      </c>
      <c r="I49" s="52">
        <f t="shared" si="13"/>
        <v>490063447</v>
      </c>
      <c r="J49" s="52">
        <v>29294526195</v>
      </c>
      <c r="K49" s="52">
        <v>877938852</v>
      </c>
      <c r="L49" s="52">
        <f>4144033+56663659</f>
        <v>60807692</v>
      </c>
      <c r="M49" s="52">
        <f>46900000+126000000</f>
        <v>172900000</v>
      </c>
      <c r="N49" s="52">
        <v>4529471</v>
      </c>
      <c r="O49" s="52">
        <f t="shared" si="14"/>
        <v>6800845813</v>
      </c>
      <c r="P49" s="52">
        <v>7917021828</v>
      </c>
      <c r="Q49" s="52">
        <v>53473743022</v>
      </c>
      <c r="R49" s="52">
        <v>0</v>
      </c>
      <c r="S49" s="52">
        <v>-1303298584</v>
      </c>
      <c r="T49" s="52">
        <v>-30792940071</v>
      </c>
      <c r="U49" s="52">
        <f t="shared" si="15"/>
        <v>0</v>
      </c>
      <c r="V49" s="52">
        <v>21377504367</v>
      </c>
    </row>
    <row r="50" spans="1:22">
      <c r="A50" s="13">
        <f>'法人一覧(25)'!A50</f>
        <v>47</v>
      </c>
      <c r="B50" s="2" t="str">
        <f>'法人一覧(25)'!B50</f>
        <v>厚生労働省</v>
      </c>
      <c r="C50" s="2" t="str">
        <f>'法人一覧(25)'!C50</f>
        <v>年金・健康保険福祉施設整理機構</v>
      </c>
      <c r="D50" s="52">
        <v>31775442975</v>
      </c>
      <c r="E50" s="52">
        <v>0</v>
      </c>
      <c r="F50" s="52">
        <v>0</v>
      </c>
      <c r="G50" s="52">
        <v>77557643</v>
      </c>
      <c r="H50" s="52">
        <v>0</v>
      </c>
      <c r="I50" s="52">
        <f t="shared" si="13"/>
        <v>149519914538</v>
      </c>
      <c r="J50" s="52">
        <v>181372915156</v>
      </c>
      <c r="K50" s="52">
        <v>0</v>
      </c>
      <c r="L50" s="52">
        <v>0</v>
      </c>
      <c r="M50" s="52">
        <v>0</v>
      </c>
      <c r="N50" s="52">
        <f>11297215+8287950</f>
        <v>19585165</v>
      </c>
      <c r="O50" s="52">
        <f t="shared" si="14"/>
        <v>771997671</v>
      </c>
      <c r="P50" s="52">
        <v>791582836</v>
      </c>
      <c r="Q50" s="52">
        <v>85491182587</v>
      </c>
      <c r="R50" s="52">
        <v>0</v>
      </c>
      <c r="S50" s="52">
        <v>101629897015</v>
      </c>
      <c r="T50" s="52">
        <v>198880838292</v>
      </c>
      <c r="U50" s="52">
        <f t="shared" si="15"/>
        <v>-205420585574</v>
      </c>
      <c r="V50" s="52">
        <v>180581332320</v>
      </c>
    </row>
    <row r="51" spans="1:22">
      <c r="A51" s="13">
        <f>'法人一覧(25)'!A51</f>
        <v>48</v>
      </c>
      <c r="B51" s="2" t="str">
        <f>'法人一覧(25)'!B51</f>
        <v>厚生労働省</v>
      </c>
      <c r="C51" s="2" t="str">
        <f>'法人一覧(25)'!C51</f>
        <v>年金積立金管理運用</v>
      </c>
      <c r="D51" s="52">
        <v>4612860</v>
      </c>
      <c r="E51" s="52">
        <f>121564352708982+5012744214576</f>
        <v>126577096923558</v>
      </c>
      <c r="F51" s="52">
        <v>0</v>
      </c>
      <c r="G51" s="52">
        <v>165467692</v>
      </c>
      <c r="H51" s="52">
        <v>0</v>
      </c>
      <c r="I51" s="52">
        <f t="shared" si="13"/>
        <v>617121199</v>
      </c>
      <c r="J51" s="52">
        <v>126577884125309</v>
      </c>
      <c r="K51" s="52">
        <v>0</v>
      </c>
      <c r="L51" s="52">
        <v>0</v>
      </c>
      <c r="M51" s="52">
        <v>0</v>
      </c>
      <c r="N51" s="52">
        <f>49158776+655081352</f>
        <v>704240128</v>
      </c>
      <c r="O51" s="52">
        <f t="shared" si="14"/>
        <v>104782273709993</v>
      </c>
      <c r="P51" s="52">
        <v>104782977950121</v>
      </c>
      <c r="Q51" s="52">
        <v>100000000</v>
      </c>
      <c r="R51" s="52">
        <v>0</v>
      </c>
      <c r="S51" s="52">
        <v>0</v>
      </c>
      <c r="T51" s="52">
        <v>21794804546513</v>
      </c>
      <c r="U51" s="52">
        <f t="shared" si="15"/>
        <v>1628675</v>
      </c>
      <c r="V51" s="52">
        <v>21794906175188</v>
      </c>
    </row>
    <row r="52" spans="1:22">
      <c r="A52" s="13">
        <f>'法人一覧(25)'!A52</f>
        <v>49</v>
      </c>
      <c r="B52" s="2" t="str">
        <f>'法人一覧(25)'!B52</f>
        <v>厚生労働省</v>
      </c>
      <c r="C52" s="2" t="str">
        <f>'法人一覧(25)'!C52</f>
        <v>国立がん研究センター</v>
      </c>
      <c r="D52" s="52">
        <v>5463231774</v>
      </c>
      <c r="E52" s="52">
        <v>12088658598</v>
      </c>
      <c r="F52" s="52">
        <v>0</v>
      </c>
      <c r="G52" s="52">
        <v>105831780697</v>
      </c>
      <c r="H52" s="52">
        <v>0</v>
      </c>
      <c r="I52" s="52">
        <f t="shared" si="13"/>
        <v>10104178780</v>
      </c>
      <c r="J52" s="52">
        <v>133487849849</v>
      </c>
      <c r="K52" s="52">
        <v>125339905</v>
      </c>
      <c r="L52" s="52">
        <v>73432242</v>
      </c>
      <c r="M52" s="52">
        <f>2315562150+15665198700</f>
        <v>17980760850</v>
      </c>
      <c r="N52" s="52">
        <f>934137028+153261480+342323430</f>
        <v>1429721938</v>
      </c>
      <c r="O52" s="52">
        <f t="shared" si="14"/>
        <v>18583354781</v>
      </c>
      <c r="P52" s="52">
        <v>38192609716</v>
      </c>
      <c r="Q52" s="52">
        <v>91662446513</v>
      </c>
      <c r="R52" s="52">
        <v>0</v>
      </c>
      <c r="S52" s="52">
        <v>1677347961</v>
      </c>
      <c r="T52" s="52">
        <v>1955445659</v>
      </c>
      <c r="U52" s="52">
        <f t="shared" si="15"/>
        <v>0</v>
      </c>
      <c r="V52" s="52">
        <v>95295240133</v>
      </c>
    </row>
    <row r="53" spans="1:22">
      <c r="A53" s="13">
        <f>'法人一覧(25)'!A53</f>
        <v>50</v>
      </c>
      <c r="B53" s="2" t="str">
        <f>'法人一覧(25)'!B53</f>
        <v>厚生労働省</v>
      </c>
      <c r="C53" s="2" t="str">
        <f>'法人一覧(25)'!C53</f>
        <v>国立循環器病研究センター</v>
      </c>
      <c r="D53" s="52">
        <v>5368474244</v>
      </c>
      <c r="E53" s="52">
        <v>11228264148</v>
      </c>
      <c r="F53" s="52">
        <v>30000000</v>
      </c>
      <c r="G53" s="52">
        <v>17726979415</v>
      </c>
      <c r="H53" s="52">
        <v>0</v>
      </c>
      <c r="I53" s="52">
        <f t="shared" si="13"/>
        <v>4685175128</v>
      </c>
      <c r="J53" s="52">
        <v>39038892935</v>
      </c>
      <c r="K53" s="52">
        <v>329157340</v>
      </c>
      <c r="L53" s="52">
        <v>0</v>
      </c>
      <c r="M53" s="52">
        <f>282738000+977614000</f>
        <v>1260352000</v>
      </c>
      <c r="N53" s="52">
        <f>555259620+4792132+304798765</f>
        <v>864850517</v>
      </c>
      <c r="O53" s="52">
        <f t="shared" si="14"/>
        <v>7077697111</v>
      </c>
      <c r="P53" s="52">
        <v>9532056968</v>
      </c>
      <c r="Q53" s="52">
        <v>28691811356</v>
      </c>
      <c r="R53" s="52">
        <v>0</v>
      </c>
      <c r="S53" s="52">
        <v>788202952</v>
      </c>
      <c r="T53" s="52">
        <v>26821659</v>
      </c>
      <c r="U53" s="52">
        <f t="shared" si="15"/>
        <v>0</v>
      </c>
      <c r="V53" s="52">
        <v>29506835967</v>
      </c>
    </row>
    <row r="54" spans="1:22">
      <c r="A54" s="13">
        <f>'法人一覧(25)'!A54</f>
        <v>51</v>
      </c>
      <c r="B54" s="2" t="str">
        <f>'法人一覧(25)'!B54</f>
        <v>厚生労働省</v>
      </c>
      <c r="C54" s="2" t="str">
        <f>'法人一覧(25)'!C54</f>
        <v>国立精神・神経医療研究センター</v>
      </c>
      <c r="D54" s="52">
        <v>2699513694</v>
      </c>
      <c r="E54" s="52">
        <v>0</v>
      </c>
      <c r="F54" s="52">
        <v>0</v>
      </c>
      <c r="G54" s="52">
        <v>37651025126</v>
      </c>
      <c r="H54" s="52">
        <v>18101111</v>
      </c>
      <c r="I54" s="52">
        <f t="shared" si="13"/>
        <v>1865078241</v>
      </c>
      <c r="J54" s="52">
        <v>42233718172</v>
      </c>
      <c r="K54" s="52">
        <v>40040808</v>
      </c>
      <c r="L54" s="52">
        <v>4601809</v>
      </c>
      <c r="M54" s="52">
        <f>84947530+2843900647</f>
        <v>2928848177</v>
      </c>
      <c r="N54" s="52">
        <f>379550634+13216601+7282450</f>
        <v>400049685</v>
      </c>
      <c r="O54" s="52">
        <f t="shared" si="14"/>
        <v>4310979762</v>
      </c>
      <c r="P54" s="52">
        <v>7684520241</v>
      </c>
      <c r="Q54" s="52">
        <v>37329962123</v>
      </c>
      <c r="R54" s="52">
        <v>0</v>
      </c>
      <c r="S54" s="52">
        <v>-1162555538</v>
      </c>
      <c r="T54" s="52">
        <v>-1618208654</v>
      </c>
      <c r="U54" s="52">
        <f t="shared" si="15"/>
        <v>0</v>
      </c>
      <c r="V54" s="52">
        <v>34549197931</v>
      </c>
    </row>
    <row r="55" spans="1:22">
      <c r="A55" s="13">
        <f>'法人一覧(25)'!A55</f>
        <v>52</v>
      </c>
      <c r="B55" s="2" t="str">
        <f>'法人一覧(25)'!B55</f>
        <v>厚生労働省</v>
      </c>
      <c r="C55" s="2" t="str">
        <f>'法人一覧(25)'!C55</f>
        <v>国立国際医療研究センター</v>
      </c>
      <c r="D55" s="52">
        <v>9295842699</v>
      </c>
      <c r="E55" s="52">
        <v>400000000</v>
      </c>
      <c r="F55" s="52">
        <v>0</v>
      </c>
      <c r="G55" s="52">
        <v>80441450459</v>
      </c>
      <c r="H55" s="52">
        <v>0</v>
      </c>
      <c r="I55" s="52">
        <f t="shared" si="13"/>
        <v>6115666922</v>
      </c>
      <c r="J55" s="52">
        <v>96252960080</v>
      </c>
      <c r="K55" s="52">
        <v>725749117</v>
      </c>
      <c r="L55" s="52">
        <v>0</v>
      </c>
      <c r="M55" s="52">
        <f>1132033417+17510518020</f>
        <v>18642551437</v>
      </c>
      <c r="N55" s="52">
        <f>914733039+26079372+97179100</f>
        <v>1037991511</v>
      </c>
      <c r="O55" s="52">
        <f t="shared" si="14"/>
        <v>10405647139</v>
      </c>
      <c r="P55" s="52">
        <v>30811939204</v>
      </c>
      <c r="Q55" s="52">
        <v>67888461589</v>
      </c>
      <c r="R55" s="52">
        <v>0</v>
      </c>
      <c r="S55" s="52">
        <v>1420199120</v>
      </c>
      <c r="T55" s="52">
        <v>-3867639833</v>
      </c>
      <c r="U55" s="52">
        <f t="shared" si="15"/>
        <v>0</v>
      </c>
      <c r="V55" s="52">
        <v>65441020876</v>
      </c>
    </row>
    <row r="56" spans="1:22">
      <c r="A56" s="13">
        <f>'法人一覧(25)'!A56</f>
        <v>53</v>
      </c>
      <c r="B56" s="2" t="str">
        <f>'法人一覧(25)'!B56</f>
        <v>厚生労働省</v>
      </c>
      <c r="C56" s="2" t="str">
        <f>'法人一覧(25)'!C56</f>
        <v>国立成育医療研究センター</v>
      </c>
      <c r="D56" s="52">
        <v>5635423303</v>
      </c>
      <c r="E56" s="52">
        <v>0</v>
      </c>
      <c r="F56" s="52">
        <v>0</v>
      </c>
      <c r="G56" s="52">
        <v>43947287091</v>
      </c>
      <c r="H56" s="52">
        <v>0</v>
      </c>
      <c r="I56" s="52">
        <f t="shared" si="13"/>
        <v>5181478429</v>
      </c>
      <c r="J56" s="52">
        <v>54764188823</v>
      </c>
      <c r="K56" s="52">
        <v>19463452</v>
      </c>
      <c r="L56" s="52">
        <v>0</v>
      </c>
      <c r="M56" s="52">
        <f>682888000+6832413000</f>
        <v>7515301000</v>
      </c>
      <c r="N56" s="52">
        <f>516155240+91534021</f>
        <v>607689261</v>
      </c>
      <c r="O56" s="52">
        <f t="shared" si="14"/>
        <v>6444112580</v>
      </c>
      <c r="P56" s="52">
        <v>14586566293</v>
      </c>
      <c r="Q56" s="52">
        <v>36485960972</v>
      </c>
      <c r="R56" s="52">
        <v>0</v>
      </c>
      <c r="S56" s="52">
        <v>1735795426</v>
      </c>
      <c r="T56" s="52">
        <v>1955866132</v>
      </c>
      <c r="U56" s="52">
        <f t="shared" si="15"/>
        <v>0</v>
      </c>
      <c r="V56" s="52">
        <v>40177622530</v>
      </c>
    </row>
    <row r="57" spans="1:22">
      <c r="A57" s="13">
        <f>'法人一覧(25)'!A57</f>
        <v>54</v>
      </c>
      <c r="B57" s="2" t="str">
        <f>'法人一覧(25)'!B57</f>
        <v>厚生労働省</v>
      </c>
      <c r="C57" s="2" t="str">
        <f>'法人一覧(25)'!C57</f>
        <v>国立長寿医療研究センター</v>
      </c>
      <c r="D57" s="52">
        <v>3232722579</v>
      </c>
      <c r="E57" s="52">
        <v>0</v>
      </c>
      <c r="F57" s="52">
        <v>4615385</v>
      </c>
      <c r="G57" s="52">
        <v>10003031990</v>
      </c>
      <c r="H57" s="52">
        <v>0</v>
      </c>
      <c r="I57" s="52">
        <f t="shared" si="13"/>
        <v>1052977706</v>
      </c>
      <c r="J57" s="52">
        <v>14293347660</v>
      </c>
      <c r="K57" s="52">
        <v>284167434</v>
      </c>
      <c r="L57" s="52">
        <v>0</v>
      </c>
      <c r="M57" s="52">
        <f>102167271+442572136</f>
        <v>544739407</v>
      </c>
      <c r="N57" s="52">
        <f>255368355+67147678</f>
        <v>322516033</v>
      </c>
      <c r="O57" s="52">
        <f t="shared" si="14"/>
        <v>3042921992</v>
      </c>
      <c r="P57" s="52">
        <v>4194344866</v>
      </c>
      <c r="Q57" s="52">
        <v>10333706713</v>
      </c>
      <c r="R57" s="52">
        <v>0</v>
      </c>
      <c r="S57" s="52">
        <v>-1410821528</v>
      </c>
      <c r="T57" s="52">
        <v>1176117609</v>
      </c>
      <c r="U57" s="52">
        <f t="shared" si="15"/>
        <v>0</v>
      </c>
      <c r="V57" s="52">
        <v>10099002794</v>
      </c>
    </row>
    <row r="58" spans="1:22">
      <c r="A58" s="13">
        <f>'法人一覧(25)'!A58</f>
        <v>55</v>
      </c>
      <c r="B58" s="2" t="str">
        <f>'法人一覧(25)'!B58</f>
        <v>農林水産省</v>
      </c>
      <c r="C58" s="2" t="str">
        <f>'法人一覧(25)'!C58</f>
        <v>農林水産消費安全技術センター</v>
      </c>
      <c r="D58" s="52">
        <v>1692974675</v>
      </c>
      <c r="E58" s="52">
        <v>97320</v>
      </c>
      <c r="F58" s="52">
        <v>0</v>
      </c>
      <c r="G58" s="52">
        <v>8758387361</v>
      </c>
      <c r="H58" s="52">
        <v>1987381</v>
      </c>
      <c r="I58" s="52">
        <f t="shared" si="8"/>
        <v>22962599</v>
      </c>
      <c r="J58" s="52">
        <v>10476409336</v>
      </c>
      <c r="K58" s="52">
        <v>894583203</v>
      </c>
      <c r="L58" s="52">
        <v>0</v>
      </c>
      <c r="M58" s="52">
        <v>0</v>
      </c>
      <c r="N58" s="52">
        <v>0</v>
      </c>
      <c r="O58" s="52">
        <f t="shared" si="9"/>
        <v>1798362065</v>
      </c>
      <c r="P58" s="52">
        <v>2692945268</v>
      </c>
      <c r="Q58" s="52">
        <v>10172302527</v>
      </c>
      <c r="R58" s="52">
        <v>0</v>
      </c>
      <c r="S58" s="52">
        <v>4480373221</v>
      </c>
      <c r="T58" s="52">
        <v>81671932</v>
      </c>
      <c r="U58" s="52">
        <f t="shared" si="10"/>
        <v>-6950883612</v>
      </c>
      <c r="V58" s="52">
        <v>7783464068</v>
      </c>
    </row>
    <row r="59" spans="1:22">
      <c r="A59" s="13">
        <f>'法人一覧(25)'!A59</f>
        <v>56</v>
      </c>
      <c r="B59" s="2" t="str">
        <f>'法人一覧(25)'!B59</f>
        <v>農林水産省</v>
      </c>
      <c r="C59" s="2" t="str">
        <f>'法人一覧(25)'!C59</f>
        <v>種苗管理センター</v>
      </c>
      <c r="D59" s="29">
        <v>395457483</v>
      </c>
      <c r="E59" s="29">
        <v>0</v>
      </c>
      <c r="F59" s="29">
        <v>0</v>
      </c>
      <c r="G59" s="29">
        <v>9040795736</v>
      </c>
      <c r="H59" s="29">
        <v>1583666</v>
      </c>
      <c r="I59" s="29">
        <f t="shared" si="8"/>
        <v>321166060</v>
      </c>
      <c r="J59" s="29">
        <v>9759002945</v>
      </c>
      <c r="K59" s="29">
        <v>139562233</v>
      </c>
      <c r="L59" s="29">
        <v>0</v>
      </c>
      <c r="M59" s="29">
        <v>0</v>
      </c>
      <c r="N59" s="29">
        <v>0</v>
      </c>
      <c r="O59" s="29">
        <f t="shared" si="9"/>
        <v>845755512</v>
      </c>
      <c r="P59" s="29">
        <v>985317745</v>
      </c>
      <c r="Q59" s="29">
        <v>9696794379</v>
      </c>
      <c r="R59" s="29">
        <v>0</v>
      </c>
      <c r="S59" s="29">
        <v>-925808619</v>
      </c>
      <c r="T59" s="29">
        <v>2699440</v>
      </c>
      <c r="U59" s="29">
        <f t="shared" si="10"/>
        <v>0</v>
      </c>
      <c r="V59" s="29">
        <v>8773685200</v>
      </c>
    </row>
    <row r="60" spans="1:22">
      <c r="A60" s="13">
        <f>'法人一覧(25)'!A60</f>
        <v>57</v>
      </c>
      <c r="B60" s="2" t="str">
        <f>'法人一覧(25)'!B60</f>
        <v>農林水産省</v>
      </c>
      <c r="C60" s="2" t="str">
        <f>'法人一覧(25)'!C60</f>
        <v>家畜改良センター</v>
      </c>
      <c r="D60" s="29">
        <v>1618446509</v>
      </c>
      <c r="E60" s="29">
        <v>0</v>
      </c>
      <c r="F60" s="29">
        <v>0</v>
      </c>
      <c r="G60" s="29">
        <v>41295010273</v>
      </c>
      <c r="H60" s="29">
        <v>542171</v>
      </c>
      <c r="I60" s="29">
        <f t="shared" si="8"/>
        <v>299483932</v>
      </c>
      <c r="J60" s="29">
        <v>43213482885</v>
      </c>
      <c r="K60" s="29">
        <v>598696306</v>
      </c>
      <c r="L60" s="29">
        <v>0</v>
      </c>
      <c r="M60" s="29">
        <v>0</v>
      </c>
      <c r="N60" s="29">
        <v>0</v>
      </c>
      <c r="O60" s="29">
        <f t="shared" si="9"/>
        <v>4206933098</v>
      </c>
      <c r="P60" s="29">
        <v>4805629404</v>
      </c>
      <c r="Q60" s="29">
        <v>48164304332</v>
      </c>
      <c r="R60" s="29">
        <v>0</v>
      </c>
      <c r="S60" s="29">
        <v>-9801287107</v>
      </c>
      <c r="T60" s="29">
        <v>44836256</v>
      </c>
      <c r="U60" s="29">
        <f t="shared" si="10"/>
        <v>0</v>
      </c>
      <c r="V60" s="29">
        <v>38407853481</v>
      </c>
    </row>
    <row r="61" spans="1:22">
      <c r="A61" s="13">
        <f>'法人一覧(25)'!A61</f>
        <v>58</v>
      </c>
      <c r="B61" s="2" t="str">
        <f>'法人一覧(25)'!B61</f>
        <v>農林水産省</v>
      </c>
      <c r="C61" s="2" t="str">
        <f>'法人一覧(25)'!C61</f>
        <v>水産大学校</v>
      </c>
      <c r="D61" s="29">
        <v>611768078</v>
      </c>
      <c r="E61" s="29">
        <v>0</v>
      </c>
      <c r="F61" s="29">
        <v>0</v>
      </c>
      <c r="G61" s="29">
        <v>11146085730</v>
      </c>
      <c r="H61" s="29">
        <v>1371891</v>
      </c>
      <c r="I61" s="29">
        <f t="shared" si="8"/>
        <v>105672247</v>
      </c>
      <c r="J61" s="29">
        <v>11864897946</v>
      </c>
      <c r="K61" s="29">
        <v>401172569</v>
      </c>
      <c r="L61" s="29">
        <v>0</v>
      </c>
      <c r="M61" s="29">
        <v>0</v>
      </c>
      <c r="N61" s="29">
        <v>0</v>
      </c>
      <c r="O61" s="29">
        <f t="shared" si="9"/>
        <v>635185367</v>
      </c>
      <c r="P61" s="29">
        <v>1036357936</v>
      </c>
      <c r="Q61" s="29">
        <v>8986424208</v>
      </c>
      <c r="R61" s="29">
        <v>0</v>
      </c>
      <c r="S61" s="29">
        <v>1810728097</v>
      </c>
      <c r="T61" s="29">
        <v>31387705</v>
      </c>
      <c r="U61" s="29">
        <f t="shared" si="10"/>
        <v>0</v>
      </c>
      <c r="V61" s="29">
        <v>10828540010</v>
      </c>
    </row>
    <row r="62" spans="1:22">
      <c r="A62" s="13">
        <f>'法人一覧(25)'!A62</f>
        <v>59</v>
      </c>
      <c r="B62" s="2" t="str">
        <f>'法人一覧(25)'!B62</f>
        <v>農林水産省</v>
      </c>
      <c r="C62" s="2" t="str">
        <f>'法人一覧(25)'!C62</f>
        <v>農業・食品産業技術総合研究機構</v>
      </c>
      <c r="D62" s="29">
        <v>18426431919</v>
      </c>
      <c r="E62" s="29">
        <f>3100000000+5476710514+150000000</f>
        <v>8726710514</v>
      </c>
      <c r="F62" s="29">
        <v>700000</v>
      </c>
      <c r="G62" s="29">
        <v>262097463264</v>
      </c>
      <c r="H62" s="29">
        <f>265234070+1149451+155744+1319444+178432+248316263</f>
        <v>516353404</v>
      </c>
      <c r="I62" s="29">
        <f t="shared" si="8"/>
        <v>4988780183</v>
      </c>
      <c r="J62" s="29">
        <v>294756439284</v>
      </c>
      <c r="K62" s="29">
        <v>14142171093</v>
      </c>
      <c r="L62" s="29">
        <v>0</v>
      </c>
      <c r="M62" s="29">
        <v>0</v>
      </c>
      <c r="N62" s="29">
        <v>5157988</v>
      </c>
      <c r="O62" s="29">
        <f t="shared" si="9"/>
        <v>17205549325</v>
      </c>
      <c r="P62" s="29">
        <v>31352878406</v>
      </c>
      <c r="Q62" s="29">
        <v>311199356718</v>
      </c>
      <c r="R62" s="29">
        <f>4000000+4197180000</f>
        <v>4201180000</v>
      </c>
      <c r="S62" s="29">
        <v>-23716159506</v>
      </c>
      <c r="T62" s="29">
        <v>-28280816334</v>
      </c>
      <c r="U62" s="29">
        <f t="shared" si="10"/>
        <v>0</v>
      </c>
      <c r="V62" s="29">
        <v>263403560878</v>
      </c>
    </row>
    <row r="63" spans="1:22">
      <c r="A63" s="13">
        <f>'法人一覧(25)'!A63</f>
        <v>60</v>
      </c>
      <c r="B63" s="2" t="str">
        <f>'法人一覧(25)'!B63</f>
        <v>農林水産省</v>
      </c>
      <c r="C63" s="2" t="str">
        <f>'法人一覧(25)'!C63</f>
        <v>農業生物資源研究所</v>
      </c>
      <c r="D63" s="29">
        <v>1266633893</v>
      </c>
      <c r="E63" s="29">
        <v>0</v>
      </c>
      <c r="F63" s="29">
        <v>0</v>
      </c>
      <c r="G63" s="29">
        <v>30419878635</v>
      </c>
      <c r="H63" s="29">
        <f>169199709+145418351</f>
        <v>314618060</v>
      </c>
      <c r="I63" s="29">
        <f t="shared" si="8"/>
        <v>582544053</v>
      </c>
      <c r="J63" s="29">
        <v>32583674641</v>
      </c>
      <c r="K63" s="29">
        <v>497954607</v>
      </c>
      <c r="L63" s="29">
        <v>0</v>
      </c>
      <c r="M63" s="29">
        <v>0</v>
      </c>
      <c r="N63" s="29">
        <v>0</v>
      </c>
      <c r="O63" s="29">
        <f t="shared" si="9"/>
        <v>3827215961</v>
      </c>
      <c r="P63" s="29">
        <v>4325170568</v>
      </c>
      <c r="Q63" s="29">
        <v>35341178930</v>
      </c>
      <c r="R63" s="29">
        <v>0</v>
      </c>
      <c r="S63" s="29">
        <v>-7437666938</v>
      </c>
      <c r="T63" s="29">
        <v>354992081</v>
      </c>
      <c r="U63" s="29">
        <f t="shared" si="10"/>
        <v>0</v>
      </c>
      <c r="V63" s="29">
        <v>28258504073</v>
      </c>
    </row>
    <row r="64" spans="1:22">
      <c r="A64" s="13">
        <f>'法人一覧(25)'!A64</f>
        <v>61</v>
      </c>
      <c r="B64" s="2" t="str">
        <f>'法人一覧(25)'!B64</f>
        <v>農林水産省</v>
      </c>
      <c r="C64" s="2" t="str">
        <f>'法人一覧(25)'!C64</f>
        <v>農業環境技術研究所</v>
      </c>
      <c r="D64" s="29">
        <v>498395562</v>
      </c>
      <c r="E64" s="29">
        <v>0</v>
      </c>
      <c r="F64" s="29">
        <v>0</v>
      </c>
      <c r="G64" s="29">
        <v>32902699581</v>
      </c>
      <c r="H64" s="29">
        <f>9505327+8967486</f>
        <v>18472813</v>
      </c>
      <c r="I64" s="29">
        <f t="shared" si="8"/>
        <v>1339779023</v>
      </c>
      <c r="J64" s="29">
        <v>34759346979</v>
      </c>
      <c r="K64" s="29">
        <v>158759827</v>
      </c>
      <c r="L64" s="29">
        <v>0</v>
      </c>
      <c r="M64" s="29">
        <v>0</v>
      </c>
      <c r="N64" s="29">
        <v>0</v>
      </c>
      <c r="O64" s="29">
        <f t="shared" si="9"/>
        <v>2411573439</v>
      </c>
      <c r="P64" s="29">
        <v>2570333266</v>
      </c>
      <c r="Q64" s="29">
        <v>34353269524</v>
      </c>
      <c r="R64" s="29">
        <v>0</v>
      </c>
      <c r="S64" s="29">
        <v>-2268048829</v>
      </c>
      <c r="T64" s="29">
        <v>103793018</v>
      </c>
      <c r="U64" s="29">
        <f t="shared" si="10"/>
        <v>0</v>
      </c>
      <c r="V64" s="29">
        <v>32189013713</v>
      </c>
    </row>
    <row r="65" spans="1:22">
      <c r="A65" s="13">
        <f>'法人一覧(25)'!A65</f>
        <v>62</v>
      </c>
      <c r="B65" s="2" t="str">
        <f>'法人一覧(25)'!B65</f>
        <v>農林水産省</v>
      </c>
      <c r="C65" s="2" t="str">
        <f>'法人一覧(25)'!C65</f>
        <v>国際農林水産業研究センター</v>
      </c>
      <c r="D65" s="29">
        <v>340621097</v>
      </c>
      <c r="E65" s="29">
        <v>0</v>
      </c>
      <c r="F65" s="29">
        <v>0</v>
      </c>
      <c r="G65" s="29">
        <v>7581390362</v>
      </c>
      <c r="H65" s="29">
        <f>19854267+94802</f>
        <v>19949069</v>
      </c>
      <c r="I65" s="29">
        <f t="shared" si="8"/>
        <v>231985469</v>
      </c>
      <c r="J65" s="29">
        <v>8173945997</v>
      </c>
      <c r="K65" s="29">
        <v>211747617</v>
      </c>
      <c r="L65" s="29">
        <v>0</v>
      </c>
      <c r="M65" s="29">
        <v>0</v>
      </c>
      <c r="N65" s="29">
        <v>0</v>
      </c>
      <c r="O65" s="29">
        <f t="shared" si="9"/>
        <v>698042403</v>
      </c>
      <c r="P65" s="29">
        <v>909790020</v>
      </c>
      <c r="Q65" s="29">
        <v>8470154319</v>
      </c>
      <c r="R65" s="29">
        <v>0</v>
      </c>
      <c r="S65" s="29">
        <v>-1275982615</v>
      </c>
      <c r="T65" s="29">
        <v>69984273</v>
      </c>
      <c r="U65" s="29">
        <f t="shared" si="10"/>
        <v>0</v>
      </c>
      <c r="V65" s="29">
        <v>7264155977</v>
      </c>
    </row>
    <row r="66" spans="1:22">
      <c r="A66" s="13">
        <f>'法人一覧(25)'!A66</f>
        <v>63</v>
      </c>
      <c r="B66" s="2" t="str">
        <f>'法人一覧(25)'!B66</f>
        <v>農林水産省</v>
      </c>
      <c r="C66" s="2" t="str">
        <f>'法人一覧(25)'!C66</f>
        <v>森林総合研究所</v>
      </c>
      <c r="D66" s="52">
        <v>17314888642</v>
      </c>
      <c r="E66" s="52">
        <v>0</v>
      </c>
      <c r="F66" s="52">
        <v>18000000</v>
      </c>
      <c r="G66" s="52">
        <v>1014925214963</v>
      </c>
      <c r="H66" s="52">
        <v>14064102</v>
      </c>
      <c r="I66" s="52">
        <f t="shared" si="8"/>
        <v>85575537133</v>
      </c>
      <c r="J66" s="52">
        <v>1117847704840</v>
      </c>
      <c r="K66" s="52">
        <v>651342611</v>
      </c>
      <c r="L66" s="52">
        <v>1019407491</v>
      </c>
      <c r="M66" s="52">
        <v>236516921427</v>
      </c>
      <c r="N66" s="52">
        <v>4480884625</v>
      </c>
      <c r="O66" s="52">
        <f t="shared" si="9"/>
        <v>12392760354</v>
      </c>
      <c r="P66" s="52">
        <v>255061316508</v>
      </c>
      <c r="Q66" s="52">
        <v>748604699894</v>
      </c>
      <c r="R66" s="52">
        <v>0</v>
      </c>
      <c r="S66" s="52">
        <v>119076122959</v>
      </c>
      <c r="T66" s="52">
        <v>6288027537</v>
      </c>
      <c r="U66" s="52">
        <f t="shared" si="10"/>
        <v>-11182462058</v>
      </c>
      <c r="V66" s="52">
        <v>862786388332</v>
      </c>
    </row>
    <row r="67" spans="1:22">
      <c r="A67" s="13">
        <f>'法人一覧(25)'!A67</f>
        <v>64</v>
      </c>
      <c r="B67" s="2" t="str">
        <f>'法人一覧(25)'!B67</f>
        <v>農林水産省</v>
      </c>
      <c r="C67" s="2" t="str">
        <f>'法人一覧(25)'!C67</f>
        <v>水産総合研究センター</v>
      </c>
      <c r="D67" s="29">
        <v>3591121678</v>
      </c>
      <c r="E67" s="29">
        <f>495538681+500133036+50000</f>
        <v>995721717</v>
      </c>
      <c r="F67" s="29">
        <v>0</v>
      </c>
      <c r="G67" s="29">
        <v>50313921107</v>
      </c>
      <c r="H67" s="29">
        <f>9480542+1040534</f>
        <v>10521076</v>
      </c>
      <c r="I67" s="29">
        <f t="shared" si="8"/>
        <v>4282985718</v>
      </c>
      <c r="J67" s="29">
        <v>59194271296</v>
      </c>
      <c r="K67" s="29">
        <v>2446281813</v>
      </c>
      <c r="L67" s="29">
        <v>0</v>
      </c>
      <c r="M67" s="29">
        <v>0</v>
      </c>
      <c r="N67" s="29">
        <v>1921500</v>
      </c>
      <c r="O67" s="29">
        <f t="shared" si="9"/>
        <v>7344007379</v>
      </c>
      <c r="P67" s="29">
        <v>9792210692</v>
      </c>
      <c r="Q67" s="29">
        <v>58092818922</v>
      </c>
      <c r="R67" s="29">
        <v>0</v>
      </c>
      <c r="S67" s="29">
        <v>-9072483023</v>
      </c>
      <c r="T67" s="29">
        <v>381724705</v>
      </c>
      <c r="U67" s="29">
        <f t="shared" si="10"/>
        <v>0</v>
      </c>
      <c r="V67" s="29">
        <v>49402060604</v>
      </c>
    </row>
    <row r="68" spans="1:22">
      <c r="A68" s="13">
        <f>'法人一覧(25)'!A68</f>
        <v>65</v>
      </c>
      <c r="B68" s="2" t="str">
        <f>'法人一覧(25)'!B68</f>
        <v>農林水産省</v>
      </c>
      <c r="C68" s="2" t="str">
        <f>'法人一覧(25)'!C68</f>
        <v>農畜産業振興機構</v>
      </c>
      <c r="D68" s="29">
        <v>382248243673</v>
      </c>
      <c r="E68" s="29">
        <f>10810787327+80063221689</f>
        <v>90874009016</v>
      </c>
      <c r="F68" s="29">
        <v>0</v>
      </c>
      <c r="G68" s="29">
        <v>801252739</v>
      </c>
      <c r="H68" s="29">
        <v>0</v>
      </c>
      <c r="I68" s="29">
        <f t="shared" si="8"/>
        <v>10494634304</v>
      </c>
      <c r="J68" s="29">
        <v>484418139732</v>
      </c>
      <c r="K68" s="29">
        <v>391760100</v>
      </c>
      <c r="L68" s="29">
        <f>3803393083+418626360636</f>
        <v>422429753719</v>
      </c>
      <c r="M68" s="29">
        <v>20186230013</v>
      </c>
      <c r="N68" s="29">
        <f>38377460+1365069472+58619792</f>
        <v>1462066724</v>
      </c>
      <c r="O68" s="29">
        <f t="shared" si="9"/>
        <v>14843210141</v>
      </c>
      <c r="P68" s="29">
        <v>459313020697</v>
      </c>
      <c r="Q68" s="29">
        <v>30958713096</v>
      </c>
      <c r="R68" s="29">
        <v>0</v>
      </c>
      <c r="S68" s="29">
        <v>0</v>
      </c>
      <c r="T68" s="29">
        <v>-5853594061</v>
      </c>
      <c r="U68" s="29">
        <f t="shared" si="10"/>
        <v>0</v>
      </c>
      <c r="V68" s="29">
        <v>25105119035</v>
      </c>
    </row>
    <row r="69" spans="1:22">
      <c r="A69" s="13">
        <f>'法人一覧(25)'!A69</f>
        <v>66</v>
      </c>
      <c r="B69" s="2" t="str">
        <f>'法人一覧(25)'!B69</f>
        <v>農林水産省</v>
      </c>
      <c r="C69" s="2" t="str">
        <f>'法人一覧(25)'!C69</f>
        <v>農業者年金基金</v>
      </c>
      <c r="D69" s="29">
        <v>10882500953</v>
      </c>
      <c r="E69" s="29">
        <f>35736182702+136301555650+55548941793</f>
        <v>227586680145</v>
      </c>
      <c r="F69" s="29">
        <v>437784145</v>
      </c>
      <c r="G69" s="29">
        <v>47440944</v>
      </c>
      <c r="H69" s="29">
        <v>0</v>
      </c>
      <c r="I69" s="29">
        <f t="shared" si="8"/>
        <v>414738921596</v>
      </c>
      <c r="J69" s="29">
        <v>653693327783</v>
      </c>
      <c r="K69" s="29">
        <v>139186601</v>
      </c>
      <c r="L69" s="29">
        <v>82821551</v>
      </c>
      <c r="M69" s="29">
        <f>83100000000+329200000000</f>
        <v>412300000000</v>
      </c>
      <c r="N69" s="29">
        <f>507514242+229170637515</f>
        <v>229678151757</v>
      </c>
      <c r="O69" s="29">
        <f t="shared" si="9"/>
        <v>10451810373</v>
      </c>
      <c r="P69" s="29">
        <v>652651970282</v>
      </c>
      <c r="Q69" s="29">
        <v>0</v>
      </c>
      <c r="R69" s="29">
        <v>0</v>
      </c>
      <c r="S69" s="29">
        <v>0</v>
      </c>
      <c r="T69" s="29">
        <v>1041357501</v>
      </c>
      <c r="U69" s="29">
        <f t="shared" si="10"/>
        <v>0</v>
      </c>
      <c r="V69" s="29">
        <v>1041357501</v>
      </c>
    </row>
    <row r="70" spans="1:22">
      <c r="A70" s="13">
        <f>'法人一覧(25)'!A70</f>
        <v>67</v>
      </c>
      <c r="B70" s="2" t="str">
        <f>'法人一覧(25)'!B70</f>
        <v>農林水産省</v>
      </c>
      <c r="C70" s="2" t="str">
        <f>'法人一覧(25)'!C70</f>
        <v>農林漁業信用基金</v>
      </c>
      <c r="D70" s="29">
        <v>34461204178</v>
      </c>
      <c r="E70" s="29">
        <f>31389701829+93083727902</f>
        <v>124473429731</v>
      </c>
      <c r="F70" s="29">
        <f>43694978000+24997639000</f>
        <v>68692617000</v>
      </c>
      <c r="G70" s="29">
        <v>1020011071</v>
      </c>
      <c r="H70" s="29">
        <v>0</v>
      </c>
      <c r="I70" s="29">
        <f t="shared" si="8"/>
        <v>82991757792</v>
      </c>
      <c r="J70" s="29">
        <v>311639019772</v>
      </c>
      <c r="K70" s="29">
        <v>0</v>
      </c>
      <c r="L70" s="29">
        <f>25824689277</f>
        <v>25824689277</v>
      </c>
      <c r="M70" s="29">
        <f>599000000+6291000000</f>
        <v>6890000000</v>
      </c>
      <c r="N70" s="29">
        <f>3033400594+1224201583+4180559309+9237652385</f>
        <v>17675813871</v>
      </c>
      <c r="O70" s="29">
        <f t="shared" si="9"/>
        <v>49887233225</v>
      </c>
      <c r="P70" s="29">
        <v>100277736373</v>
      </c>
      <c r="Q70" s="29">
        <v>148636261096</v>
      </c>
      <c r="R70" s="29">
        <f>5212880000+29932073851</f>
        <v>35144953851</v>
      </c>
      <c r="S70" s="29">
        <v>11814095279</v>
      </c>
      <c r="T70" s="29">
        <v>15765973173</v>
      </c>
      <c r="U70" s="29">
        <f t="shared" si="10"/>
        <v>0</v>
      </c>
      <c r="V70" s="29">
        <v>211361283399</v>
      </c>
    </row>
    <row r="71" spans="1:22">
      <c r="A71" s="13">
        <f>'法人一覧(25)'!A71</f>
        <v>68</v>
      </c>
      <c r="B71" s="2" t="str">
        <f>'法人一覧(25)'!B71</f>
        <v>経済産業省</v>
      </c>
      <c r="C71" s="2" t="str">
        <f>'法人一覧(25)'!C71</f>
        <v>経済産業研究所</v>
      </c>
      <c r="D71" s="29">
        <v>633037894</v>
      </c>
      <c r="E71" s="29">
        <v>0</v>
      </c>
      <c r="F71" s="29">
        <v>0</v>
      </c>
      <c r="G71" s="29">
        <v>21017573</v>
      </c>
      <c r="H71" s="29">
        <v>0</v>
      </c>
      <c r="I71" s="29">
        <f t="shared" si="8"/>
        <v>17454560</v>
      </c>
      <c r="J71" s="29">
        <v>671510027</v>
      </c>
      <c r="K71" s="29">
        <v>447203109</v>
      </c>
      <c r="L71" s="29">
        <v>279333</v>
      </c>
      <c r="M71" s="29">
        <v>0</v>
      </c>
      <c r="N71" s="29">
        <v>0</v>
      </c>
      <c r="O71" s="29">
        <f t="shared" si="9"/>
        <v>198382328</v>
      </c>
      <c r="P71" s="29">
        <v>645864770</v>
      </c>
      <c r="Q71" s="29">
        <v>0</v>
      </c>
      <c r="R71" s="29">
        <v>0</v>
      </c>
      <c r="S71" s="29">
        <v>0</v>
      </c>
      <c r="T71" s="29">
        <v>25645257</v>
      </c>
      <c r="U71" s="29">
        <f t="shared" si="10"/>
        <v>0</v>
      </c>
      <c r="V71" s="29">
        <v>25645257</v>
      </c>
    </row>
    <row r="72" spans="1:22">
      <c r="A72" s="13">
        <f>'法人一覧(25)'!A72</f>
        <v>69</v>
      </c>
      <c r="B72" s="2" t="str">
        <f>'法人一覧(25)'!B72</f>
        <v>経済産業省</v>
      </c>
      <c r="C72" s="2" t="str">
        <f>'法人一覧(25)'!C72</f>
        <v>工業所有権情報・研修館</v>
      </c>
      <c r="D72" s="29">
        <v>5105752777</v>
      </c>
      <c r="E72" s="29">
        <v>0</v>
      </c>
      <c r="F72" s="29">
        <v>0</v>
      </c>
      <c r="G72" s="29">
        <v>97841299</v>
      </c>
      <c r="H72" s="29">
        <v>0</v>
      </c>
      <c r="I72" s="29">
        <f t="shared" ref="I72" si="16">J72-SUM(D72:H72)</f>
        <v>2294764196</v>
      </c>
      <c r="J72" s="29">
        <v>7498358272</v>
      </c>
      <c r="K72" s="29">
        <v>3162830535</v>
      </c>
      <c r="L72" s="29">
        <v>0</v>
      </c>
      <c r="M72" s="29">
        <v>0</v>
      </c>
      <c r="N72" s="29">
        <v>0</v>
      </c>
      <c r="O72" s="29">
        <f t="shared" ref="O72" si="17">P72-SUM(K72:N72)</f>
        <v>4354055759</v>
      </c>
      <c r="P72" s="29">
        <v>7516886294</v>
      </c>
      <c r="Q72" s="29">
        <v>0</v>
      </c>
      <c r="R72" s="29">
        <v>0</v>
      </c>
      <c r="S72" s="29">
        <v>1020600</v>
      </c>
      <c r="T72" s="29">
        <v>-19548622</v>
      </c>
      <c r="U72" s="29">
        <f t="shared" ref="U72" si="18">V72-SUM(Q72:T72)</f>
        <v>0</v>
      </c>
      <c r="V72" s="29">
        <v>-18528022</v>
      </c>
    </row>
    <row r="73" spans="1:22">
      <c r="A73" s="13">
        <f>'法人一覧(25)'!A73</f>
        <v>70</v>
      </c>
      <c r="B73" s="2" t="str">
        <f>'法人一覧(25)'!B73</f>
        <v>経済産業省</v>
      </c>
      <c r="C73" s="2" t="str">
        <f>'法人一覧(25)'!C73</f>
        <v>日本貿易保険</v>
      </c>
      <c r="D73" s="29">
        <v>9101000000</v>
      </c>
      <c r="E73" s="29">
        <f>296053000000</f>
        <v>296053000000</v>
      </c>
      <c r="F73" s="29">
        <v>0</v>
      </c>
      <c r="G73" s="29">
        <f>102000000+598000000</f>
        <v>700000000</v>
      </c>
      <c r="H73" s="29">
        <v>0</v>
      </c>
      <c r="I73" s="29">
        <f t="shared" ref="I73:I101" si="19">J73-SUM(D73:H73)</f>
        <v>67703000000</v>
      </c>
      <c r="J73" s="29">
        <v>373557000000</v>
      </c>
      <c r="K73" s="29">
        <v>0</v>
      </c>
      <c r="L73" s="29">
        <v>0</v>
      </c>
      <c r="M73" s="29">
        <v>0</v>
      </c>
      <c r="N73" s="29">
        <f>1322000000+23172000000+99000000+454000000</f>
        <v>25047000000</v>
      </c>
      <c r="O73" s="29">
        <f t="shared" ref="O73:O75" si="20">P73-SUM(K73:N73)</f>
        <v>12076000000</v>
      </c>
      <c r="P73" s="29">
        <v>37123000000</v>
      </c>
      <c r="Q73" s="29">
        <v>104352000000</v>
      </c>
      <c r="R73" s="29">
        <v>0</v>
      </c>
      <c r="S73" s="29">
        <v>143402000000</v>
      </c>
      <c r="T73" s="29">
        <v>88679000000</v>
      </c>
      <c r="U73" s="29">
        <f t="shared" ref="U73:U102" si="21">V73-SUM(Q73:T73)</f>
        <v>0</v>
      </c>
      <c r="V73" s="29">
        <v>336433000000</v>
      </c>
    </row>
    <row r="74" spans="1:22">
      <c r="A74" s="13">
        <f>'法人一覧(25)'!A74</f>
        <v>71</v>
      </c>
      <c r="B74" s="2" t="str">
        <f>'法人一覧(25)'!B74</f>
        <v>経済産業省</v>
      </c>
      <c r="C74" s="2" t="str">
        <f>'法人一覧(25)'!C74</f>
        <v>産業技術総合研究所</v>
      </c>
      <c r="D74" s="29">
        <v>20902872676</v>
      </c>
      <c r="E74" s="29">
        <v>0</v>
      </c>
      <c r="F74" s="29">
        <v>0</v>
      </c>
      <c r="G74" s="29">
        <v>320404406780</v>
      </c>
      <c r="H74" s="29">
        <f>1196473979+1284031260</f>
        <v>2480505239</v>
      </c>
      <c r="I74" s="29">
        <f t="shared" si="19"/>
        <v>9956585895</v>
      </c>
      <c r="J74" s="29">
        <v>353744370590</v>
      </c>
      <c r="K74" s="29">
        <v>9293050156</v>
      </c>
      <c r="L74" s="29">
        <f>6932502+456339171</f>
        <v>463271673</v>
      </c>
      <c r="M74" s="29">
        <v>0</v>
      </c>
      <c r="N74" s="29">
        <f>13829266+31181973</f>
        <v>45011239</v>
      </c>
      <c r="O74" s="29">
        <f t="shared" si="20"/>
        <v>57884642534</v>
      </c>
      <c r="P74" s="29">
        <v>67685975602</v>
      </c>
      <c r="Q74" s="29">
        <v>284741495643</v>
      </c>
      <c r="R74" s="29">
        <v>0</v>
      </c>
      <c r="S74" s="29">
        <v>-10279237143</v>
      </c>
      <c r="T74" s="29">
        <v>11596136488</v>
      </c>
      <c r="U74" s="29">
        <f t="shared" si="21"/>
        <v>0</v>
      </c>
      <c r="V74" s="29">
        <v>286058394988</v>
      </c>
    </row>
    <row r="75" spans="1:22">
      <c r="A75" s="13">
        <f>'法人一覧(25)'!A75</f>
        <v>72</v>
      </c>
      <c r="B75" s="2" t="str">
        <f>'法人一覧(25)'!B75</f>
        <v>経済産業省</v>
      </c>
      <c r="C75" s="2" t="str">
        <f>'法人一覧(25)'!C75</f>
        <v>製品評価技術基盤機構</v>
      </c>
      <c r="D75" s="29">
        <v>3098727339</v>
      </c>
      <c r="E75" s="29">
        <v>0</v>
      </c>
      <c r="F75" s="29">
        <v>0</v>
      </c>
      <c r="G75" s="29">
        <v>15909984148</v>
      </c>
      <c r="H75" s="29">
        <v>0</v>
      </c>
      <c r="I75" s="29">
        <f t="shared" si="19"/>
        <v>448321693</v>
      </c>
      <c r="J75" s="29">
        <v>19457033180</v>
      </c>
      <c r="K75" s="29">
        <v>1136268875</v>
      </c>
      <c r="L75" s="29">
        <v>607136</v>
      </c>
      <c r="M75" s="29">
        <v>0</v>
      </c>
      <c r="N75" s="29">
        <v>0</v>
      </c>
      <c r="O75" s="29">
        <f t="shared" si="20"/>
        <v>5002499708</v>
      </c>
      <c r="P75" s="29">
        <v>6139375719</v>
      </c>
      <c r="Q75" s="29">
        <v>19010651741</v>
      </c>
      <c r="R75" s="29">
        <v>0</v>
      </c>
      <c r="S75" s="29">
        <v>-6213806074</v>
      </c>
      <c r="T75" s="29">
        <v>520811794</v>
      </c>
      <c r="U75" s="29">
        <f t="shared" si="21"/>
        <v>0</v>
      </c>
      <c r="V75" s="29">
        <v>13317657461</v>
      </c>
    </row>
    <row r="76" spans="1:22">
      <c r="A76" s="13">
        <f>'法人一覧(25)'!A76</f>
        <v>73</v>
      </c>
      <c r="B76" s="2" t="str">
        <f>'法人一覧(25)'!B76</f>
        <v>経済産業省</v>
      </c>
      <c r="C76" s="2" t="str">
        <f>'法人一覧(25)'!C76</f>
        <v>新エネルギー・産業技術総合開発機構</v>
      </c>
      <c r="D76" s="52">
        <v>50181582680</v>
      </c>
      <c r="E76" s="52">
        <v>1999840713</v>
      </c>
      <c r="F76" s="52">
        <v>995283005</v>
      </c>
      <c r="G76" s="52">
        <v>280144796</v>
      </c>
      <c r="H76" s="52">
        <v>0</v>
      </c>
      <c r="I76" s="52">
        <f t="shared" ref="I76:I78" si="22">J76-SUM(D76:H76)</f>
        <v>10116207024</v>
      </c>
      <c r="J76" s="52">
        <v>63573058218</v>
      </c>
      <c r="K76" s="52">
        <v>34510030085</v>
      </c>
      <c r="L76" s="52">
        <v>0</v>
      </c>
      <c r="M76" s="52">
        <v>0</v>
      </c>
      <c r="N76" s="52">
        <f>31733739+1762219800</f>
        <v>1793953539</v>
      </c>
      <c r="O76" s="52">
        <f t="shared" ref="O76:O78" si="23">P76-SUM(K76:N76)</f>
        <v>6549058072</v>
      </c>
      <c r="P76" s="52">
        <v>42853041696</v>
      </c>
      <c r="Q76" s="52">
        <v>79043602031</v>
      </c>
      <c r="R76" s="52">
        <v>156979376</v>
      </c>
      <c r="S76" s="52">
        <v>42481984</v>
      </c>
      <c r="T76" s="52">
        <v>-58441901211</v>
      </c>
      <c r="U76" s="52">
        <f t="shared" si="21"/>
        <v>-81145658</v>
      </c>
      <c r="V76" s="52">
        <v>20720016522</v>
      </c>
    </row>
    <row r="77" spans="1:22">
      <c r="A77" s="13">
        <f>'法人一覧(25)'!A77</f>
        <v>74</v>
      </c>
      <c r="B77" s="2" t="str">
        <f>'法人一覧(25)'!B77</f>
        <v>経済産業省</v>
      </c>
      <c r="C77" s="2" t="str">
        <f>'法人一覧(25)'!C77</f>
        <v>日本貿易振興機構</v>
      </c>
      <c r="D77" s="52">
        <v>14542635507</v>
      </c>
      <c r="E77" s="52">
        <v>117179156</v>
      </c>
      <c r="F77" s="52">
        <v>0</v>
      </c>
      <c r="G77" s="52">
        <v>42393744261</v>
      </c>
      <c r="H77" s="52">
        <v>3525104</v>
      </c>
      <c r="I77" s="52">
        <f t="shared" si="22"/>
        <v>1973777374</v>
      </c>
      <c r="J77" s="52">
        <v>59030861402</v>
      </c>
      <c r="K77" s="52">
        <v>5087804663</v>
      </c>
      <c r="L77" s="52">
        <v>458562568</v>
      </c>
      <c r="M77" s="52">
        <v>0</v>
      </c>
      <c r="N77" s="52">
        <v>0</v>
      </c>
      <c r="O77" s="52">
        <f t="shared" si="23"/>
        <v>4541286765</v>
      </c>
      <c r="P77" s="52">
        <v>10087653996</v>
      </c>
      <c r="Q77" s="52">
        <v>52327276270</v>
      </c>
      <c r="R77" s="52">
        <v>0</v>
      </c>
      <c r="S77" s="52">
        <v>803129171</v>
      </c>
      <c r="T77" s="52">
        <v>1319560034</v>
      </c>
      <c r="U77" s="52">
        <f t="shared" si="21"/>
        <v>-5506758069</v>
      </c>
      <c r="V77" s="52">
        <v>48943207406</v>
      </c>
    </row>
    <row r="78" spans="1:22">
      <c r="A78" s="13">
        <f>'法人一覧(25)'!A78</f>
        <v>75</v>
      </c>
      <c r="B78" s="2" t="str">
        <f>'法人一覧(25)'!B78</f>
        <v>経済産業省</v>
      </c>
      <c r="C78" s="2" t="str">
        <f>'法人一覧(25)'!C78</f>
        <v>情報処理推進機構</v>
      </c>
      <c r="D78" s="52">
        <v>4109052075</v>
      </c>
      <c r="E78" s="52">
        <v>3261326400</v>
      </c>
      <c r="F78" s="52">
        <v>-62114094</v>
      </c>
      <c r="G78" s="52">
        <v>486810127</v>
      </c>
      <c r="H78" s="52">
        <v>0</v>
      </c>
      <c r="I78" s="52">
        <f t="shared" si="22"/>
        <v>11896681701</v>
      </c>
      <c r="J78" s="52">
        <v>19691756209</v>
      </c>
      <c r="K78" s="52">
        <v>277682583</v>
      </c>
      <c r="L78" s="52">
        <v>0</v>
      </c>
      <c r="M78" s="52">
        <v>0</v>
      </c>
      <c r="N78" s="52">
        <v>14171695</v>
      </c>
      <c r="O78" s="52">
        <f t="shared" si="23"/>
        <v>3267835943</v>
      </c>
      <c r="P78" s="52">
        <v>3559690221</v>
      </c>
      <c r="Q78" s="52">
        <v>20840961877</v>
      </c>
      <c r="R78" s="52">
        <v>0</v>
      </c>
      <c r="S78" s="52">
        <v>-666454293</v>
      </c>
      <c r="T78" s="52">
        <v>-2739323492</v>
      </c>
      <c r="U78" s="52">
        <f t="shared" si="21"/>
        <v>-1303118104</v>
      </c>
      <c r="V78" s="52">
        <v>16132065988</v>
      </c>
    </row>
    <row r="79" spans="1:22">
      <c r="A79" s="13">
        <f>'法人一覧(25)'!A79</f>
        <v>76</v>
      </c>
      <c r="B79" s="2" t="str">
        <f>'法人一覧(25)'!B79</f>
        <v>経済産業省</v>
      </c>
      <c r="C79" s="2" t="str">
        <f>'法人一覧(25)'!C79</f>
        <v>石油天然ガス・金属鉱物資源機構</v>
      </c>
      <c r="D79" s="29">
        <v>116790423761</v>
      </c>
      <c r="E79" s="29">
        <f>28912229588+35828912607+79019019499</f>
        <v>143760161694</v>
      </c>
      <c r="F79" s="29">
        <f>5399153122+99014000+784154900000+24491963079+1003646000</f>
        <v>815148676201</v>
      </c>
      <c r="G79" s="29">
        <v>72668252589</v>
      </c>
      <c r="H79" s="29">
        <f>784334171+55653400</f>
        <v>839987571</v>
      </c>
      <c r="I79" s="29">
        <f t="shared" ref="I79:I80" si="24">J79-SUM(D79:H79)</f>
        <v>410253042003</v>
      </c>
      <c r="J79" s="29">
        <v>1559460543819</v>
      </c>
      <c r="K79" s="29">
        <v>4501331104</v>
      </c>
      <c r="L79" s="29">
        <v>3340000000</v>
      </c>
      <c r="M79" s="29">
        <f>54936853900+784855900000+3164955000</f>
        <v>842957708900</v>
      </c>
      <c r="N79" s="29">
        <f>31164159+1275114202+1825021000+1752816123</f>
        <v>4884115484</v>
      </c>
      <c r="O79" s="29">
        <f t="shared" ref="O79:O80" si="25">P79-SUM(K79:N79)</f>
        <v>91036683771</v>
      </c>
      <c r="P79" s="29">
        <v>946719839259</v>
      </c>
      <c r="Q79" s="29">
        <v>640462708895</v>
      </c>
      <c r="R79" s="29">
        <v>0</v>
      </c>
      <c r="S79" s="29">
        <v>26030310535</v>
      </c>
      <c r="T79" s="29">
        <v>-53868313584</v>
      </c>
      <c r="U79" s="29">
        <f t="shared" ref="U79:U80" si="26">V79-SUM(Q79:T79)</f>
        <v>115998714</v>
      </c>
      <c r="V79" s="29">
        <v>612740704560</v>
      </c>
    </row>
    <row r="80" spans="1:22">
      <c r="A80" s="13">
        <f>'法人一覧(25)'!A80</f>
        <v>77</v>
      </c>
      <c r="B80" s="2" t="str">
        <f>'法人一覧(25)'!B80</f>
        <v>経済産業省</v>
      </c>
      <c r="C80" s="2" t="str">
        <f>'法人一覧(25)'!C80</f>
        <v>中小企業基盤整備機構</v>
      </c>
      <c r="D80" s="29">
        <v>486677473199</v>
      </c>
      <c r="E80" s="29">
        <f>779197097756+2000000000+6037637372962+1712271898107+869445606770</f>
        <v>9400551975595</v>
      </c>
      <c r="F80" s="29">
        <v>1107028645120</v>
      </c>
      <c r="G80" s="29">
        <v>48010707965</v>
      </c>
      <c r="H80" s="29">
        <v>0</v>
      </c>
      <c r="I80" s="29">
        <f t="shared" si="24"/>
        <v>401988944771</v>
      </c>
      <c r="J80" s="29">
        <v>11444257746650</v>
      </c>
      <c r="K80" s="29">
        <v>0</v>
      </c>
      <c r="L80" s="29">
        <f>3651338026+92488538405</f>
        <v>96139876431</v>
      </c>
      <c r="M80" s="29">
        <v>3829154822</v>
      </c>
      <c r="N80" s="29">
        <f>181659608+12917751221+8517574915400+7910881642+787634499300+79737483333</f>
        <v>9405957190504</v>
      </c>
      <c r="O80" s="29">
        <f t="shared" si="25"/>
        <v>1014739510079</v>
      </c>
      <c r="P80" s="29">
        <v>10520665731836</v>
      </c>
      <c r="Q80" s="29">
        <v>1109976254648</v>
      </c>
      <c r="R80" s="29">
        <v>1000000000</v>
      </c>
      <c r="S80" s="29">
        <v>-8025456038</v>
      </c>
      <c r="T80" s="29">
        <v>-179358783796</v>
      </c>
      <c r="U80" s="29">
        <f t="shared" si="26"/>
        <v>0</v>
      </c>
      <c r="V80" s="29">
        <v>923592014814</v>
      </c>
    </row>
    <row r="81" spans="1:22">
      <c r="A81" s="13">
        <f>'法人一覧(25)'!A81</f>
        <v>78</v>
      </c>
      <c r="B81" s="2" t="str">
        <f>'法人一覧(25)'!B81</f>
        <v>国土交通省</v>
      </c>
      <c r="C81" s="2" t="str">
        <f>'法人一覧(25)'!C81</f>
        <v>土木研究所</v>
      </c>
      <c r="D81" s="52">
        <v>2340912532</v>
      </c>
      <c r="E81" s="52">
        <v>0</v>
      </c>
      <c r="F81" s="52">
        <v>0</v>
      </c>
      <c r="G81" s="52">
        <v>31462965134</v>
      </c>
      <c r="H81" s="52">
        <v>0</v>
      </c>
      <c r="I81" s="52">
        <f t="shared" ref="I81:I82" si="27">J81-SUM(D81:H81)</f>
        <v>461528252</v>
      </c>
      <c r="J81" s="52">
        <v>34265405918</v>
      </c>
      <c r="K81" s="52">
        <v>623426725</v>
      </c>
      <c r="L81" s="52">
        <v>0</v>
      </c>
      <c r="M81" s="52">
        <v>0</v>
      </c>
      <c r="N81" s="52">
        <v>0</v>
      </c>
      <c r="O81" s="52">
        <f t="shared" ref="O81:O82" si="28">P81-SUM(K81:N81)</f>
        <v>3604955748</v>
      </c>
      <c r="P81" s="52">
        <v>4228382473</v>
      </c>
      <c r="Q81" s="52">
        <v>34993256864</v>
      </c>
      <c r="R81" s="52">
        <v>0</v>
      </c>
      <c r="S81" s="52">
        <v>-5031715103</v>
      </c>
      <c r="T81" s="52">
        <v>75481684</v>
      </c>
      <c r="U81" s="52">
        <f t="shared" ref="U81:U100" si="29">V81-SUM(Q81:T81)</f>
        <v>0</v>
      </c>
      <c r="V81" s="52">
        <v>30037023445</v>
      </c>
    </row>
    <row r="82" spans="1:22">
      <c r="A82" s="13">
        <f>'法人一覧(25)'!A82</f>
        <v>79</v>
      </c>
      <c r="B82" s="2" t="str">
        <f>'法人一覧(25)'!B82</f>
        <v>国土交通省</v>
      </c>
      <c r="C82" s="2" t="str">
        <f>'法人一覧(25)'!C82</f>
        <v>建築研究所</v>
      </c>
      <c r="D82" s="52">
        <v>293144367</v>
      </c>
      <c r="E82" s="52">
        <v>0</v>
      </c>
      <c r="F82" s="52">
        <v>0</v>
      </c>
      <c r="G82" s="52">
        <v>13408971794</v>
      </c>
      <c r="H82" s="52">
        <v>0</v>
      </c>
      <c r="I82" s="52">
        <f t="shared" si="27"/>
        <v>43436065</v>
      </c>
      <c r="J82" s="52">
        <v>13745552226</v>
      </c>
      <c r="K82" s="52">
        <v>110706170</v>
      </c>
      <c r="L82" s="52">
        <v>0</v>
      </c>
      <c r="M82" s="52">
        <v>0</v>
      </c>
      <c r="N82" s="52">
        <v>0</v>
      </c>
      <c r="O82" s="52">
        <f t="shared" si="28"/>
        <v>498863270</v>
      </c>
      <c r="P82" s="52">
        <v>609569440</v>
      </c>
      <c r="Q82" s="52">
        <v>20384390292</v>
      </c>
      <c r="R82" s="52">
        <v>0</v>
      </c>
      <c r="S82" s="52">
        <v>-7277146967</v>
      </c>
      <c r="T82" s="52">
        <v>28739461</v>
      </c>
      <c r="U82" s="52">
        <f t="shared" si="29"/>
        <v>0</v>
      </c>
      <c r="V82" s="52">
        <v>13135982786</v>
      </c>
    </row>
    <row r="83" spans="1:22">
      <c r="A83" s="13">
        <f>'法人一覧(25)'!A83</f>
        <v>80</v>
      </c>
      <c r="B83" s="2" t="str">
        <f>'法人一覧(25)'!B83</f>
        <v>国土交通省</v>
      </c>
      <c r="C83" s="2" t="str">
        <f>'法人一覧(25)'!C83</f>
        <v>交通安全環境研究所</v>
      </c>
      <c r="D83" s="52">
        <v>149146250</v>
      </c>
      <c r="E83" s="52">
        <v>0</v>
      </c>
      <c r="F83" s="52">
        <v>0</v>
      </c>
      <c r="G83" s="52">
        <v>14660397344</v>
      </c>
      <c r="H83" s="52">
        <v>0</v>
      </c>
      <c r="I83" s="52">
        <f t="shared" ref="I83:I94" si="30">J83-SUM(D83:H83)</f>
        <v>1710511615</v>
      </c>
      <c r="J83" s="52">
        <v>16520055209</v>
      </c>
      <c r="K83" s="52">
        <v>282737588</v>
      </c>
      <c r="L83" s="52">
        <v>0</v>
      </c>
      <c r="M83" s="52">
        <v>0</v>
      </c>
      <c r="N83" s="52">
        <f>531360+24001380</f>
        <v>24532740</v>
      </c>
      <c r="O83" s="52">
        <f t="shared" ref="O83:O99" si="31">P83-SUM(K83:N83)</f>
        <v>2882762955</v>
      </c>
      <c r="P83" s="52">
        <v>3190033283</v>
      </c>
      <c r="Q83" s="52">
        <v>22624508415</v>
      </c>
      <c r="R83" s="52">
        <v>0</v>
      </c>
      <c r="S83" s="52">
        <v>-9541386402</v>
      </c>
      <c r="T83" s="52">
        <v>246899913</v>
      </c>
      <c r="U83" s="52">
        <f t="shared" si="29"/>
        <v>0</v>
      </c>
      <c r="V83" s="52">
        <v>13330021926</v>
      </c>
    </row>
    <row r="84" spans="1:22">
      <c r="A84" s="13">
        <f>'法人一覧(25)'!A84</f>
        <v>81</v>
      </c>
      <c r="B84" s="2" t="str">
        <f>'法人一覧(25)'!B84</f>
        <v>国土交通省</v>
      </c>
      <c r="C84" s="2" t="str">
        <f>'法人一覧(25)'!C84</f>
        <v>海上技術安全研究所</v>
      </c>
      <c r="D84" s="29">
        <v>399180945</v>
      </c>
      <c r="E84" s="29">
        <v>0</v>
      </c>
      <c r="F84" s="29">
        <v>0</v>
      </c>
      <c r="G84" s="29">
        <v>33366290803</v>
      </c>
      <c r="H84" s="29">
        <v>688373</v>
      </c>
      <c r="I84" s="29">
        <f t="shared" si="30"/>
        <v>944243395</v>
      </c>
      <c r="J84" s="29">
        <v>34710403516</v>
      </c>
      <c r="K84" s="29">
        <v>298405156</v>
      </c>
      <c r="L84" s="29">
        <v>0</v>
      </c>
      <c r="M84" s="29">
        <v>0</v>
      </c>
      <c r="N84" s="29">
        <v>0</v>
      </c>
      <c r="O84" s="29">
        <f t="shared" si="31"/>
        <v>1741515197</v>
      </c>
      <c r="P84" s="29">
        <v>2039920353</v>
      </c>
      <c r="Q84" s="29">
        <v>38352096781</v>
      </c>
      <c r="R84" s="29">
        <v>0</v>
      </c>
      <c r="S84" s="29">
        <v>-5936543563</v>
      </c>
      <c r="T84" s="29">
        <v>254929945</v>
      </c>
      <c r="U84" s="29">
        <f t="shared" si="29"/>
        <v>0</v>
      </c>
      <c r="V84" s="29">
        <v>32670483163</v>
      </c>
    </row>
    <row r="85" spans="1:22">
      <c r="A85" s="13">
        <f>'法人一覧(25)'!A85</f>
        <v>82</v>
      </c>
      <c r="B85" s="2" t="str">
        <f>'法人一覧(25)'!B85</f>
        <v>国土交通省</v>
      </c>
      <c r="C85" s="2" t="str">
        <f>'法人一覧(25)'!C85</f>
        <v>港湾空港技術研究所</v>
      </c>
      <c r="D85" s="65">
        <v>649430711</v>
      </c>
      <c r="E85" s="65">
        <v>0</v>
      </c>
      <c r="F85" s="65">
        <v>0</v>
      </c>
      <c r="G85" s="65">
        <v>12152221111</v>
      </c>
      <c r="H85" s="65">
        <v>0</v>
      </c>
      <c r="I85" s="65">
        <f t="shared" si="30"/>
        <v>316240999</v>
      </c>
      <c r="J85" s="65">
        <v>13117892821</v>
      </c>
      <c r="K85" s="65">
        <v>176715687</v>
      </c>
      <c r="L85" s="65">
        <v>0</v>
      </c>
      <c r="M85" s="65">
        <v>0</v>
      </c>
      <c r="N85" s="65">
        <v>27863474</v>
      </c>
      <c r="O85" s="65">
        <f t="shared" si="31"/>
        <v>1095641264</v>
      </c>
      <c r="P85" s="65">
        <v>1300220425</v>
      </c>
      <c r="Q85" s="65">
        <v>14052883551</v>
      </c>
      <c r="R85" s="65">
        <v>0</v>
      </c>
      <c r="S85" s="52">
        <v>-2556087275</v>
      </c>
      <c r="T85" s="65">
        <v>320876120</v>
      </c>
      <c r="U85" s="65">
        <f t="shared" si="29"/>
        <v>0</v>
      </c>
      <c r="V85" s="65">
        <v>11817672396</v>
      </c>
    </row>
    <row r="86" spans="1:22">
      <c r="A86" s="13">
        <f>'法人一覧(25)'!A86</f>
        <v>83</v>
      </c>
      <c r="B86" s="2" t="str">
        <f>'法人一覧(25)'!B86</f>
        <v>国土交通省</v>
      </c>
      <c r="C86" s="2" t="str">
        <f>'法人一覧(25)'!C86</f>
        <v>電子航法研究所</v>
      </c>
      <c r="D86" s="29">
        <v>545099827</v>
      </c>
      <c r="E86" s="29">
        <v>0</v>
      </c>
      <c r="F86" s="29">
        <v>0</v>
      </c>
      <c r="G86" s="29">
        <v>5254516246</v>
      </c>
      <c r="H86" s="29">
        <v>0</v>
      </c>
      <c r="I86" s="29">
        <f t="shared" si="30"/>
        <v>64708850</v>
      </c>
      <c r="J86" s="29">
        <v>5864324923</v>
      </c>
      <c r="K86" s="29">
        <v>368984097</v>
      </c>
      <c r="L86" s="29">
        <v>0</v>
      </c>
      <c r="M86" s="29">
        <v>0</v>
      </c>
      <c r="N86" s="29">
        <v>0</v>
      </c>
      <c r="O86" s="29">
        <f t="shared" si="31"/>
        <v>1070482328</v>
      </c>
      <c r="P86" s="29">
        <v>1439466425</v>
      </c>
      <c r="Q86" s="29">
        <v>4258412552</v>
      </c>
      <c r="R86" s="29">
        <v>0</v>
      </c>
      <c r="S86" s="29">
        <v>153831418</v>
      </c>
      <c r="T86" s="29">
        <v>12614528</v>
      </c>
      <c r="U86" s="29">
        <f t="shared" si="29"/>
        <v>0</v>
      </c>
      <c r="V86" s="29">
        <v>4424858498</v>
      </c>
    </row>
    <row r="87" spans="1:22">
      <c r="A87" s="13">
        <f>'法人一覧(25)'!A87</f>
        <v>84</v>
      </c>
      <c r="B87" s="2" t="str">
        <f>'法人一覧(25)'!B87</f>
        <v>国土交通省</v>
      </c>
      <c r="C87" s="2" t="str">
        <f>'法人一覧(25)'!C87</f>
        <v>航海訓練所</v>
      </c>
      <c r="D87" s="52">
        <v>1251296969</v>
      </c>
      <c r="E87" s="68">
        <v>0</v>
      </c>
      <c r="F87" s="68">
        <v>0</v>
      </c>
      <c r="G87" s="52">
        <v>7075287745</v>
      </c>
      <c r="H87" s="68">
        <v>9793</v>
      </c>
      <c r="I87" s="52">
        <f t="shared" si="30"/>
        <v>386663813</v>
      </c>
      <c r="J87" s="52">
        <v>8713258320</v>
      </c>
      <c r="K87" s="52">
        <v>430167415</v>
      </c>
      <c r="L87" s="68">
        <v>0</v>
      </c>
      <c r="M87" s="68">
        <v>0</v>
      </c>
      <c r="N87" s="68">
        <v>0</v>
      </c>
      <c r="O87" s="52">
        <f t="shared" si="31"/>
        <v>4432544412</v>
      </c>
      <c r="P87" s="52">
        <v>4862711827</v>
      </c>
      <c r="Q87" s="52">
        <v>4812304798</v>
      </c>
      <c r="R87" s="68">
        <v>0</v>
      </c>
      <c r="S87" s="52">
        <v>-965740678</v>
      </c>
      <c r="T87" s="52">
        <v>3982373</v>
      </c>
      <c r="U87" s="52">
        <f t="shared" si="29"/>
        <v>0</v>
      </c>
      <c r="V87" s="52">
        <v>3850546493</v>
      </c>
    </row>
    <row r="88" spans="1:22">
      <c r="A88" s="13">
        <f>'法人一覧(25)'!A88</f>
        <v>85</v>
      </c>
      <c r="B88" s="2" t="str">
        <f>'法人一覧(25)'!B88</f>
        <v>国土交通省</v>
      </c>
      <c r="C88" s="2" t="str">
        <f>'法人一覧(25)'!C88</f>
        <v>海技教育機構</v>
      </c>
      <c r="D88" s="52">
        <v>777415528</v>
      </c>
      <c r="E88" s="68">
        <v>0</v>
      </c>
      <c r="F88" s="68">
        <v>0</v>
      </c>
      <c r="G88" s="52">
        <v>11464606083</v>
      </c>
      <c r="H88" s="68">
        <v>0</v>
      </c>
      <c r="I88" s="52">
        <f t="shared" si="30"/>
        <v>19204405</v>
      </c>
      <c r="J88" s="52">
        <v>12261226016</v>
      </c>
      <c r="K88" s="52">
        <v>323653715</v>
      </c>
      <c r="L88" s="68">
        <v>0</v>
      </c>
      <c r="M88" s="68">
        <v>0</v>
      </c>
      <c r="N88" s="68">
        <v>0</v>
      </c>
      <c r="O88" s="52">
        <f t="shared" si="31"/>
        <v>1197454937</v>
      </c>
      <c r="P88" s="52">
        <v>1521108652</v>
      </c>
      <c r="Q88" s="52">
        <v>12720031987</v>
      </c>
      <c r="R88" s="52">
        <v>0</v>
      </c>
      <c r="S88" s="52">
        <v>-1990697047</v>
      </c>
      <c r="T88" s="52">
        <v>10782424</v>
      </c>
      <c r="U88" s="52">
        <f t="shared" si="29"/>
        <v>0</v>
      </c>
      <c r="V88" s="52">
        <v>10740117364</v>
      </c>
    </row>
    <row r="89" spans="1:22">
      <c r="A89" s="13">
        <f>'法人一覧(25)'!A89</f>
        <v>86</v>
      </c>
      <c r="B89" s="2" t="str">
        <f>'法人一覧(25)'!B89</f>
        <v>国土交通省</v>
      </c>
      <c r="C89" s="2" t="str">
        <f>'法人一覧(25)'!C89</f>
        <v>航空大学校</v>
      </c>
      <c r="D89" s="29">
        <v>430004848</v>
      </c>
      <c r="E89" s="29">
        <v>0</v>
      </c>
      <c r="F89" s="29">
        <v>0</v>
      </c>
      <c r="G89" s="29">
        <v>5482442062</v>
      </c>
      <c r="H89" s="29">
        <v>0</v>
      </c>
      <c r="I89" s="29">
        <f t="shared" si="30"/>
        <v>123126580</v>
      </c>
      <c r="J89" s="29">
        <v>6035573490</v>
      </c>
      <c r="K89" s="29">
        <v>140989856</v>
      </c>
      <c r="L89" s="29">
        <v>0</v>
      </c>
      <c r="M89" s="29">
        <v>0</v>
      </c>
      <c r="N89" s="29">
        <v>0</v>
      </c>
      <c r="O89" s="29">
        <f t="shared" si="31"/>
        <v>1918427378</v>
      </c>
      <c r="P89" s="29">
        <v>2059417234</v>
      </c>
      <c r="Q89" s="29">
        <v>4915008081</v>
      </c>
      <c r="R89" s="29">
        <v>0</v>
      </c>
      <c r="S89" s="29">
        <v>-873622717</v>
      </c>
      <c r="T89" s="29">
        <v>-65229108</v>
      </c>
      <c r="U89" s="29">
        <f t="shared" si="29"/>
        <v>0</v>
      </c>
      <c r="V89" s="29">
        <v>3976156256</v>
      </c>
    </row>
    <row r="90" spans="1:22">
      <c r="A90" s="13">
        <f>'法人一覧(25)'!A90</f>
        <v>87</v>
      </c>
      <c r="B90" s="2" t="str">
        <f>'法人一覧(25)'!B90</f>
        <v>国土交通省</v>
      </c>
      <c r="C90" s="2" t="str">
        <f>'法人一覧(25)'!C90</f>
        <v>自動車検査</v>
      </c>
      <c r="D90" s="52">
        <v>5222081643</v>
      </c>
      <c r="E90" s="52">
        <v>0</v>
      </c>
      <c r="F90" s="52">
        <v>0</v>
      </c>
      <c r="G90" s="52">
        <v>23269654910</v>
      </c>
      <c r="H90" s="52">
        <v>0</v>
      </c>
      <c r="I90" s="52">
        <f t="shared" si="30"/>
        <v>351850461</v>
      </c>
      <c r="J90" s="52">
        <v>28843587014</v>
      </c>
      <c r="K90" s="52">
        <v>17653814</v>
      </c>
      <c r="L90" s="52">
        <v>1218493</v>
      </c>
      <c r="M90" s="52">
        <v>0</v>
      </c>
      <c r="N90" s="52">
        <f>405957325+1533210037</f>
        <v>1939167362</v>
      </c>
      <c r="O90" s="52">
        <f t="shared" si="31"/>
        <v>11588499213</v>
      </c>
      <c r="P90" s="52">
        <v>13546538882</v>
      </c>
      <c r="Q90" s="52">
        <v>12030976175</v>
      </c>
      <c r="R90" s="52">
        <v>0</v>
      </c>
      <c r="S90" s="52">
        <v>1182247167</v>
      </c>
      <c r="T90" s="52">
        <v>2083824790</v>
      </c>
      <c r="U90" s="52">
        <f t="shared" si="29"/>
        <v>0</v>
      </c>
      <c r="V90" s="52">
        <v>15297048132</v>
      </c>
    </row>
    <row r="91" spans="1:22">
      <c r="A91" s="13">
        <f>'法人一覧(25)'!A91</f>
        <v>88</v>
      </c>
      <c r="B91" s="2" t="str">
        <f>'法人一覧(25)'!B91</f>
        <v>国土交通省</v>
      </c>
      <c r="C91" s="2" t="str">
        <f>'法人一覧(25)'!C91</f>
        <v>鉄道建設・運輸施設整備支援機構</v>
      </c>
      <c r="D91" s="52">
        <v>76588914925</v>
      </c>
      <c r="E91" s="52">
        <f>49841752708+195801000000+2705910794</f>
        <v>248348663502</v>
      </c>
      <c r="F91" s="52">
        <f>46069002000+8403700000+498232071000</f>
        <v>552704773000</v>
      </c>
      <c r="G91" s="52">
        <v>5757492012431</v>
      </c>
      <c r="H91" s="52">
        <v>0</v>
      </c>
      <c r="I91" s="52">
        <f t="shared" ref="I91" si="32">J91-SUM(D91:H91)</f>
        <v>3884037634181</v>
      </c>
      <c r="J91" s="52">
        <v>10519171998039</v>
      </c>
      <c r="K91" s="52">
        <v>23174916</v>
      </c>
      <c r="L91" s="52">
        <v>0</v>
      </c>
      <c r="M91" s="52">
        <f>137561000000+251400000000-1355834+444276930000+1186000000000-499910+1266660818408</f>
        <v>3285896892664</v>
      </c>
      <c r="N91" s="52">
        <f>789630998+1162448846131+137322414344</f>
        <v>1300560891473</v>
      </c>
      <c r="O91" s="52">
        <f t="shared" ref="O91" si="33">P91-SUM(K91:N91)</f>
        <v>4538188104031</v>
      </c>
      <c r="P91" s="52">
        <v>9124669063084</v>
      </c>
      <c r="Q91" s="52">
        <v>116006229741</v>
      </c>
      <c r="R91" s="52">
        <v>0</v>
      </c>
      <c r="S91" s="52">
        <v>375836168710</v>
      </c>
      <c r="T91" s="52">
        <v>902660536504</v>
      </c>
      <c r="U91" s="52">
        <f t="shared" si="29"/>
        <v>0</v>
      </c>
      <c r="V91" s="52">
        <v>1394502934955</v>
      </c>
    </row>
    <row r="92" spans="1:22">
      <c r="A92" s="13">
        <f>'法人一覧(25)'!A92</f>
        <v>89</v>
      </c>
      <c r="B92" s="2" t="str">
        <f>'法人一覧(25)'!B92</f>
        <v>国土交通省</v>
      </c>
      <c r="C92" s="2" t="str">
        <f>'法人一覧(25)'!C92</f>
        <v>国際観光振興機構</v>
      </c>
      <c r="D92" s="52">
        <v>719429934</v>
      </c>
      <c r="E92" s="52">
        <v>0</v>
      </c>
      <c r="F92" s="52">
        <v>0</v>
      </c>
      <c r="G92" s="52">
        <v>55938004</v>
      </c>
      <c r="H92" s="52">
        <v>0</v>
      </c>
      <c r="I92" s="52">
        <f t="shared" si="30"/>
        <v>200993305</v>
      </c>
      <c r="J92" s="52">
        <v>976361243</v>
      </c>
      <c r="K92" s="52">
        <v>82007792</v>
      </c>
      <c r="L92" s="52">
        <v>0</v>
      </c>
      <c r="M92" s="52">
        <v>0</v>
      </c>
      <c r="N92" s="52">
        <f>1238150+22561601</f>
        <v>23799751</v>
      </c>
      <c r="O92" s="52">
        <f t="shared" si="31"/>
        <v>348250998</v>
      </c>
      <c r="P92" s="52">
        <v>454058541</v>
      </c>
      <c r="Q92" s="52">
        <v>958426354</v>
      </c>
      <c r="R92" s="52">
        <v>0</v>
      </c>
      <c r="S92" s="52">
        <v>-481304243</v>
      </c>
      <c r="T92" s="52">
        <v>45180591</v>
      </c>
      <c r="U92" s="52">
        <f t="shared" si="29"/>
        <v>0</v>
      </c>
      <c r="V92" s="52">
        <v>522302702</v>
      </c>
    </row>
    <row r="93" spans="1:22">
      <c r="A93" s="13">
        <f>'法人一覧(25)'!A93</f>
        <v>90</v>
      </c>
      <c r="B93" s="2" t="str">
        <f>'法人一覧(25)'!B93</f>
        <v>国土交通省</v>
      </c>
      <c r="C93" s="2" t="str">
        <f>'法人一覧(25)'!C93</f>
        <v>水資源機構</v>
      </c>
      <c r="D93" s="52">
        <v>6885308446</v>
      </c>
      <c r="E93" s="52">
        <f>107749622778+11183891271</f>
        <v>118933514049</v>
      </c>
      <c r="F93" s="52">
        <v>0</v>
      </c>
      <c r="G93" s="52">
        <f>2984386520188+11182639378</f>
        <v>2995569159566</v>
      </c>
      <c r="H93" s="52">
        <v>0</v>
      </c>
      <c r="I93" s="52">
        <f t="shared" ref="I93" si="34">J93-SUM(D93:H93)</f>
        <v>860397739488</v>
      </c>
      <c r="J93" s="52">
        <v>3981785721549</v>
      </c>
      <c r="K93" s="52">
        <v>0</v>
      </c>
      <c r="L93" s="52">
        <f>3316404788+151630620</f>
        <v>3468035408</v>
      </c>
      <c r="M93" s="52">
        <f>25500000000-700000+47293478592+23700000000+425924585896</f>
        <v>522417364488</v>
      </c>
      <c r="N93" s="52">
        <v>41644290033</v>
      </c>
      <c r="O93" s="52">
        <f t="shared" ref="O93" si="35">P93-SUM(K93:N93)</f>
        <v>3316093515088</v>
      </c>
      <c r="P93" s="52">
        <v>3883623205017</v>
      </c>
      <c r="Q93" s="52">
        <v>8541433298</v>
      </c>
      <c r="R93" s="52">
        <v>0</v>
      </c>
      <c r="S93" s="52">
        <v>-1125254705</v>
      </c>
      <c r="T93" s="52">
        <v>90746337939</v>
      </c>
      <c r="U93" s="52">
        <f t="shared" si="29"/>
        <v>0</v>
      </c>
      <c r="V93" s="52">
        <v>98162516532</v>
      </c>
    </row>
    <row r="94" spans="1:22">
      <c r="A94" s="13">
        <f>'法人一覧(25)'!A94</f>
        <v>91</v>
      </c>
      <c r="B94" s="2" t="str">
        <f>'法人一覧(25)'!B94</f>
        <v>国土交通省</v>
      </c>
      <c r="C94" s="2" t="str">
        <f>'法人一覧(25)'!C94</f>
        <v>自動車事故対策機構</v>
      </c>
      <c r="D94" s="52">
        <v>2047644896</v>
      </c>
      <c r="E94" s="52">
        <v>2379997972</v>
      </c>
      <c r="F94" s="52">
        <v>7293995512</v>
      </c>
      <c r="G94" s="52">
        <v>10054683184</v>
      </c>
      <c r="H94" s="52">
        <v>0</v>
      </c>
      <c r="I94" s="52">
        <f t="shared" si="30"/>
        <v>932658593</v>
      </c>
      <c r="J94" s="52">
        <v>22708980157</v>
      </c>
      <c r="K94" s="52">
        <v>1234639290</v>
      </c>
      <c r="L94" s="52">
        <v>49512196</v>
      </c>
      <c r="M94" s="52">
        <f>8570000000+1280000000</f>
        <v>9850000000</v>
      </c>
      <c r="N94" s="52">
        <v>0</v>
      </c>
      <c r="O94" s="52">
        <f t="shared" si="31"/>
        <v>1884756827</v>
      </c>
      <c r="P94" s="52">
        <v>13018908313</v>
      </c>
      <c r="Q94" s="52">
        <v>13081869227</v>
      </c>
      <c r="R94" s="52">
        <v>92216055</v>
      </c>
      <c r="S94" s="52">
        <v>-3518631018</v>
      </c>
      <c r="T94" s="52">
        <v>34617580</v>
      </c>
      <c r="U94" s="52">
        <f t="shared" si="29"/>
        <v>0</v>
      </c>
      <c r="V94" s="52">
        <v>9690071844</v>
      </c>
    </row>
    <row r="95" spans="1:22">
      <c r="A95" s="13">
        <f>'法人一覧(25)'!A95</f>
        <v>92</v>
      </c>
      <c r="B95" s="2" t="str">
        <f>'法人一覧(25)'!B95</f>
        <v>国土交通省</v>
      </c>
      <c r="C95" s="2" t="str">
        <f>'法人一覧(25)'!C95</f>
        <v>空港周辺整備機構</v>
      </c>
      <c r="D95" s="52">
        <v>250845623</v>
      </c>
      <c r="E95" s="52">
        <v>1099841416</v>
      </c>
      <c r="F95" s="69" t="s">
        <v>311</v>
      </c>
      <c r="G95" s="52">
        <v>1760994439</v>
      </c>
      <c r="H95" s="69" t="s">
        <v>311</v>
      </c>
      <c r="I95" s="52">
        <f t="shared" ref="I95:I99" si="36">J95-SUM(D95:H95)</f>
        <v>15116695</v>
      </c>
      <c r="J95" s="52">
        <v>3126798173</v>
      </c>
      <c r="K95" s="70" t="s">
        <v>311</v>
      </c>
      <c r="L95" s="71">
        <v>13000</v>
      </c>
      <c r="M95" s="71">
        <f>98321945+482406817</f>
        <v>580728762</v>
      </c>
      <c r="N95" s="71">
        <f>17829049+5898465</f>
        <v>23727514</v>
      </c>
      <c r="O95" s="71">
        <f t="shared" si="31"/>
        <v>1114060823</v>
      </c>
      <c r="P95" s="71">
        <v>1718530099</v>
      </c>
      <c r="Q95" s="71">
        <v>300000000</v>
      </c>
      <c r="R95" s="71">
        <v>100000000</v>
      </c>
      <c r="S95" s="70" t="s">
        <v>311</v>
      </c>
      <c r="T95" s="71">
        <v>1008268074</v>
      </c>
      <c r="U95" s="71">
        <f t="shared" si="29"/>
        <v>0</v>
      </c>
      <c r="V95" s="71">
        <v>1408268074</v>
      </c>
    </row>
    <row r="96" spans="1:22">
      <c r="A96" s="13">
        <f>'法人一覧(25)'!A96</f>
        <v>93</v>
      </c>
      <c r="B96" s="2" t="str">
        <f>'法人一覧(25)'!B96</f>
        <v>国土交通省</v>
      </c>
      <c r="C96" s="2" t="str">
        <f>'法人一覧(25)'!C96</f>
        <v>海上災害防止センター</v>
      </c>
      <c r="D96" s="65">
        <v>1346950064</v>
      </c>
      <c r="E96" s="65">
        <f>78993017+2351000169</f>
        <v>2429993186</v>
      </c>
      <c r="F96" s="65">
        <v>0</v>
      </c>
      <c r="G96" s="65">
        <v>1662902647</v>
      </c>
      <c r="H96" s="65">
        <v>0</v>
      </c>
      <c r="I96" s="65">
        <f t="shared" si="36"/>
        <v>443278717</v>
      </c>
      <c r="J96" s="72">
        <v>5883124614</v>
      </c>
      <c r="K96" s="65">
        <v>0</v>
      </c>
      <c r="L96" s="65">
        <v>0</v>
      </c>
      <c r="M96" s="65">
        <v>0</v>
      </c>
      <c r="N96" s="65">
        <f>20126480+169689358</f>
        <v>189815838</v>
      </c>
      <c r="O96" s="65">
        <f t="shared" si="31"/>
        <v>896639901</v>
      </c>
      <c r="P96" s="65">
        <v>1086455739</v>
      </c>
      <c r="Q96" s="65">
        <v>327000000</v>
      </c>
      <c r="R96" s="65">
        <v>5823366</v>
      </c>
      <c r="S96" s="65">
        <v>1468306361</v>
      </c>
      <c r="T96" s="65">
        <v>2995539148</v>
      </c>
      <c r="U96" s="65">
        <f t="shared" si="29"/>
        <v>0</v>
      </c>
      <c r="V96" s="65">
        <v>4796668875</v>
      </c>
    </row>
    <row r="97" spans="1:22">
      <c r="A97" s="13">
        <f>'法人一覧(25)'!A97</f>
        <v>94</v>
      </c>
      <c r="B97" s="2" t="str">
        <f>'法人一覧(25)'!B97</f>
        <v>国土交通省</v>
      </c>
      <c r="C97" s="2" t="str">
        <f>'法人一覧(25)'!C97</f>
        <v>都市再生機構</v>
      </c>
      <c r="D97" s="65">
        <v>125560494164</v>
      </c>
      <c r="E97" s="65">
        <v>914000000</v>
      </c>
      <c r="F97" s="65">
        <f>255536759+8407323251+18354897</f>
        <v>8681214907</v>
      </c>
      <c r="G97" s="65">
        <v>12761757525924</v>
      </c>
      <c r="H97" s="65">
        <v>0</v>
      </c>
      <c r="I97" s="65">
        <f t="shared" ref="I97" si="37">J97-SUM(D97:H97)</f>
        <v>1293562237440</v>
      </c>
      <c r="J97" s="65">
        <v>14190475472435</v>
      </c>
      <c r="K97" s="73">
        <v>0</v>
      </c>
      <c r="L97" s="73">
        <v>0</v>
      </c>
      <c r="M97" s="73">
        <f>354965464577+714253666000+921961060743+10412666204000+18354897</f>
        <v>12403864750217</v>
      </c>
      <c r="N97" s="73">
        <f>2349916488+102152912244</f>
        <v>104502828732</v>
      </c>
      <c r="O97" s="73">
        <f t="shared" si="31"/>
        <v>745902411771</v>
      </c>
      <c r="P97" s="73">
        <v>13254269990720</v>
      </c>
      <c r="Q97" s="65">
        <v>1056168624700</v>
      </c>
      <c r="R97" s="65">
        <v>2000326200</v>
      </c>
      <c r="S97" s="65">
        <v>36565932433</v>
      </c>
      <c r="T97" s="65">
        <v>-158529401618</v>
      </c>
      <c r="U97" s="65">
        <f t="shared" si="29"/>
        <v>0</v>
      </c>
      <c r="V97" s="65">
        <v>936205481715</v>
      </c>
    </row>
    <row r="98" spans="1:22">
      <c r="A98" s="13">
        <f>'法人一覧(25)'!A98</f>
        <v>95</v>
      </c>
      <c r="B98" s="2" t="str">
        <f>'法人一覧(25)'!B98</f>
        <v>国土交通省</v>
      </c>
      <c r="C98" s="2" t="str">
        <f>'法人一覧(25)'!C98</f>
        <v>奄美群島振興開発基金</v>
      </c>
      <c r="D98" s="65">
        <f>1893745763</f>
        <v>1893745763</v>
      </c>
      <c r="E98" s="65">
        <f>2187328176+1699396888+600000000</f>
        <v>4486725064</v>
      </c>
      <c r="F98" s="29">
        <f>340109413+4603428142</f>
        <v>4943537555</v>
      </c>
      <c r="G98" s="29">
        <v>85282312</v>
      </c>
      <c r="H98" s="29">
        <v>0</v>
      </c>
      <c r="I98" s="29">
        <f t="shared" ref="I98" si="38">J98-SUM(D98:H98)</f>
        <v>5168716215</v>
      </c>
      <c r="J98" s="29">
        <v>16578006909</v>
      </c>
      <c r="K98" s="29">
        <v>0</v>
      </c>
      <c r="L98" s="29">
        <v>0</v>
      </c>
      <c r="M98" s="29">
        <f>58375811+14586927</f>
        <v>72962738</v>
      </c>
      <c r="N98" s="29">
        <f>16264804+361084196</f>
        <v>377349000</v>
      </c>
      <c r="O98" s="29">
        <f t="shared" ref="O98" si="39">P98-SUM(K98:N98)</f>
        <v>4724193905</v>
      </c>
      <c r="P98" s="29">
        <v>5174505643</v>
      </c>
      <c r="Q98" s="29">
        <v>10601271430</v>
      </c>
      <c r="R98" s="29">
        <v>6504500000</v>
      </c>
      <c r="S98" s="29">
        <v>0</v>
      </c>
      <c r="T98" s="29">
        <v>-5702270164</v>
      </c>
      <c r="U98" s="29">
        <f t="shared" si="29"/>
        <v>0</v>
      </c>
      <c r="V98" s="29">
        <v>11403501266</v>
      </c>
    </row>
    <row r="99" spans="1:22">
      <c r="A99" s="13">
        <f>'法人一覧(25)'!A99</f>
        <v>96</v>
      </c>
      <c r="B99" s="2" t="str">
        <f>'法人一覧(25)'!B99</f>
        <v>国土交通省</v>
      </c>
      <c r="C99" s="2" t="str">
        <f>'法人一覧(25)'!C99</f>
        <v>日本高速道路保有・債務返済機構</v>
      </c>
      <c r="D99" s="52">
        <v>1948312461</v>
      </c>
      <c r="E99" s="52">
        <v>240900000000</v>
      </c>
      <c r="F99" s="52">
        <f>82373958493+140879262200</f>
        <v>223253220693</v>
      </c>
      <c r="G99" s="52">
        <v>39954228076140</v>
      </c>
      <c r="H99" s="52">
        <v>0</v>
      </c>
      <c r="I99" s="52">
        <f t="shared" si="36"/>
        <v>535603179800</v>
      </c>
      <c r="J99" s="52">
        <v>40955932789094</v>
      </c>
      <c r="K99" s="52">
        <v>0</v>
      </c>
      <c r="L99" s="52">
        <v>0</v>
      </c>
      <c r="M99" s="52">
        <f>3474089574880+540989251591+24422114349293+1064076655705</f>
        <v>29501269831469</v>
      </c>
      <c r="N99" s="52">
        <f>54890580+14332680+717721342272</f>
        <v>717790565532</v>
      </c>
      <c r="O99" s="52">
        <f t="shared" si="31"/>
        <v>1000287863126</v>
      </c>
      <c r="P99" s="52">
        <v>31219348260127</v>
      </c>
      <c r="Q99" s="52">
        <v>4026229109745</v>
      </c>
      <c r="R99" s="52">
        <v>1465434433000</v>
      </c>
      <c r="S99" s="52">
        <v>843830923635</v>
      </c>
      <c r="T99" s="52">
        <v>3401090062587</v>
      </c>
      <c r="U99" s="52">
        <f t="shared" si="29"/>
        <v>0</v>
      </c>
      <c r="V99" s="52">
        <v>9736584528967</v>
      </c>
    </row>
    <row r="100" spans="1:22">
      <c r="A100" s="13">
        <f>'法人一覧(25)'!A100</f>
        <v>97</v>
      </c>
      <c r="B100" s="2" t="str">
        <f>'法人一覧(25)'!B100</f>
        <v>国土交通省</v>
      </c>
      <c r="C100" s="2" t="str">
        <f>'法人一覧(25)'!C100</f>
        <v>住宅金融支援機構</v>
      </c>
      <c r="D100" s="29">
        <v>324241880477</v>
      </c>
      <c r="E100" s="65">
        <f>711692444543+2195057402204</f>
        <v>2906749846747</v>
      </c>
      <c r="F100" s="29">
        <v>15419090417422</v>
      </c>
      <c r="G100" s="29">
        <v>33257705346</v>
      </c>
      <c r="H100" s="29">
        <v>0</v>
      </c>
      <c r="I100" s="29">
        <f t="shared" ref="I100" si="40">J100-SUM(D100:H100)</f>
        <v>11573048215681</v>
      </c>
      <c r="J100" s="29">
        <v>30256388065673</v>
      </c>
      <c r="K100" s="29">
        <v>0</v>
      </c>
      <c r="L100" s="29">
        <v>705852302429</v>
      </c>
      <c r="M100" s="29">
        <f>13201739696000+14273287267333</f>
        <v>27475026963333</v>
      </c>
      <c r="N100" s="29">
        <f>64574390955+586407441+28499319500+17934002500+3765488522</f>
        <v>115359608918</v>
      </c>
      <c r="O100" s="29">
        <f t="shared" ref="O100" si="41">P100-SUM(K100:N100)</f>
        <v>1099341351831</v>
      </c>
      <c r="P100" s="29">
        <v>29395580226511</v>
      </c>
      <c r="Q100" s="29">
        <v>705047990000</v>
      </c>
      <c r="R100" s="29">
        <v>0</v>
      </c>
      <c r="S100" s="29">
        <v>-150968849</v>
      </c>
      <c r="T100" s="29">
        <v>157564058322</v>
      </c>
      <c r="U100" s="29">
        <f t="shared" si="29"/>
        <v>-1653240311</v>
      </c>
      <c r="V100" s="29">
        <v>860807839162</v>
      </c>
    </row>
    <row r="101" spans="1:22">
      <c r="A101" s="13">
        <f>'法人一覧(25)'!A101</f>
        <v>98</v>
      </c>
      <c r="B101" s="2" t="str">
        <f>'法人一覧(25)'!B101</f>
        <v>環境省</v>
      </c>
      <c r="C101" s="2" t="str">
        <f>'法人一覧(25)'!C101</f>
        <v>国立環境研究所</v>
      </c>
      <c r="D101" s="29">
        <v>4382081267</v>
      </c>
      <c r="E101" s="29">
        <v>0</v>
      </c>
      <c r="F101" s="29">
        <v>0</v>
      </c>
      <c r="G101" s="29">
        <v>33200715517</v>
      </c>
      <c r="H101" s="29">
        <v>0</v>
      </c>
      <c r="I101" s="29">
        <f t="shared" si="19"/>
        <v>2802511326</v>
      </c>
      <c r="J101" s="29">
        <v>40385308110</v>
      </c>
      <c r="K101" s="29">
        <v>3477812822</v>
      </c>
      <c r="L101" s="29">
        <v>101672</v>
      </c>
      <c r="M101" s="29">
        <v>0</v>
      </c>
      <c r="N101" s="29">
        <v>0</v>
      </c>
      <c r="O101" s="29">
        <f t="shared" ref="O101" si="42">P101-SUM(K101:N101)</f>
        <v>9880395015</v>
      </c>
      <c r="P101" s="29">
        <v>13358309509</v>
      </c>
      <c r="Q101" s="29">
        <v>38666145562</v>
      </c>
      <c r="R101" s="29">
        <v>0</v>
      </c>
      <c r="S101" s="29">
        <v>-11811142391</v>
      </c>
      <c r="T101" s="29">
        <v>171995430</v>
      </c>
      <c r="U101" s="29">
        <f t="shared" ref="U101" si="43">V101-SUM(Q101:T101)</f>
        <v>0</v>
      </c>
      <c r="V101" s="29">
        <v>27026998601</v>
      </c>
    </row>
    <row r="102" spans="1:22">
      <c r="A102" s="13">
        <f>'法人一覧(25)'!A102</f>
        <v>99</v>
      </c>
      <c r="B102" s="2" t="str">
        <f>'法人一覧(25)'!B102</f>
        <v>環境省</v>
      </c>
      <c r="C102" s="2" t="str">
        <f>'法人一覧(25)'!C102</f>
        <v>環境再生保全機構</v>
      </c>
      <c r="D102" s="29">
        <v>9535752122</v>
      </c>
      <c r="E102" s="29">
        <f>187536739381+60694685253</f>
        <v>248231424634</v>
      </c>
      <c r="F102" s="29">
        <v>25795875931</v>
      </c>
      <c r="G102" s="29">
        <v>92974832</v>
      </c>
      <c r="H102" s="29">
        <v>0</v>
      </c>
      <c r="I102" s="29">
        <f t="shared" ref="I102" si="44">J102-SUM(D102:H102)</f>
        <v>28363946983</v>
      </c>
      <c r="J102" s="29">
        <v>312019974502</v>
      </c>
      <c r="K102" s="29">
        <v>0</v>
      </c>
      <c r="L102" s="29">
        <f>14786933+68470634384+40025170388</f>
        <v>108510591705</v>
      </c>
      <c r="M102" s="29">
        <f>4999847455+3699994000+10000000000+4184613000</f>
        <v>22884454455</v>
      </c>
      <c r="N102" s="29">
        <f>18696765+643754430+10768793877</f>
        <v>11431245072</v>
      </c>
      <c r="O102" s="29">
        <f t="shared" ref="O102" si="45">P102-SUM(K102:N102)</f>
        <v>89743374778</v>
      </c>
      <c r="P102" s="29">
        <v>232569666010</v>
      </c>
      <c r="Q102" s="29">
        <v>15954663260</v>
      </c>
      <c r="R102" s="29">
        <v>0</v>
      </c>
      <c r="S102" s="29">
        <v>43583237505</v>
      </c>
      <c r="T102" s="29">
        <v>19912407727</v>
      </c>
      <c r="U102" s="29">
        <f t="shared" si="21"/>
        <v>0</v>
      </c>
      <c r="V102" s="29">
        <v>79450308492</v>
      </c>
    </row>
    <row r="103" spans="1:22">
      <c r="A103" s="13">
        <f>'法人一覧(25)'!A103</f>
        <v>100</v>
      </c>
      <c r="B103" s="2" t="str">
        <f>'法人一覧(25)'!B103</f>
        <v>原子力規制委員会</v>
      </c>
      <c r="C103" s="2" t="str">
        <f>'法人一覧(25)'!C103</f>
        <v>原子力安全基盤機構</v>
      </c>
      <c r="D103" s="29">
        <v>4312476040</v>
      </c>
      <c r="E103" s="29">
        <v>0</v>
      </c>
      <c r="F103" s="29">
        <v>0</v>
      </c>
      <c r="G103" s="29">
        <v>2940530286</v>
      </c>
      <c r="H103" s="29">
        <v>0</v>
      </c>
      <c r="I103" s="29">
        <f t="shared" ref="I103:I104" si="46">J103-SUM(D103:H103)</f>
        <v>3235752582</v>
      </c>
      <c r="J103" s="29">
        <v>10488758908</v>
      </c>
      <c r="K103" s="29">
        <v>0</v>
      </c>
      <c r="L103" s="29">
        <v>0</v>
      </c>
      <c r="M103" s="29">
        <v>0</v>
      </c>
      <c r="N103" s="29">
        <v>11417409</v>
      </c>
      <c r="O103" s="29">
        <f t="shared" ref="O103:O104" si="47">P103-SUM(K103:N103)</f>
        <v>8259178445</v>
      </c>
      <c r="P103" s="29">
        <v>8270595854</v>
      </c>
      <c r="Q103" s="29">
        <v>0</v>
      </c>
      <c r="R103" s="29">
        <v>0</v>
      </c>
      <c r="S103" s="29">
        <v>554949173</v>
      </c>
      <c r="T103" s="29">
        <v>1663213881</v>
      </c>
      <c r="U103" s="29">
        <f t="shared" ref="U103:U104" si="48">V103-SUM(Q103:T103)</f>
        <v>0</v>
      </c>
      <c r="V103" s="29">
        <v>2218163054</v>
      </c>
    </row>
    <row r="104" spans="1:22" ht="13.8" thickBot="1">
      <c r="A104" s="116">
        <f>'法人一覧(25)'!A104</f>
        <v>101</v>
      </c>
      <c r="B104" s="117" t="str">
        <f>'法人一覧(25)'!B104</f>
        <v>防衛省</v>
      </c>
      <c r="C104" s="117" t="str">
        <f>'法人一覧(25)'!C104</f>
        <v>駐留軍等労働者労務管理機構</v>
      </c>
      <c r="D104" s="118">
        <v>716739577</v>
      </c>
      <c r="E104" s="118">
        <v>0</v>
      </c>
      <c r="F104" s="118">
        <v>0</v>
      </c>
      <c r="G104" s="118">
        <v>977208911</v>
      </c>
      <c r="H104" s="118">
        <v>0</v>
      </c>
      <c r="I104" s="118">
        <f t="shared" si="46"/>
        <v>71600714</v>
      </c>
      <c r="J104" s="118">
        <v>1765549202</v>
      </c>
      <c r="K104" s="118">
        <v>31977967</v>
      </c>
      <c r="L104" s="118">
        <v>0</v>
      </c>
      <c r="M104" s="118">
        <v>0</v>
      </c>
      <c r="N104" s="118">
        <v>0</v>
      </c>
      <c r="O104" s="118">
        <f t="shared" si="47"/>
        <v>377509886</v>
      </c>
      <c r="P104" s="118">
        <v>409487853</v>
      </c>
      <c r="Q104" s="118">
        <v>848632502</v>
      </c>
      <c r="R104" s="118">
        <v>0</v>
      </c>
      <c r="S104" s="118">
        <v>-58167826</v>
      </c>
      <c r="T104" s="118">
        <v>565596673</v>
      </c>
      <c r="U104" s="118">
        <f t="shared" si="48"/>
        <v>0</v>
      </c>
      <c r="V104" s="118">
        <v>1356061349</v>
      </c>
    </row>
    <row r="105" spans="1:22" s="37" customFormat="1" ht="19.2" customHeight="1" thickTop="1">
      <c r="A105" s="167" t="s">
        <v>583</v>
      </c>
      <c r="B105" s="168"/>
      <c r="C105" s="169"/>
      <c r="D105" s="115">
        <f>SUM(D4:D104)</f>
        <v>29059787349903</v>
      </c>
      <c r="E105" s="115">
        <f t="shared" ref="E105:V105" si="49">SUM(E4:E104)</f>
        <v>146651554346839</v>
      </c>
      <c r="F105" s="115">
        <f t="shared" si="49"/>
        <v>55034187475069</v>
      </c>
      <c r="G105" s="115">
        <f t="shared" si="49"/>
        <v>69380701544593</v>
      </c>
      <c r="H105" s="115">
        <f t="shared" si="49"/>
        <v>18578593956</v>
      </c>
      <c r="I105" s="115">
        <f t="shared" si="49"/>
        <v>21638534503001</v>
      </c>
      <c r="J105" s="115">
        <f t="shared" si="49"/>
        <v>321783343813361</v>
      </c>
      <c r="K105" s="115">
        <f t="shared" si="49"/>
        <v>205452782677</v>
      </c>
      <c r="L105" s="115">
        <f t="shared" si="49"/>
        <v>1579085689608</v>
      </c>
      <c r="M105" s="115">
        <f t="shared" si="49"/>
        <v>102376531487356</v>
      </c>
      <c r="N105" s="115">
        <f t="shared" si="49"/>
        <v>17779821227140</v>
      </c>
      <c r="O105" s="115">
        <f t="shared" si="49"/>
        <v>145242972421876</v>
      </c>
      <c r="P105" s="115">
        <f t="shared" si="49"/>
        <v>267183863608657</v>
      </c>
      <c r="Q105" s="115">
        <f t="shared" si="49"/>
        <v>24108551383172</v>
      </c>
      <c r="R105" s="115">
        <f t="shared" si="49"/>
        <v>1604751815919</v>
      </c>
      <c r="S105" s="115">
        <f t="shared" si="49"/>
        <v>1244671671140</v>
      </c>
      <c r="T105" s="115">
        <f t="shared" si="49"/>
        <v>27870720483405</v>
      </c>
      <c r="U105" s="115">
        <f t="shared" si="49"/>
        <v>-229216148932</v>
      </c>
      <c r="V105" s="115">
        <f t="shared" si="49"/>
        <v>54599479204704</v>
      </c>
    </row>
    <row r="106" spans="1:22" s="37" customFormat="1">
      <c r="A106" s="40"/>
      <c r="B106" s="42"/>
      <c r="C106" s="42"/>
      <c r="D106" s="41"/>
      <c r="E106" s="41"/>
      <c r="F106" s="41"/>
      <c r="G106" s="41"/>
      <c r="H106" s="41"/>
      <c r="I106" s="41"/>
      <c r="J106" s="41"/>
      <c r="K106" s="41"/>
      <c r="L106" s="41"/>
      <c r="M106" s="41"/>
      <c r="N106" s="41"/>
      <c r="O106" s="41"/>
      <c r="P106" s="41"/>
      <c r="Q106" s="41"/>
      <c r="R106" s="41"/>
      <c r="S106" s="41"/>
      <c r="T106" s="41"/>
      <c r="U106" s="41"/>
      <c r="V106" s="41"/>
    </row>
    <row r="107" spans="1:22" ht="13.2" customHeight="1">
      <c r="B107" s="163" t="s">
        <v>660</v>
      </c>
      <c r="C107" s="163"/>
      <c r="D107" s="163"/>
      <c r="E107" s="163"/>
      <c r="F107" s="163"/>
      <c r="G107" s="163"/>
      <c r="H107" s="163"/>
      <c r="I107" s="163"/>
      <c r="J107" s="163"/>
      <c r="K107" s="163"/>
      <c r="L107" s="163"/>
      <c r="M107" s="163"/>
      <c r="N107" s="43"/>
    </row>
    <row r="108" spans="1:22">
      <c r="B108" s="163"/>
      <c r="C108" s="163"/>
      <c r="D108" s="163"/>
      <c r="E108" s="163"/>
      <c r="F108" s="163"/>
      <c r="G108" s="163"/>
      <c r="H108" s="163"/>
      <c r="I108" s="163"/>
      <c r="J108" s="163"/>
      <c r="K108" s="163"/>
      <c r="L108" s="163"/>
      <c r="M108" s="163"/>
      <c r="N108" s="43"/>
    </row>
    <row r="109" spans="1:22">
      <c r="B109" s="163"/>
      <c r="C109" s="163"/>
      <c r="D109" s="163"/>
      <c r="E109" s="163"/>
      <c r="F109" s="163"/>
      <c r="G109" s="163"/>
      <c r="H109" s="163"/>
      <c r="I109" s="163"/>
      <c r="J109" s="163"/>
      <c r="K109" s="163"/>
      <c r="L109" s="163"/>
      <c r="M109" s="163"/>
      <c r="N109" s="43"/>
    </row>
    <row r="110" spans="1:22">
      <c r="B110" s="163"/>
      <c r="C110" s="163"/>
      <c r="D110" s="163"/>
      <c r="E110" s="163"/>
      <c r="F110" s="163"/>
      <c r="G110" s="163"/>
      <c r="H110" s="163"/>
      <c r="I110" s="163"/>
      <c r="J110" s="163"/>
      <c r="K110" s="163"/>
      <c r="L110" s="163"/>
      <c r="M110" s="163"/>
      <c r="N110" s="43"/>
    </row>
    <row r="111" spans="1:22">
      <c r="B111" s="163"/>
      <c r="C111" s="163"/>
      <c r="D111" s="163"/>
      <c r="E111" s="163"/>
      <c r="F111" s="163"/>
      <c r="G111" s="163"/>
      <c r="H111" s="163"/>
      <c r="I111" s="163"/>
      <c r="J111" s="163"/>
      <c r="K111" s="163"/>
      <c r="L111" s="163"/>
      <c r="M111" s="163"/>
      <c r="N111" s="43"/>
    </row>
  </sheetData>
  <mergeCells count="8">
    <mergeCell ref="B107:M111"/>
    <mergeCell ref="A2:A3"/>
    <mergeCell ref="Q2:V2"/>
    <mergeCell ref="B2:B3"/>
    <mergeCell ref="C2:C3"/>
    <mergeCell ref="D2:J2"/>
    <mergeCell ref="K2:P2"/>
    <mergeCell ref="A105:C10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zoomScale="80" zoomScaleNormal="80" workbookViewId="0">
      <pane xSplit="3" ySplit="3" topLeftCell="D76" activePane="bottomRight" state="frozen"/>
      <selection activeCell="B2" sqref="B2:B3"/>
      <selection pane="topRight" activeCell="B2" sqref="B2:B3"/>
      <selection pane="bottomLeft" activeCell="B2" sqref="B2:B3"/>
      <selection pane="bottomRight"/>
    </sheetView>
  </sheetViews>
  <sheetFormatPr defaultColWidth="8.88671875" defaultRowHeight="13.2"/>
  <cols>
    <col min="1" max="1" width="5" style="1" customWidth="1"/>
    <col min="2" max="2" width="19" style="1" customWidth="1"/>
    <col min="3" max="3" width="40.21875" style="1" customWidth="1"/>
    <col min="4" max="4" width="15.44140625" style="1" bestFit="1" customWidth="1"/>
    <col min="5" max="5" width="16.6640625" style="1" bestFit="1" customWidth="1"/>
    <col min="6" max="7" width="15.44140625" style="1" bestFit="1" customWidth="1"/>
    <col min="8" max="8" width="11.6640625" style="1" customWidth="1"/>
    <col min="9" max="9" width="14.109375" style="1" bestFit="1" customWidth="1"/>
    <col min="10" max="10" width="16.6640625" style="1" bestFit="1" customWidth="1"/>
    <col min="11" max="11" width="11.6640625" style="1" customWidth="1"/>
    <col min="12" max="12" width="14.33203125" style="1" customWidth="1"/>
    <col min="13" max="13" width="15.44140625" style="1" bestFit="1" customWidth="1"/>
    <col min="14" max="14" width="17.88671875" style="1" bestFit="1" customWidth="1"/>
    <col min="15" max="15" width="15.44140625" style="1" bestFit="1" customWidth="1"/>
    <col min="16" max="16" width="16.6640625" style="1" bestFit="1" customWidth="1"/>
    <col min="17" max="17" width="14.109375" style="1" bestFit="1" customWidth="1"/>
    <col min="18" max="18" width="15.44140625" style="1" bestFit="1" customWidth="1"/>
    <col min="19" max="19" width="12.88671875" style="1" bestFit="1" customWidth="1"/>
    <col min="20" max="20" width="17.88671875" style="1" bestFit="1" customWidth="1"/>
    <col min="21" max="21" width="12.88671875" style="1" bestFit="1" customWidth="1"/>
    <col min="22" max="22" width="15.44140625" style="1" customWidth="1"/>
    <col min="23" max="16384" width="8.88671875" style="1"/>
  </cols>
  <sheetData>
    <row r="1" spans="1:22" ht="19.95" customHeight="1">
      <c r="B1" s="144" t="s">
        <v>223</v>
      </c>
      <c r="V1" s="30" t="s">
        <v>204</v>
      </c>
    </row>
    <row r="2" spans="1:22">
      <c r="A2" s="161" t="s">
        <v>195</v>
      </c>
      <c r="B2" s="161" t="s">
        <v>0</v>
      </c>
      <c r="C2" s="161" t="s">
        <v>1</v>
      </c>
      <c r="D2" s="164" t="s">
        <v>19</v>
      </c>
      <c r="E2" s="165"/>
      <c r="F2" s="165"/>
      <c r="G2" s="165"/>
      <c r="H2" s="165"/>
      <c r="I2" s="165"/>
      <c r="J2" s="166"/>
      <c r="K2" s="164" t="s">
        <v>23</v>
      </c>
      <c r="L2" s="165"/>
      <c r="M2" s="165"/>
      <c r="N2" s="165"/>
      <c r="O2" s="165"/>
      <c r="P2" s="166"/>
      <c r="Q2" s="164" t="s">
        <v>26</v>
      </c>
      <c r="R2" s="165"/>
      <c r="S2" s="165"/>
      <c r="T2" s="165"/>
      <c r="U2" s="165"/>
      <c r="V2" s="166"/>
    </row>
    <row r="3" spans="1:22" ht="31.8" customHeight="1">
      <c r="A3" s="162"/>
      <c r="B3" s="162"/>
      <c r="C3" s="162"/>
      <c r="D3" s="5" t="s">
        <v>21</v>
      </c>
      <c r="E3" s="5" t="s">
        <v>205</v>
      </c>
      <c r="F3" s="5" t="s">
        <v>22</v>
      </c>
      <c r="G3" s="5" t="s">
        <v>20</v>
      </c>
      <c r="H3" s="5" t="s">
        <v>82</v>
      </c>
      <c r="I3" s="5" t="s">
        <v>31</v>
      </c>
      <c r="J3" s="5" t="s">
        <v>203</v>
      </c>
      <c r="K3" s="5" t="s">
        <v>24</v>
      </c>
      <c r="L3" s="5" t="s">
        <v>208</v>
      </c>
      <c r="M3" s="5" t="s">
        <v>206</v>
      </c>
      <c r="N3" s="5" t="s">
        <v>25</v>
      </c>
      <c r="O3" s="5" t="s">
        <v>32</v>
      </c>
      <c r="P3" s="5" t="s">
        <v>207</v>
      </c>
      <c r="Q3" s="5" t="s">
        <v>27</v>
      </c>
      <c r="R3" s="5" t="s">
        <v>28</v>
      </c>
      <c r="S3" s="5" t="s">
        <v>29</v>
      </c>
      <c r="T3" s="12" t="s">
        <v>414</v>
      </c>
      <c r="U3" s="5" t="s">
        <v>6</v>
      </c>
      <c r="V3" s="5" t="s">
        <v>209</v>
      </c>
    </row>
    <row r="4" spans="1:22">
      <c r="A4" s="13">
        <f>'法人一覧(26)'!A4</f>
        <v>1</v>
      </c>
      <c r="B4" s="2" t="str">
        <f>'法人一覧(26)'!B4</f>
        <v>内閣府</v>
      </c>
      <c r="C4" s="2" t="str">
        <f>'法人一覧(26)'!C4</f>
        <v>国立公文書館</v>
      </c>
      <c r="D4" s="29">
        <v>386989835</v>
      </c>
      <c r="E4" s="29">
        <v>0</v>
      </c>
      <c r="F4" s="29">
        <v>0</v>
      </c>
      <c r="G4" s="29">
        <v>5036850027</v>
      </c>
      <c r="H4" s="29">
        <v>0</v>
      </c>
      <c r="I4" s="29">
        <f>J4-SUM(D4:H4)</f>
        <v>19671880</v>
      </c>
      <c r="J4" s="29">
        <v>5443511742</v>
      </c>
      <c r="K4" s="29">
        <v>0</v>
      </c>
      <c r="L4" s="29">
        <v>0</v>
      </c>
      <c r="M4" s="29">
        <v>0</v>
      </c>
      <c r="N4" s="29">
        <v>0</v>
      </c>
      <c r="O4" s="29">
        <f>P4-SUM(K4:N4)</f>
        <v>808184725</v>
      </c>
      <c r="P4" s="29">
        <v>808184725</v>
      </c>
      <c r="Q4" s="29">
        <v>7179918000</v>
      </c>
      <c r="R4" s="29">
        <v>0</v>
      </c>
      <c r="S4" s="29">
        <v>-2544590983</v>
      </c>
      <c r="T4" s="29">
        <v>0</v>
      </c>
      <c r="U4" s="29">
        <f>V4-SUM(Q4:T4)</f>
        <v>0</v>
      </c>
      <c r="V4" s="29">
        <v>4635327017</v>
      </c>
    </row>
    <row r="5" spans="1:22">
      <c r="A5" s="13">
        <f>'法人一覧(26)'!A5</f>
        <v>2</v>
      </c>
      <c r="B5" s="2" t="str">
        <f>'法人一覧(26)'!B5</f>
        <v>内閣府</v>
      </c>
      <c r="C5" s="2" t="str">
        <f>'法人一覧(26)'!C5</f>
        <v>北方領土問題対策協会</v>
      </c>
      <c r="D5" s="29">
        <v>1443109386</v>
      </c>
      <c r="E5" s="29">
        <v>0</v>
      </c>
      <c r="F5" s="29">
        <v>4655846028</v>
      </c>
      <c r="G5" s="29">
        <v>380253173</v>
      </c>
      <c r="H5" s="29">
        <v>0</v>
      </c>
      <c r="I5" s="29">
        <f t="shared" ref="I5" si="0">J5-SUM(D5:H5)</f>
        <v>64919448</v>
      </c>
      <c r="J5" s="29">
        <v>6544128035</v>
      </c>
      <c r="K5" s="29">
        <v>83964119</v>
      </c>
      <c r="L5" s="29">
        <v>46249644</v>
      </c>
      <c r="M5" s="29">
        <f>1035200000+3132500000</f>
        <v>4167700000</v>
      </c>
      <c r="N5" s="29">
        <v>0</v>
      </c>
      <c r="O5" s="29">
        <f t="shared" ref="O5" si="1">P5-SUM(K5:N5)</f>
        <v>235648449</v>
      </c>
      <c r="P5" s="29">
        <v>4533562212</v>
      </c>
      <c r="Q5" s="29">
        <v>256069521</v>
      </c>
      <c r="R5" s="29">
        <v>0</v>
      </c>
      <c r="S5" s="29">
        <v>1047712396</v>
      </c>
      <c r="T5" s="29">
        <v>706783906</v>
      </c>
      <c r="U5" s="29">
        <f t="shared" ref="U5" si="2">V5-SUM(Q5:T5)</f>
        <v>0</v>
      </c>
      <c r="V5" s="29">
        <v>2010565823</v>
      </c>
    </row>
    <row r="6" spans="1:22">
      <c r="A6" s="13">
        <f>'法人一覧(26)'!A6</f>
        <v>3</v>
      </c>
      <c r="B6" s="2" t="str">
        <f>'法人一覧(26)'!B6</f>
        <v>消費者庁</v>
      </c>
      <c r="C6" s="2" t="str">
        <f>'法人一覧(26)'!C6</f>
        <v>国民生活センター</v>
      </c>
      <c r="D6" s="29">
        <v>1836867028</v>
      </c>
      <c r="E6" s="29">
        <v>0</v>
      </c>
      <c r="F6" s="29">
        <v>0</v>
      </c>
      <c r="G6" s="29">
        <v>8304405190</v>
      </c>
      <c r="H6" s="29">
        <v>0</v>
      </c>
      <c r="I6" s="29">
        <f>J6-SUM(D6:H6)</f>
        <v>32036241</v>
      </c>
      <c r="J6" s="29">
        <v>10173308459</v>
      </c>
      <c r="K6" s="29">
        <v>1574680508</v>
      </c>
      <c r="L6" s="29">
        <v>0</v>
      </c>
      <c r="M6" s="29">
        <v>0</v>
      </c>
      <c r="N6" s="29">
        <v>0</v>
      </c>
      <c r="O6" s="29">
        <f t="shared" ref="O6:O68" si="3">P6-SUM(K6:N6)</f>
        <v>753568189</v>
      </c>
      <c r="P6" s="29">
        <v>2328248697</v>
      </c>
      <c r="Q6" s="29">
        <v>8901601997</v>
      </c>
      <c r="R6" s="29">
        <v>0</v>
      </c>
      <c r="S6" s="29">
        <v>-1064466977</v>
      </c>
      <c r="T6" s="29">
        <v>7924742</v>
      </c>
      <c r="U6" s="29">
        <f t="shared" ref="U6:U68" si="4">V6-SUM(Q6:T6)</f>
        <v>0</v>
      </c>
      <c r="V6" s="29">
        <v>7845059762</v>
      </c>
    </row>
    <row r="7" spans="1:22">
      <c r="A7" s="13">
        <f>'法人一覧(26)'!A7</f>
        <v>4</v>
      </c>
      <c r="B7" s="2" t="str">
        <f>'法人一覧(26)'!B7</f>
        <v>総務省</v>
      </c>
      <c r="C7" s="2" t="str">
        <f>'法人一覧(26)'!C7</f>
        <v>情報通信研究機構</v>
      </c>
      <c r="D7" s="52">
        <v>17640960372</v>
      </c>
      <c r="E7" s="52">
        <f>2344687116+4273709067</f>
        <v>6618396183</v>
      </c>
      <c r="F7" s="52">
        <v>0</v>
      </c>
      <c r="G7" s="52">
        <v>111349125746</v>
      </c>
      <c r="H7" s="52">
        <f>577070731+431039+353161172+12600000</f>
        <v>943262942</v>
      </c>
      <c r="I7" s="52">
        <f t="shared" ref="I7:I9" si="5">J7-SUM(D7:H7)</f>
        <v>16597834427</v>
      </c>
      <c r="J7" s="52">
        <v>153149579670</v>
      </c>
      <c r="K7" s="52">
        <v>6412171302</v>
      </c>
      <c r="L7" s="52">
        <v>462724</v>
      </c>
      <c r="M7" s="52">
        <v>0</v>
      </c>
      <c r="N7" s="52">
        <f>3750360+32668</f>
        <v>3783028</v>
      </c>
      <c r="O7" s="52">
        <f t="shared" si="3"/>
        <v>31796768840</v>
      </c>
      <c r="P7" s="52">
        <v>38213185894</v>
      </c>
      <c r="Q7" s="52">
        <v>144572986525</v>
      </c>
      <c r="R7" s="52">
        <f>2800000000+433500000</f>
        <v>3233500000</v>
      </c>
      <c r="S7" s="52">
        <v>24831924388</v>
      </c>
      <c r="T7" s="52">
        <v>-57702017137</v>
      </c>
      <c r="U7" s="52">
        <f t="shared" si="4"/>
        <v>0</v>
      </c>
      <c r="V7" s="52">
        <v>114936393776</v>
      </c>
    </row>
    <row r="8" spans="1:22">
      <c r="A8" s="13">
        <f>'法人一覧(26)'!A8</f>
        <v>5</v>
      </c>
      <c r="B8" s="2" t="str">
        <f>'法人一覧(26)'!B8</f>
        <v>総務省</v>
      </c>
      <c r="C8" s="2" t="str">
        <f>'法人一覧(26)'!C8</f>
        <v>統計センター</v>
      </c>
      <c r="D8" s="52">
        <v>2496064611</v>
      </c>
      <c r="E8" s="52">
        <v>0</v>
      </c>
      <c r="F8" s="52">
        <v>0</v>
      </c>
      <c r="G8" s="52">
        <v>2487875092</v>
      </c>
      <c r="H8" s="52">
        <v>0</v>
      </c>
      <c r="I8" s="52">
        <f t="shared" si="5"/>
        <v>595415183</v>
      </c>
      <c r="J8" s="52">
        <v>5579354886</v>
      </c>
      <c r="K8" s="52">
        <v>0</v>
      </c>
      <c r="L8" s="52">
        <v>0</v>
      </c>
      <c r="M8" s="52">
        <v>0</v>
      </c>
      <c r="N8" s="52">
        <v>0</v>
      </c>
      <c r="O8" s="52">
        <f t="shared" si="3"/>
        <v>3704155586</v>
      </c>
      <c r="P8" s="52">
        <v>3704155586</v>
      </c>
      <c r="Q8" s="52">
        <v>0</v>
      </c>
      <c r="R8" s="52">
        <v>0</v>
      </c>
      <c r="S8" s="52">
        <v>0</v>
      </c>
      <c r="T8" s="52">
        <v>1875199300</v>
      </c>
      <c r="U8" s="52">
        <f t="shared" si="4"/>
        <v>0</v>
      </c>
      <c r="V8" s="52">
        <v>1875199300</v>
      </c>
    </row>
    <row r="9" spans="1:22">
      <c r="A9" s="13">
        <f>'法人一覧(26)'!A9</f>
        <v>6</v>
      </c>
      <c r="B9" s="2" t="str">
        <f>'法人一覧(26)'!B9</f>
        <v>総務省</v>
      </c>
      <c r="C9" s="2" t="str">
        <f>'法人一覧(26)'!C9</f>
        <v>郵便貯金・簡易生命保険管理機構</v>
      </c>
      <c r="D9" s="52">
        <v>22074237263700</v>
      </c>
      <c r="E9" s="52">
        <v>33996517760</v>
      </c>
      <c r="F9" s="52">
        <v>10583297107104</v>
      </c>
      <c r="G9" s="52">
        <v>21431350</v>
      </c>
      <c r="H9" s="52">
        <v>0</v>
      </c>
      <c r="I9" s="52">
        <f t="shared" si="5"/>
        <v>587409887718</v>
      </c>
      <c r="J9" s="52">
        <v>33278962207632</v>
      </c>
      <c r="K9" s="52">
        <v>0</v>
      </c>
      <c r="L9" s="52">
        <v>0</v>
      </c>
      <c r="M9" s="52">
        <v>10583297107104</v>
      </c>
      <c r="N9" s="52">
        <f>4327403617+25488340+4202288+19007211120</f>
        <v>23364305365</v>
      </c>
      <c r="O9" s="52">
        <f t="shared" si="3"/>
        <v>22598544290946</v>
      </c>
      <c r="P9" s="52">
        <v>33205205703415</v>
      </c>
      <c r="Q9" s="52">
        <v>0</v>
      </c>
      <c r="R9" s="52">
        <v>0</v>
      </c>
      <c r="S9" s="52">
        <v>0</v>
      </c>
      <c r="T9" s="52">
        <v>66756504217</v>
      </c>
      <c r="U9" s="52">
        <f t="shared" si="4"/>
        <v>7000000000</v>
      </c>
      <c r="V9" s="52">
        <v>73756504217</v>
      </c>
    </row>
    <row r="10" spans="1:22">
      <c r="A10" s="13">
        <f>'法人一覧(26)'!A10</f>
        <v>7</v>
      </c>
      <c r="B10" s="2" t="str">
        <f>'法人一覧(26)'!B10</f>
        <v>外務省</v>
      </c>
      <c r="C10" s="2" t="str">
        <f>'法人一覧(26)'!C10</f>
        <v>国際協力機構</v>
      </c>
      <c r="D10" s="29">
        <v>201603870858</v>
      </c>
      <c r="E10" s="29">
        <f>99000000000+300000000+139850556</f>
        <v>99439850556</v>
      </c>
      <c r="F10" s="29">
        <f>11078213734846+411704676+9466962+386989998+48143360</f>
        <v>11079070039842</v>
      </c>
      <c r="G10" s="29">
        <v>51168090562</v>
      </c>
      <c r="H10" s="29">
        <v>3036293</v>
      </c>
      <c r="I10" s="29">
        <f t="shared" ref="I10:I68" si="6">J10-SUM(D10:H10)</f>
        <v>143934051742</v>
      </c>
      <c r="J10" s="29">
        <v>11575218939853</v>
      </c>
      <c r="K10" s="29">
        <v>46240982302</v>
      </c>
      <c r="L10" s="29">
        <v>0</v>
      </c>
      <c r="M10" s="29">
        <f>10000000000+244354953000+417305000000-216421883+1459230577000</f>
        <v>2130674108117</v>
      </c>
      <c r="N10" s="29">
        <f>11931838428+7330891418</f>
        <v>19262729846</v>
      </c>
      <c r="O10" s="29">
        <f t="shared" si="3"/>
        <v>191263866172</v>
      </c>
      <c r="P10" s="29">
        <v>2387441686437</v>
      </c>
      <c r="Q10" s="29">
        <v>7877115052373</v>
      </c>
      <c r="R10" s="29">
        <v>0</v>
      </c>
      <c r="S10" s="29">
        <v>-16742970585</v>
      </c>
      <c r="T10" s="29">
        <v>1374946699486</v>
      </c>
      <c r="U10" s="29">
        <f t="shared" si="4"/>
        <v>-47541527858</v>
      </c>
      <c r="V10" s="29">
        <v>9187777253416</v>
      </c>
    </row>
    <row r="11" spans="1:22">
      <c r="A11" s="13">
        <f>'法人一覧(26)'!A11</f>
        <v>8</v>
      </c>
      <c r="B11" s="2" t="str">
        <f>'法人一覧(26)'!B11</f>
        <v>外務省</v>
      </c>
      <c r="C11" s="2" t="str">
        <f>'法人一覧(26)'!C11</f>
        <v>国際交流基金</v>
      </c>
      <c r="D11" s="29">
        <v>10988580787</v>
      </c>
      <c r="E11" s="29">
        <f>8341547689+54054816604+14700000000</f>
        <v>77096364293</v>
      </c>
      <c r="F11" s="29">
        <v>0</v>
      </c>
      <c r="G11" s="29">
        <v>9139052009</v>
      </c>
      <c r="H11" s="29">
        <v>0</v>
      </c>
      <c r="I11" s="29">
        <f t="shared" si="6"/>
        <v>1844663080</v>
      </c>
      <c r="J11" s="29">
        <v>99068660169</v>
      </c>
      <c r="K11" s="29">
        <v>3324375204</v>
      </c>
      <c r="L11" s="29">
        <f>3580045000+15248237311</f>
        <v>18828282311</v>
      </c>
      <c r="M11" s="29">
        <v>0</v>
      </c>
      <c r="N11" s="29">
        <v>14751623</v>
      </c>
      <c r="O11" s="29">
        <f>P11-SUM(K11:N11)</f>
        <v>2423633576</v>
      </c>
      <c r="P11" s="29">
        <v>24591042714</v>
      </c>
      <c r="Q11" s="29">
        <v>77803505177</v>
      </c>
      <c r="R11" s="29">
        <v>0</v>
      </c>
      <c r="S11" s="29">
        <v>-4271735174</v>
      </c>
      <c r="T11" s="29">
        <v>961668012</v>
      </c>
      <c r="U11" s="29">
        <f t="shared" si="4"/>
        <v>-15820560</v>
      </c>
      <c r="V11" s="29">
        <v>74477617455</v>
      </c>
    </row>
    <row r="12" spans="1:22">
      <c r="A12" s="13">
        <f>'法人一覧(26)'!A12</f>
        <v>9</v>
      </c>
      <c r="B12" s="2" t="str">
        <f>'法人一覧(26)'!B12</f>
        <v>財務省</v>
      </c>
      <c r="C12" s="2" t="str">
        <f>'法人一覧(26)'!C12</f>
        <v>酒類総合研究所</v>
      </c>
      <c r="D12" s="29">
        <v>375503851</v>
      </c>
      <c r="E12" s="29">
        <v>0</v>
      </c>
      <c r="F12" s="29">
        <v>0</v>
      </c>
      <c r="G12" s="29">
        <v>6253430638</v>
      </c>
      <c r="H12" s="29">
        <v>0</v>
      </c>
      <c r="I12" s="29">
        <f t="shared" si="6"/>
        <v>23976124</v>
      </c>
      <c r="J12" s="29">
        <v>6652910613</v>
      </c>
      <c r="K12" s="29">
        <v>259154561</v>
      </c>
      <c r="L12" s="29">
        <v>0</v>
      </c>
      <c r="M12" s="29">
        <v>0</v>
      </c>
      <c r="N12" s="29">
        <v>0</v>
      </c>
      <c r="O12" s="29">
        <f t="shared" ref="O12:O14" si="7">P12-SUM(K12:N12)</f>
        <v>484500800</v>
      </c>
      <c r="P12" s="29">
        <v>743655361</v>
      </c>
      <c r="Q12" s="29">
        <v>9833084980</v>
      </c>
      <c r="R12" s="29">
        <v>0</v>
      </c>
      <c r="S12" s="29">
        <v>-3926363713</v>
      </c>
      <c r="T12" s="29">
        <v>2533985</v>
      </c>
      <c r="U12" s="29">
        <f t="shared" si="4"/>
        <v>0</v>
      </c>
      <c r="V12" s="29">
        <v>5909255252</v>
      </c>
    </row>
    <row r="13" spans="1:22">
      <c r="A13" s="13">
        <f>'法人一覧(26)'!A13</f>
        <v>10</v>
      </c>
      <c r="B13" s="2" t="str">
        <f>'法人一覧(26)'!B13</f>
        <v>財務省</v>
      </c>
      <c r="C13" s="2" t="str">
        <f>'法人一覧(26)'!C13</f>
        <v>造幣局</v>
      </c>
      <c r="D13" s="29">
        <v>1558749539</v>
      </c>
      <c r="E13" s="29">
        <f>10408823177+5103591974</f>
        <v>15512415151</v>
      </c>
      <c r="F13" s="29">
        <v>0</v>
      </c>
      <c r="G13" s="29">
        <v>71267744762</v>
      </c>
      <c r="H13" s="29">
        <v>0</v>
      </c>
      <c r="I13" s="29">
        <f t="shared" si="6"/>
        <v>13143636708</v>
      </c>
      <c r="J13" s="29">
        <v>101482546160</v>
      </c>
      <c r="K13" s="29">
        <v>0</v>
      </c>
      <c r="L13" s="29">
        <v>0</v>
      </c>
      <c r="M13" s="29">
        <v>0</v>
      </c>
      <c r="N13" s="29">
        <f>494645825+16194221623</f>
        <v>16688867448</v>
      </c>
      <c r="O13" s="29">
        <f t="shared" si="7"/>
        <v>6516982654</v>
      </c>
      <c r="P13" s="29">
        <v>23205850102</v>
      </c>
      <c r="Q13" s="29">
        <v>61255784676</v>
      </c>
      <c r="R13" s="29">
        <v>0</v>
      </c>
      <c r="S13" s="29">
        <v>1034285382</v>
      </c>
      <c r="T13" s="29">
        <v>15986626000</v>
      </c>
      <c r="U13" s="29">
        <f t="shared" si="4"/>
        <v>0</v>
      </c>
      <c r="V13" s="29">
        <v>78276696058</v>
      </c>
    </row>
    <row r="14" spans="1:22">
      <c r="A14" s="13">
        <f>'法人一覧(26)'!A14</f>
        <v>11</v>
      </c>
      <c r="B14" s="2" t="str">
        <f>'法人一覧(26)'!B14</f>
        <v>財務省</v>
      </c>
      <c r="C14" s="2" t="str">
        <f>'法人一覧(26)'!C14</f>
        <v>国立印刷局</v>
      </c>
      <c r="D14" s="29">
        <v>26087293680</v>
      </c>
      <c r="E14" s="29">
        <f>9900000000+6564222015+11600000000</f>
        <v>28064222015</v>
      </c>
      <c r="F14" s="29">
        <v>0</v>
      </c>
      <c r="G14" s="29">
        <v>218769882673</v>
      </c>
      <c r="H14" s="29">
        <f>94922493+40050069</f>
        <v>134972562</v>
      </c>
      <c r="I14" s="29">
        <f t="shared" si="6"/>
        <v>23721220602</v>
      </c>
      <c r="J14" s="29">
        <v>296777591532</v>
      </c>
      <c r="K14" s="29">
        <v>0</v>
      </c>
      <c r="L14" s="29">
        <v>0</v>
      </c>
      <c r="M14" s="29">
        <v>0</v>
      </c>
      <c r="N14" s="29">
        <f>2445341294+70832539634</f>
        <v>73277880928</v>
      </c>
      <c r="O14" s="29">
        <f t="shared" si="7"/>
        <v>8751019646</v>
      </c>
      <c r="P14" s="29">
        <v>82028900574</v>
      </c>
      <c r="Q14" s="29">
        <v>147509664183</v>
      </c>
      <c r="R14" s="29">
        <v>0</v>
      </c>
      <c r="S14" s="29">
        <v>5769854638</v>
      </c>
      <c r="T14" s="29">
        <v>61469172137</v>
      </c>
      <c r="U14" s="29">
        <f t="shared" si="4"/>
        <v>0</v>
      </c>
      <c r="V14" s="29">
        <v>214748690958</v>
      </c>
    </row>
    <row r="15" spans="1:22">
      <c r="A15" s="13">
        <f>'法人一覧(26)'!A15</f>
        <v>12</v>
      </c>
      <c r="B15" s="2" t="str">
        <f>'法人一覧(26)'!B15</f>
        <v>文部科学省</v>
      </c>
      <c r="C15" s="2" t="str">
        <f>'法人一覧(26)'!C15</f>
        <v>国立特別支援教育総合研究所</v>
      </c>
      <c r="D15" s="52">
        <v>156871373</v>
      </c>
      <c r="E15" s="52">
        <v>0</v>
      </c>
      <c r="F15" s="52">
        <v>0</v>
      </c>
      <c r="G15" s="52">
        <v>5930924294</v>
      </c>
      <c r="H15" s="52">
        <v>0</v>
      </c>
      <c r="I15" s="52">
        <f t="shared" ref="I15:I56" si="8">J15-SUM(D15:H15)</f>
        <v>17377903</v>
      </c>
      <c r="J15" s="52">
        <v>6105173570</v>
      </c>
      <c r="K15" s="52">
        <v>14186344</v>
      </c>
      <c r="L15" s="52">
        <v>0</v>
      </c>
      <c r="M15" s="52">
        <v>0</v>
      </c>
      <c r="N15" s="52">
        <v>0</v>
      </c>
      <c r="O15" s="52">
        <f t="shared" ref="O15:O56" si="9">P15-SUM(K15:N15)</f>
        <v>236236709</v>
      </c>
      <c r="P15" s="52">
        <v>250423053</v>
      </c>
      <c r="Q15" s="52">
        <v>6048582321</v>
      </c>
      <c r="R15" s="52">
        <v>0</v>
      </c>
      <c r="S15" s="52">
        <v>-200887625</v>
      </c>
      <c r="T15" s="52">
        <v>7055821</v>
      </c>
      <c r="U15" s="52">
        <f t="shared" si="4"/>
        <v>0</v>
      </c>
      <c r="V15" s="52">
        <v>5854750517</v>
      </c>
    </row>
    <row r="16" spans="1:22">
      <c r="A16" s="13">
        <f>'法人一覧(26)'!A16</f>
        <v>13</v>
      </c>
      <c r="B16" s="2" t="str">
        <f>'法人一覧(26)'!B16</f>
        <v>文部科学省</v>
      </c>
      <c r="C16" s="2" t="str">
        <f>'法人一覧(26)'!C16</f>
        <v>大学入試センター</v>
      </c>
      <c r="D16" s="52">
        <v>3294902726</v>
      </c>
      <c r="E16" s="52">
        <v>0</v>
      </c>
      <c r="F16" s="52">
        <v>0</v>
      </c>
      <c r="G16" s="52">
        <v>11498395633</v>
      </c>
      <c r="H16" s="52">
        <v>0</v>
      </c>
      <c r="I16" s="52">
        <f t="shared" si="8"/>
        <v>8520190</v>
      </c>
      <c r="J16" s="52">
        <v>14801818549</v>
      </c>
      <c r="K16" s="52">
        <v>0</v>
      </c>
      <c r="L16" s="52">
        <v>0</v>
      </c>
      <c r="M16" s="52">
        <v>0</v>
      </c>
      <c r="N16" s="52">
        <f>54387934+535980444</f>
        <v>590368378</v>
      </c>
      <c r="O16" s="52">
        <f t="shared" si="9"/>
        <v>1310793587</v>
      </c>
      <c r="P16" s="52">
        <v>1901161965</v>
      </c>
      <c r="Q16" s="52">
        <v>11591504000</v>
      </c>
      <c r="R16" s="52">
        <v>0</v>
      </c>
      <c r="S16" s="52">
        <v>-778971824</v>
      </c>
      <c r="T16" s="52">
        <v>2088124408</v>
      </c>
      <c r="U16" s="52">
        <f>V16-SUM(Q16:T16)</f>
        <v>0</v>
      </c>
      <c r="V16" s="52">
        <v>12900656584</v>
      </c>
    </row>
    <row r="17" spans="1:22">
      <c r="A17" s="13">
        <f>'法人一覧(26)'!A17</f>
        <v>14</v>
      </c>
      <c r="B17" s="2" t="str">
        <f>'法人一覧(26)'!B17</f>
        <v>文部科学省</v>
      </c>
      <c r="C17" s="2" t="str">
        <f>'法人一覧(26)'!C17</f>
        <v>国立青少年教育振興機構</v>
      </c>
      <c r="D17" s="52">
        <v>3675754175</v>
      </c>
      <c r="E17" s="52">
        <v>98269771</v>
      </c>
      <c r="F17" s="52">
        <v>0</v>
      </c>
      <c r="G17" s="52">
        <v>88437366782</v>
      </c>
      <c r="H17" s="52">
        <v>0</v>
      </c>
      <c r="I17" s="52">
        <f t="shared" si="8"/>
        <v>303347372</v>
      </c>
      <c r="J17" s="52">
        <v>92514738100</v>
      </c>
      <c r="K17" s="52">
        <v>800347121</v>
      </c>
      <c r="L17" s="52">
        <v>0</v>
      </c>
      <c r="M17" s="52">
        <v>0</v>
      </c>
      <c r="N17" s="52">
        <v>0</v>
      </c>
      <c r="O17" s="52">
        <f t="shared" si="9"/>
        <v>3358122630</v>
      </c>
      <c r="P17" s="52">
        <v>4158469751</v>
      </c>
      <c r="Q17" s="52">
        <v>113514962061</v>
      </c>
      <c r="R17" s="52">
        <v>0</v>
      </c>
      <c r="S17" s="52">
        <v>-25160368385</v>
      </c>
      <c r="T17" s="52">
        <v>1674673</v>
      </c>
      <c r="U17" s="52">
        <f t="shared" si="4"/>
        <v>0</v>
      </c>
      <c r="V17" s="52">
        <v>88356268349</v>
      </c>
    </row>
    <row r="18" spans="1:22">
      <c r="A18" s="13">
        <f>'法人一覧(26)'!A18</f>
        <v>15</v>
      </c>
      <c r="B18" s="2" t="str">
        <f>'法人一覧(26)'!B18</f>
        <v>文部科学省</v>
      </c>
      <c r="C18" s="2" t="str">
        <f>'法人一覧(26)'!C18</f>
        <v>国立女性教育会館</v>
      </c>
      <c r="D18" s="52">
        <v>189472617</v>
      </c>
      <c r="E18" s="52">
        <v>0</v>
      </c>
      <c r="F18" s="52">
        <v>0</v>
      </c>
      <c r="G18" s="52">
        <v>2258106839</v>
      </c>
      <c r="H18" s="52">
        <v>0</v>
      </c>
      <c r="I18" s="52">
        <f t="shared" si="8"/>
        <v>10758934</v>
      </c>
      <c r="J18" s="52">
        <v>2458338390</v>
      </c>
      <c r="K18" s="52">
        <v>22165017</v>
      </c>
      <c r="L18" s="52">
        <v>1346737</v>
      </c>
      <c r="M18" s="52">
        <v>0</v>
      </c>
      <c r="N18" s="52">
        <v>0</v>
      </c>
      <c r="O18" s="52">
        <f t="shared" si="9"/>
        <v>194220346</v>
      </c>
      <c r="P18" s="52">
        <v>217732100</v>
      </c>
      <c r="Q18" s="52">
        <v>3615041440</v>
      </c>
      <c r="R18" s="52">
        <v>0</v>
      </c>
      <c r="S18" s="52">
        <v>-1457928527</v>
      </c>
      <c r="T18" s="52">
        <v>83493377</v>
      </c>
      <c r="U18" s="52">
        <f t="shared" si="4"/>
        <v>0</v>
      </c>
      <c r="V18" s="52">
        <v>2240606290</v>
      </c>
    </row>
    <row r="19" spans="1:22">
      <c r="A19" s="13">
        <f>'法人一覧(26)'!A19</f>
        <v>16</v>
      </c>
      <c r="B19" s="2" t="str">
        <f>'法人一覧(26)'!B19</f>
        <v>文部科学省</v>
      </c>
      <c r="C19" s="2" t="str">
        <f>'法人一覧(26)'!C19</f>
        <v>国立科学博物館</v>
      </c>
      <c r="D19" s="52">
        <v>1849179996</v>
      </c>
      <c r="E19" s="52">
        <v>0</v>
      </c>
      <c r="F19" s="52">
        <v>0</v>
      </c>
      <c r="G19" s="52">
        <v>73582085038</v>
      </c>
      <c r="H19" s="52">
        <v>0</v>
      </c>
      <c r="I19" s="52">
        <f t="shared" si="8"/>
        <v>385416642</v>
      </c>
      <c r="J19" s="52">
        <v>75816681676</v>
      </c>
      <c r="K19" s="52">
        <v>385814000</v>
      </c>
      <c r="L19" s="52">
        <v>0</v>
      </c>
      <c r="M19" s="52">
        <v>0</v>
      </c>
      <c r="N19" s="52">
        <v>37981440</v>
      </c>
      <c r="O19" s="52">
        <f t="shared" si="9"/>
        <v>3086942890</v>
      </c>
      <c r="P19" s="52">
        <v>3510738330</v>
      </c>
      <c r="Q19" s="52">
        <v>68043723925</v>
      </c>
      <c r="R19" s="52">
        <v>0</v>
      </c>
      <c r="S19" s="52">
        <v>4176998408</v>
      </c>
      <c r="T19" s="52">
        <v>85221013</v>
      </c>
      <c r="U19" s="52">
        <f t="shared" si="4"/>
        <v>0</v>
      </c>
      <c r="V19" s="52">
        <v>72305943346</v>
      </c>
    </row>
    <row r="20" spans="1:22">
      <c r="A20" s="13">
        <f>'法人一覧(26)'!A20</f>
        <v>17</v>
      </c>
      <c r="B20" s="2" t="str">
        <f>'法人一覧(26)'!B20</f>
        <v>文部科学省</v>
      </c>
      <c r="C20" s="2" t="str">
        <f>'法人一覧(26)'!C20</f>
        <v>物質・材料研究機構</v>
      </c>
      <c r="D20" s="52">
        <v>7337792194</v>
      </c>
      <c r="E20" s="52">
        <v>0</v>
      </c>
      <c r="F20" s="52">
        <v>0</v>
      </c>
      <c r="G20" s="52">
        <v>81238706949</v>
      </c>
      <c r="H20" s="52">
        <f>346471591+505248939</f>
        <v>851720530</v>
      </c>
      <c r="I20" s="52">
        <f t="shared" si="8"/>
        <v>1005475423</v>
      </c>
      <c r="J20" s="52">
        <v>90433695096</v>
      </c>
      <c r="K20" s="52">
        <v>1082460695</v>
      </c>
      <c r="L20" s="52">
        <v>0</v>
      </c>
      <c r="M20" s="52">
        <v>0</v>
      </c>
      <c r="N20" s="52">
        <v>0</v>
      </c>
      <c r="O20" s="52">
        <f t="shared" si="9"/>
        <v>18913590325</v>
      </c>
      <c r="P20" s="52">
        <v>19996051020</v>
      </c>
      <c r="Q20" s="52">
        <v>76459219970</v>
      </c>
      <c r="R20" s="52">
        <v>0</v>
      </c>
      <c r="S20" s="52">
        <v>-8410753312</v>
      </c>
      <c r="T20" s="52">
        <v>2389177418</v>
      </c>
      <c r="U20" s="52">
        <f t="shared" si="4"/>
        <v>0</v>
      </c>
      <c r="V20" s="52">
        <v>70437644076</v>
      </c>
    </row>
    <row r="21" spans="1:22">
      <c r="A21" s="13">
        <f>'法人一覧(26)'!A21</f>
        <v>18</v>
      </c>
      <c r="B21" s="2" t="str">
        <f>'法人一覧(26)'!B21</f>
        <v>文部科学省</v>
      </c>
      <c r="C21" s="2" t="str">
        <f>'法人一覧(26)'!C21</f>
        <v>防災科学技術研究所</v>
      </c>
      <c r="D21" s="52">
        <v>8522369565</v>
      </c>
      <c r="E21" s="52">
        <v>0</v>
      </c>
      <c r="F21" s="52">
        <v>0</v>
      </c>
      <c r="G21" s="52">
        <v>90156534001</v>
      </c>
      <c r="H21" s="52">
        <f>4704846+6309496</f>
        <v>11014342</v>
      </c>
      <c r="I21" s="52">
        <f t="shared" si="8"/>
        <v>753990957</v>
      </c>
      <c r="J21" s="52">
        <v>99443908865</v>
      </c>
      <c r="K21" s="52">
        <v>868757863</v>
      </c>
      <c r="L21" s="52">
        <f>66102988+20329992</f>
        <v>86432980</v>
      </c>
      <c r="M21" s="52">
        <v>0</v>
      </c>
      <c r="N21" s="52">
        <v>0</v>
      </c>
      <c r="O21" s="52">
        <f t="shared" si="9"/>
        <v>42280221071</v>
      </c>
      <c r="P21" s="52">
        <v>43235411914</v>
      </c>
      <c r="Q21" s="52">
        <v>58902884888</v>
      </c>
      <c r="R21" s="52">
        <v>0</v>
      </c>
      <c r="S21" s="52">
        <v>-2816566901</v>
      </c>
      <c r="T21" s="52">
        <v>122178964</v>
      </c>
      <c r="U21" s="52">
        <f t="shared" si="4"/>
        <v>0</v>
      </c>
      <c r="V21" s="52">
        <v>56208496951</v>
      </c>
    </row>
    <row r="22" spans="1:22">
      <c r="A22" s="13">
        <f>'法人一覧(26)'!A22</f>
        <v>19</v>
      </c>
      <c r="B22" s="2" t="str">
        <f>'法人一覧(26)'!B22</f>
        <v>文部科学省</v>
      </c>
      <c r="C22" s="2" t="str">
        <f>'法人一覧(26)'!C22</f>
        <v>放射線医学総合研究所</v>
      </c>
      <c r="D22" s="52">
        <v>4141246741</v>
      </c>
      <c r="E22" s="52">
        <v>0</v>
      </c>
      <c r="F22" s="52">
        <v>0</v>
      </c>
      <c r="G22" s="52">
        <v>41527005107</v>
      </c>
      <c r="H22" s="52">
        <v>0</v>
      </c>
      <c r="I22" s="52">
        <f t="shared" si="8"/>
        <v>646363285</v>
      </c>
      <c r="J22" s="52">
        <v>46314615133</v>
      </c>
      <c r="K22" s="52">
        <v>1275412627</v>
      </c>
      <c r="L22" s="52">
        <f>402504000+37591478</f>
        <v>440095478</v>
      </c>
      <c r="M22" s="52">
        <v>0</v>
      </c>
      <c r="N22" s="52">
        <v>0</v>
      </c>
      <c r="O22" s="52">
        <f t="shared" si="9"/>
        <v>20985588640</v>
      </c>
      <c r="P22" s="52">
        <v>22701096745</v>
      </c>
      <c r="Q22" s="52">
        <v>33509769188</v>
      </c>
      <c r="R22" s="52">
        <v>0</v>
      </c>
      <c r="S22" s="52">
        <v>-10383438726</v>
      </c>
      <c r="T22" s="52">
        <v>487187926</v>
      </c>
      <c r="U22" s="52">
        <f t="shared" si="4"/>
        <v>0</v>
      </c>
      <c r="V22" s="52">
        <v>23613518388</v>
      </c>
    </row>
    <row r="23" spans="1:22">
      <c r="A23" s="13">
        <f>'法人一覧(26)'!A23</f>
        <v>20</v>
      </c>
      <c r="B23" s="2" t="str">
        <f>'法人一覧(26)'!B23</f>
        <v>文部科学省</v>
      </c>
      <c r="C23" s="2" t="str">
        <f>'法人一覧(26)'!C23</f>
        <v>国立美術館</v>
      </c>
      <c r="D23" s="52">
        <v>1697144467</v>
      </c>
      <c r="E23" s="52">
        <v>0</v>
      </c>
      <c r="F23" s="52">
        <v>0</v>
      </c>
      <c r="G23" s="52">
        <v>176820991015</v>
      </c>
      <c r="H23" s="52">
        <v>0</v>
      </c>
      <c r="I23" s="52">
        <f t="shared" si="8"/>
        <v>760168882</v>
      </c>
      <c r="J23" s="52">
        <v>179278304364</v>
      </c>
      <c r="K23" s="52">
        <v>229537454</v>
      </c>
      <c r="L23" s="52">
        <v>0</v>
      </c>
      <c r="M23" s="52">
        <v>0</v>
      </c>
      <c r="N23" s="52">
        <v>0</v>
      </c>
      <c r="O23" s="52">
        <f t="shared" si="9"/>
        <v>3070380190</v>
      </c>
      <c r="P23" s="52">
        <v>3299917644</v>
      </c>
      <c r="Q23" s="52">
        <v>81019148662</v>
      </c>
      <c r="R23" s="52">
        <v>0</v>
      </c>
      <c r="S23" s="52">
        <v>94377580471</v>
      </c>
      <c r="T23" s="52">
        <v>581657587</v>
      </c>
      <c r="U23" s="52">
        <f t="shared" si="4"/>
        <v>0</v>
      </c>
      <c r="V23" s="52">
        <v>175978386720</v>
      </c>
    </row>
    <row r="24" spans="1:22">
      <c r="A24" s="13">
        <f>'法人一覧(26)'!A24</f>
        <v>21</v>
      </c>
      <c r="B24" s="2" t="str">
        <f>'法人一覧(26)'!B24</f>
        <v>文部科学省</v>
      </c>
      <c r="C24" s="2" t="str">
        <f>'法人一覧(26)'!C24</f>
        <v>国立文化財機構</v>
      </c>
      <c r="D24" s="52">
        <v>4320454864</v>
      </c>
      <c r="E24" s="52">
        <v>0</v>
      </c>
      <c r="F24" s="52">
        <v>0</v>
      </c>
      <c r="G24" s="52">
        <v>214536129095</v>
      </c>
      <c r="H24" s="52">
        <v>0</v>
      </c>
      <c r="I24" s="52">
        <f t="shared" si="8"/>
        <v>1183541933</v>
      </c>
      <c r="J24" s="52">
        <v>220040125892</v>
      </c>
      <c r="K24" s="52">
        <v>316489209</v>
      </c>
      <c r="L24" s="52">
        <v>0</v>
      </c>
      <c r="M24" s="52">
        <v>0</v>
      </c>
      <c r="N24" s="52">
        <v>9292782</v>
      </c>
      <c r="O24" s="52">
        <f t="shared" si="9"/>
        <v>8453802971</v>
      </c>
      <c r="P24" s="52">
        <v>8779584962</v>
      </c>
      <c r="Q24" s="52">
        <v>104713813740</v>
      </c>
      <c r="R24" s="52">
        <v>0</v>
      </c>
      <c r="S24" s="52">
        <v>105546429457</v>
      </c>
      <c r="T24" s="52">
        <v>1000297733</v>
      </c>
      <c r="U24" s="52">
        <f t="shared" si="4"/>
        <v>0</v>
      </c>
      <c r="V24" s="52">
        <v>211260540930</v>
      </c>
    </row>
    <row r="25" spans="1:22">
      <c r="A25" s="13">
        <f>'法人一覧(26)'!A25</f>
        <v>22</v>
      </c>
      <c r="B25" s="2" t="str">
        <f>'法人一覧(26)'!B25</f>
        <v>文部科学省</v>
      </c>
      <c r="C25" s="2" t="str">
        <f>'法人一覧(26)'!C25</f>
        <v>教員研修センター</v>
      </c>
      <c r="D25" s="52">
        <v>435148291</v>
      </c>
      <c r="E25" s="52">
        <v>0</v>
      </c>
      <c r="F25" s="52">
        <v>0</v>
      </c>
      <c r="G25" s="52">
        <v>5103372220</v>
      </c>
      <c r="H25" s="52">
        <v>0</v>
      </c>
      <c r="I25" s="52">
        <f t="shared" si="8"/>
        <v>13864756</v>
      </c>
      <c r="J25" s="52">
        <v>5552385267</v>
      </c>
      <c r="K25" s="52">
        <v>350048356</v>
      </c>
      <c r="L25" s="52">
        <v>0</v>
      </c>
      <c r="M25" s="52">
        <v>0</v>
      </c>
      <c r="N25" s="52">
        <v>0</v>
      </c>
      <c r="O25" s="52">
        <f t="shared" si="9"/>
        <v>517800766</v>
      </c>
      <c r="P25" s="52">
        <v>867849122</v>
      </c>
      <c r="Q25" s="52">
        <v>3891142010</v>
      </c>
      <c r="R25" s="52">
        <v>0</v>
      </c>
      <c r="S25" s="52">
        <v>787972364</v>
      </c>
      <c r="T25" s="52">
        <v>5421771</v>
      </c>
      <c r="U25" s="52">
        <f t="shared" si="4"/>
        <v>0</v>
      </c>
      <c r="V25" s="52">
        <v>4684536145</v>
      </c>
    </row>
    <row r="26" spans="1:22">
      <c r="A26" s="13">
        <f>'法人一覧(26)'!A26</f>
        <v>23</v>
      </c>
      <c r="B26" s="2" t="str">
        <f>'法人一覧(26)'!B26</f>
        <v>文部科学省</v>
      </c>
      <c r="C26" s="2" t="str">
        <f>'法人一覧(26)'!C26</f>
        <v>科学技術振興機構</v>
      </c>
      <c r="D26" s="52">
        <v>102698537329</v>
      </c>
      <c r="E26" s="52">
        <v>1419510751</v>
      </c>
      <c r="F26" s="52">
        <f>18496857419+10344724493-1268249937</f>
        <v>27573331975</v>
      </c>
      <c r="G26" s="52">
        <v>50632406925</v>
      </c>
      <c r="H26" s="52">
        <f>2484582363+1224906937+6111681179</f>
        <v>9821170479</v>
      </c>
      <c r="I26" s="52">
        <f t="shared" si="8"/>
        <v>10559714130</v>
      </c>
      <c r="J26" s="52">
        <v>202704671589</v>
      </c>
      <c r="K26" s="52">
        <v>19247626278</v>
      </c>
      <c r="L26" s="52">
        <f>694400+14754296335+35493835751</f>
        <v>50248826486</v>
      </c>
      <c r="M26" s="52">
        <v>0</v>
      </c>
      <c r="N26" s="52">
        <f>6729228+154379623</f>
        <v>161108851</v>
      </c>
      <c r="O26" s="52">
        <f t="shared" si="9"/>
        <v>36683049143</v>
      </c>
      <c r="P26" s="52">
        <v>106340610758</v>
      </c>
      <c r="Q26" s="52">
        <v>212460295776</v>
      </c>
      <c r="R26" s="52">
        <v>57100000</v>
      </c>
      <c r="S26" s="52">
        <v>-42843917537</v>
      </c>
      <c r="T26" s="52">
        <v>-73309417408</v>
      </c>
      <c r="U26" s="52">
        <f t="shared" si="4"/>
        <v>0</v>
      </c>
      <c r="V26" s="52">
        <v>96364060831</v>
      </c>
    </row>
    <row r="27" spans="1:22">
      <c r="A27" s="13">
        <f>'法人一覧(26)'!A27</f>
        <v>24</v>
      </c>
      <c r="B27" s="2" t="str">
        <f>'法人一覧(26)'!B27</f>
        <v>文部科学省</v>
      </c>
      <c r="C27" s="2" t="str">
        <f>'法人一覧(26)'!C27</f>
        <v>日本学術振興会</v>
      </c>
      <c r="D27" s="52">
        <v>67019338618</v>
      </c>
      <c r="E27" s="52">
        <f>19399978297+99633691</f>
        <v>19499611988</v>
      </c>
      <c r="F27" s="52">
        <v>0</v>
      </c>
      <c r="G27" s="52">
        <v>178405160</v>
      </c>
      <c r="H27" s="52">
        <v>0</v>
      </c>
      <c r="I27" s="52">
        <f t="shared" si="8"/>
        <v>3313318423</v>
      </c>
      <c r="J27" s="52">
        <v>90010674189</v>
      </c>
      <c r="K27" s="52">
        <v>77820252</v>
      </c>
      <c r="L27" s="52">
        <f>51410715348+30857471652</f>
        <v>82268187000</v>
      </c>
      <c r="M27" s="52">
        <v>0</v>
      </c>
      <c r="N27" s="52">
        <v>0</v>
      </c>
      <c r="O27" s="52">
        <f t="shared" si="9"/>
        <v>7300197871</v>
      </c>
      <c r="P27" s="52">
        <v>89646205123</v>
      </c>
      <c r="Q27" s="52">
        <v>676048249</v>
      </c>
      <c r="R27" s="52">
        <v>1520000</v>
      </c>
      <c r="S27" s="52">
        <v>-455403040</v>
      </c>
      <c r="T27" s="52">
        <v>142303857</v>
      </c>
      <c r="U27" s="52">
        <f t="shared" si="4"/>
        <v>0</v>
      </c>
      <c r="V27" s="52">
        <v>364469066</v>
      </c>
    </row>
    <row r="28" spans="1:22">
      <c r="A28" s="13">
        <f>'法人一覧(26)'!A28</f>
        <v>25</v>
      </c>
      <c r="B28" s="2" t="str">
        <f>'法人一覧(26)'!B28</f>
        <v>文部科学省</v>
      </c>
      <c r="C28" s="2" t="str">
        <f>'法人一覧(26)'!C28</f>
        <v>理化学研究所</v>
      </c>
      <c r="D28" s="52">
        <v>27496182071</v>
      </c>
      <c r="E28" s="52">
        <v>0</v>
      </c>
      <c r="F28" s="52">
        <v>0</v>
      </c>
      <c r="G28" s="52">
        <v>260799131469</v>
      </c>
      <c r="H28" s="52">
        <f>608712865+629187182</f>
        <v>1237900047</v>
      </c>
      <c r="I28" s="52">
        <f t="shared" si="8"/>
        <v>1292467463</v>
      </c>
      <c r="J28" s="52">
        <v>290825681050</v>
      </c>
      <c r="K28" s="52">
        <v>4551886853</v>
      </c>
      <c r="L28" s="52">
        <v>0</v>
      </c>
      <c r="M28" s="52">
        <v>0</v>
      </c>
      <c r="N28" s="52">
        <v>0</v>
      </c>
      <c r="O28" s="52">
        <f t="shared" si="9"/>
        <v>89525382875</v>
      </c>
      <c r="P28" s="52">
        <v>94077269728</v>
      </c>
      <c r="Q28" s="52">
        <v>252457702422</v>
      </c>
      <c r="R28" s="52">
        <f>12726799841+157884580</f>
        <v>12884684421</v>
      </c>
      <c r="S28" s="52">
        <v>-74095442816</v>
      </c>
      <c r="T28" s="52">
        <v>5501467295</v>
      </c>
      <c r="U28" s="52">
        <f t="shared" si="4"/>
        <v>0</v>
      </c>
      <c r="V28" s="52">
        <v>196748411322</v>
      </c>
    </row>
    <row r="29" spans="1:22">
      <c r="A29" s="13">
        <f>'法人一覧(26)'!A29</f>
        <v>26</v>
      </c>
      <c r="B29" s="2" t="str">
        <f>'法人一覧(26)'!B29</f>
        <v>文部科学省</v>
      </c>
      <c r="C29" s="2" t="str">
        <f>'法人一覧(26)'!C29</f>
        <v>宇宙航空研究開発機構</v>
      </c>
      <c r="D29" s="52">
        <v>63054440566</v>
      </c>
      <c r="E29" s="52">
        <v>0</v>
      </c>
      <c r="F29" s="52">
        <v>0</v>
      </c>
      <c r="G29" s="52">
        <v>408642488541</v>
      </c>
      <c r="H29" s="52">
        <f>193525628+161075590</f>
        <v>354601218</v>
      </c>
      <c r="I29" s="52">
        <f t="shared" si="8"/>
        <v>152251746160</v>
      </c>
      <c r="J29" s="52">
        <v>624303276485</v>
      </c>
      <c r="K29" s="52">
        <v>19353979740</v>
      </c>
      <c r="L29" s="52">
        <f>340654303+89553153</f>
        <v>430207456</v>
      </c>
      <c r="M29" s="52">
        <v>0</v>
      </c>
      <c r="N29" s="52">
        <v>0</v>
      </c>
      <c r="O29" s="52">
        <f t="shared" si="9"/>
        <v>394206923872</v>
      </c>
      <c r="P29" s="52">
        <v>413991111068</v>
      </c>
      <c r="Q29" s="52">
        <v>544259092226</v>
      </c>
      <c r="R29" s="52">
        <v>6119132</v>
      </c>
      <c r="S29" s="52">
        <v>-307660818996</v>
      </c>
      <c r="T29" s="52">
        <v>-26292226945</v>
      </c>
      <c r="U29" s="52">
        <f t="shared" si="4"/>
        <v>0</v>
      </c>
      <c r="V29" s="52">
        <v>210312165417</v>
      </c>
    </row>
    <row r="30" spans="1:22">
      <c r="A30" s="13">
        <f>'法人一覧(26)'!A30</f>
        <v>27</v>
      </c>
      <c r="B30" s="2" t="str">
        <f>'法人一覧(26)'!B30</f>
        <v>文部科学省</v>
      </c>
      <c r="C30" s="2" t="str">
        <f>'法人一覧(26)'!C30</f>
        <v>日本スポーツ振興センター</v>
      </c>
      <c r="D30" s="52">
        <v>81126400443</v>
      </c>
      <c r="E30" s="52">
        <f>44529761806+26290955696</f>
        <v>70820717502</v>
      </c>
      <c r="F30" s="52">
        <v>0</v>
      </c>
      <c r="G30" s="52">
        <v>194533914191</v>
      </c>
      <c r="H30" s="52">
        <f>1456398+1312208</f>
        <v>2768606</v>
      </c>
      <c r="I30" s="52">
        <f t="shared" si="8"/>
        <v>14030806946</v>
      </c>
      <c r="J30" s="52">
        <v>360514607688</v>
      </c>
      <c r="K30" s="52">
        <v>19445926938</v>
      </c>
      <c r="L30" s="52">
        <v>0</v>
      </c>
      <c r="M30" s="52">
        <v>0</v>
      </c>
      <c r="N30" s="52">
        <f>33406751+6363420000+453807598+44101979454+9983656643</f>
        <v>60936270446</v>
      </c>
      <c r="O30" s="52">
        <f t="shared" si="9"/>
        <v>37758470412</v>
      </c>
      <c r="P30" s="52">
        <v>118140667796</v>
      </c>
      <c r="Q30" s="52">
        <v>245796323693</v>
      </c>
      <c r="R30" s="52">
        <v>0</v>
      </c>
      <c r="S30" s="52">
        <v>-13664317195</v>
      </c>
      <c r="T30" s="52">
        <v>10241933394</v>
      </c>
      <c r="U30" s="52">
        <f t="shared" si="4"/>
        <v>0</v>
      </c>
      <c r="V30" s="52">
        <v>242373939892</v>
      </c>
    </row>
    <row r="31" spans="1:22">
      <c r="A31" s="13">
        <f>'法人一覧(26)'!A31</f>
        <v>28</v>
      </c>
      <c r="B31" s="2" t="str">
        <f>'法人一覧(26)'!B31</f>
        <v>文部科学省</v>
      </c>
      <c r="C31" s="2" t="str">
        <f>'法人一覧(26)'!C31</f>
        <v>日本芸術文化振興会</v>
      </c>
      <c r="D31" s="52">
        <v>6311559117</v>
      </c>
      <c r="E31" s="52">
        <f>1509980509+72066774596+2200000000</f>
        <v>75776755105</v>
      </c>
      <c r="F31" s="52">
        <v>0</v>
      </c>
      <c r="G31" s="52">
        <v>157069803530</v>
      </c>
      <c r="H31" s="52">
        <v>0</v>
      </c>
      <c r="I31" s="52">
        <f t="shared" si="8"/>
        <v>1322765322</v>
      </c>
      <c r="J31" s="52">
        <v>240480883074</v>
      </c>
      <c r="K31" s="52">
        <v>213493286</v>
      </c>
      <c r="L31" s="52">
        <v>146152653</v>
      </c>
      <c r="M31" s="52">
        <v>0</v>
      </c>
      <c r="N31" s="52">
        <f>7738907+126022415</f>
        <v>133761322</v>
      </c>
      <c r="O31" s="52">
        <f t="shared" si="9"/>
        <v>7540622523</v>
      </c>
      <c r="P31" s="52">
        <v>8034029784</v>
      </c>
      <c r="Q31" s="52">
        <v>246819120854</v>
      </c>
      <c r="R31" s="52">
        <v>0</v>
      </c>
      <c r="S31" s="52">
        <v>-15717292462</v>
      </c>
      <c r="T31" s="52">
        <v>1345024898</v>
      </c>
      <c r="U31" s="52">
        <f t="shared" si="4"/>
        <v>0</v>
      </c>
      <c r="V31" s="52">
        <v>232446853290</v>
      </c>
    </row>
    <row r="32" spans="1:22">
      <c r="A32" s="13">
        <f>'法人一覧(26)'!A32</f>
        <v>29</v>
      </c>
      <c r="B32" s="2" t="str">
        <f>'法人一覧(26)'!B32</f>
        <v>文部科学省</v>
      </c>
      <c r="C32" s="2" t="str">
        <f>'法人一覧(26)'!C32</f>
        <v>日本学生支援機構</v>
      </c>
      <c r="D32" s="52">
        <v>121325048895</v>
      </c>
      <c r="E32" s="52">
        <f>61999734062+16661049763</f>
        <v>78660783825</v>
      </c>
      <c r="F32" s="52">
        <v>8428507390311</v>
      </c>
      <c r="G32" s="52">
        <v>40845081047</v>
      </c>
      <c r="H32" s="52">
        <v>0</v>
      </c>
      <c r="I32" s="52">
        <f t="shared" si="8"/>
        <v>129536376733</v>
      </c>
      <c r="J32" s="52">
        <v>8798874680811</v>
      </c>
      <c r="K32" s="52">
        <v>879201738</v>
      </c>
      <c r="L32" s="52">
        <v>3009320466</v>
      </c>
      <c r="M32" s="52">
        <f>180000000000+823445000000+230000000000+7480142407345</f>
        <v>8713587407345</v>
      </c>
      <c r="N32" s="52">
        <v>0</v>
      </c>
      <c r="O32" s="52">
        <f t="shared" si="9"/>
        <v>18242353197</v>
      </c>
      <c r="P32" s="52">
        <v>8735718282746</v>
      </c>
      <c r="Q32" s="52">
        <v>100000000</v>
      </c>
      <c r="R32" s="52">
        <v>0</v>
      </c>
      <c r="S32" s="52">
        <v>39620290746</v>
      </c>
      <c r="T32" s="52">
        <v>23436107319</v>
      </c>
      <c r="U32" s="52">
        <f t="shared" si="4"/>
        <v>0</v>
      </c>
      <c r="V32" s="52">
        <v>63156398065</v>
      </c>
    </row>
    <row r="33" spans="1:22">
      <c r="A33" s="13">
        <f>'法人一覧(26)'!A33</f>
        <v>30</v>
      </c>
      <c r="B33" s="2" t="str">
        <f>'法人一覧(26)'!B33</f>
        <v>文部科学省</v>
      </c>
      <c r="C33" s="2" t="str">
        <f>'法人一覧(26)'!C33</f>
        <v>海洋研究開発機構</v>
      </c>
      <c r="D33" s="52">
        <v>7534763796</v>
      </c>
      <c r="E33" s="52">
        <v>0</v>
      </c>
      <c r="F33" s="52">
        <v>0</v>
      </c>
      <c r="G33" s="52">
        <v>108808498426</v>
      </c>
      <c r="H33" s="52">
        <f>67471330+145891765</f>
        <v>213363095</v>
      </c>
      <c r="I33" s="52">
        <f t="shared" si="8"/>
        <v>11233166814</v>
      </c>
      <c r="J33" s="52">
        <v>127789792131</v>
      </c>
      <c r="K33" s="52">
        <v>4261730641</v>
      </c>
      <c r="L33" s="52">
        <v>0</v>
      </c>
      <c r="M33" s="52">
        <v>0</v>
      </c>
      <c r="N33" s="52">
        <v>0</v>
      </c>
      <c r="O33" s="52">
        <f t="shared" si="9"/>
        <v>55275071222</v>
      </c>
      <c r="P33" s="52">
        <v>59536801863</v>
      </c>
      <c r="Q33" s="52">
        <v>82228006553</v>
      </c>
      <c r="R33" s="52">
        <v>4712602</v>
      </c>
      <c r="S33" s="52">
        <v>-19663397279</v>
      </c>
      <c r="T33" s="52">
        <v>5683668392</v>
      </c>
      <c r="U33" s="52">
        <f t="shared" si="4"/>
        <v>0</v>
      </c>
      <c r="V33" s="52">
        <v>68252990268</v>
      </c>
    </row>
    <row r="34" spans="1:22">
      <c r="A34" s="13">
        <f>'法人一覧(26)'!A34</f>
        <v>31</v>
      </c>
      <c r="B34" s="2" t="str">
        <f>'法人一覧(26)'!B34</f>
        <v>文部科学省</v>
      </c>
      <c r="C34" s="2" t="str">
        <f>'法人一覧(26)'!C34</f>
        <v>国立高等専門学校機構</v>
      </c>
      <c r="D34" s="52">
        <v>10304750270</v>
      </c>
      <c r="E34" s="52">
        <v>0</v>
      </c>
      <c r="F34" s="52">
        <f>4940988+13300378</f>
        <v>18241366</v>
      </c>
      <c r="G34" s="52">
        <v>280377764511</v>
      </c>
      <c r="H34" s="52">
        <f>60130973+125192747</f>
        <v>185323720</v>
      </c>
      <c r="I34" s="52">
        <f t="shared" si="8"/>
        <v>876370231</v>
      </c>
      <c r="J34" s="52">
        <v>291762450098</v>
      </c>
      <c r="K34" s="52">
        <v>320412028</v>
      </c>
      <c r="L34" s="52">
        <v>6072077</v>
      </c>
      <c r="M34" s="52">
        <v>0</v>
      </c>
      <c r="N34" s="52">
        <f>811910+356045</f>
        <v>1167955</v>
      </c>
      <c r="O34" s="52">
        <f t="shared" si="9"/>
        <v>38397298687</v>
      </c>
      <c r="P34" s="52">
        <v>38724950747</v>
      </c>
      <c r="Q34" s="52">
        <v>278543930984</v>
      </c>
      <c r="R34" s="52">
        <v>0</v>
      </c>
      <c r="S34" s="52">
        <v>-26246757822</v>
      </c>
      <c r="T34" s="52">
        <v>740326189</v>
      </c>
      <c r="U34" s="52">
        <f t="shared" si="4"/>
        <v>0</v>
      </c>
      <c r="V34" s="52">
        <v>253037499351</v>
      </c>
    </row>
    <row r="35" spans="1:22">
      <c r="A35" s="13">
        <f>'法人一覧(26)'!A35</f>
        <v>32</v>
      </c>
      <c r="B35" s="2" t="str">
        <f>'法人一覧(26)'!B35</f>
        <v>文部科学省</v>
      </c>
      <c r="C35" s="2" t="str">
        <f>'法人一覧(26)'!C35</f>
        <v>大学評価・学位授与機構</v>
      </c>
      <c r="D35" s="52">
        <v>327525448</v>
      </c>
      <c r="E35" s="52">
        <v>0</v>
      </c>
      <c r="F35" s="52">
        <v>0</v>
      </c>
      <c r="G35" s="52">
        <v>5952800303</v>
      </c>
      <c r="H35" s="52">
        <v>615371</v>
      </c>
      <c r="I35" s="52">
        <f t="shared" si="8"/>
        <v>279969629</v>
      </c>
      <c r="J35" s="52">
        <v>6560910751</v>
      </c>
      <c r="K35" s="52">
        <v>49815956</v>
      </c>
      <c r="L35" s="52">
        <f>4423998+4048804</f>
        <v>8472802</v>
      </c>
      <c r="M35" s="52">
        <v>0</v>
      </c>
      <c r="N35" s="52">
        <v>9866684</v>
      </c>
      <c r="O35" s="52">
        <f t="shared" si="9"/>
        <v>629595503</v>
      </c>
      <c r="P35" s="52">
        <v>697750945</v>
      </c>
      <c r="Q35" s="52">
        <v>7470955506</v>
      </c>
      <c r="R35" s="52">
        <v>0</v>
      </c>
      <c r="S35" s="52">
        <v>-1691344250</v>
      </c>
      <c r="T35" s="52">
        <v>83548550</v>
      </c>
      <c r="U35" s="52">
        <f t="shared" si="4"/>
        <v>0</v>
      </c>
      <c r="V35" s="52">
        <v>5863159806</v>
      </c>
    </row>
    <row r="36" spans="1:22">
      <c r="A36" s="13">
        <f>'法人一覧(26)'!A36</f>
        <v>33</v>
      </c>
      <c r="B36" s="2" t="str">
        <f>'法人一覧(26)'!B36</f>
        <v>文部科学省</v>
      </c>
      <c r="C36" s="2" t="str">
        <f>'法人一覧(26)'!C36</f>
        <v>国立大学財務・経営センター</v>
      </c>
      <c r="D36" s="52">
        <v>4732011418</v>
      </c>
      <c r="E36" s="52">
        <v>8800159291</v>
      </c>
      <c r="F36" s="52">
        <f>506688086000+286125582000</f>
        <v>792813668000</v>
      </c>
      <c r="G36" s="52">
        <v>984190767</v>
      </c>
      <c r="H36" s="52">
        <v>0</v>
      </c>
      <c r="I36" s="52">
        <f t="shared" si="8"/>
        <v>12133405985</v>
      </c>
      <c r="J36" s="52">
        <v>819463435461</v>
      </c>
      <c r="K36" s="52">
        <v>40127018</v>
      </c>
      <c r="L36" s="52">
        <v>0</v>
      </c>
      <c r="M36" s="52">
        <f>5000000000+28034241000+43477544000+20000000000+453653845000+242648038000</f>
        <v>792813668000</v>
      </c>
      <c r="N36" s="52">
        <v>0</v>
      </c>
      <c r="O36" s="52">
        <f t="shared" si="9"/>
        <v>1048898489</v>
      </c>
      <c r="P36" s="52">
        <v>793902693507</v>
      </c>
      <c r="Q36" s="52">
        <v>1371561085</v>
      </c>
      <c r="R36" s="52">
        <v>0</v>
      </c>
      <c r="S36" s="52">
        <v>-391910536</v>
      </c>
      <c r="T36" s="52">
        <v>24581091405</v>
      </c>
      <c r="U36" s="52">
        <f t="shared" si="4"/>
        <v>0</v>
      </c>
      <c r="V36" s="52">
        <v>25560741954</v>
      </c>
    </row>
    <row r="37" spans="1:22">
      <c r="A37" s="13">
        <f>'法人一覧(26)'!A37</f>
        <v>34</v>
      </c>
      <c r="B37" s="2" t="str">
        <f>'法人一覧(26)'!B37</f>
        <v>文部科学省</v>
      </c>
      <c r="C37" s="2" t="str">
        <f>'法人一覧(26)'!C37</f>
        <v>日本原子力研究開発機構</v>
      </c>
      <c r="D37" s="52">
        <v>107916096326</v>
      </c>
      <c r="E37" s="52">
        <f>878125574+75215436102</f>
        <v>76093561676</v>
      </c>
      <c r="F37" s="52">
        <v>0</v>
      </c>
      <c r="G37" s="52">
        <v>638271345823</v>
      </c>
      <c r="H37" s="52">
        <f>241010265+96773903</f>
        <v>337784168</v>
      </c>
      <c r="I37" s="52">
        <f t="shared" si="8"/>
        <v>108058373469</v>
      </c>
      <c r="J37" s="52">
        <v>930677161462</v>
      </c>
      <c r="K37" s="52">
        <v>0</v>
      </c>
      <c r="L37" s="52">
        <v>52035870961</v>
      </c>
      <c r="M37" s="52">
        <v>0</v>
      </c>
      <c r="N37" s="52">
        <v>0</v>
      </c>
      <c r="O37" s="52">
        <f t="shared" si="9"/>
        <v>300825701442</v>
      </c>
      <c r="P37" s="52">
        <v>352861572403</v>
      </c>
      <c r="Q37" s="52">
        <v>872913874517</v>
      </c>
      <c r="R37" s="52">
        <v>16416744093</v>
      </c>
      <c r="S37" s="52">
        <v>-338806750853</v>
      </c>
      <c r="T37" s="52">
        <v>25898458404</v>
      </c>
      <c r="U37" s="52">
        <f t="shared" si="4"/>
        <v>1393262898</v>
      </c>
      <c r="V37" s="52">
        <v>577815589059</v>
      </c>
    </row>
    <row r="38" spans="1:22">
      <c r="A38" s="13">
        <f>'法人一覧(26)'!A38</f>
        <v>35</v>
      </c>
      <c r="B38" s="2" t="str">
        <f>'法人一覧(26)'!B38</f>
        <v>厚生労働省</v>
      </c>
      <c r="C38" s="2" t="str">
        <f>'法人一覧(26)'!C38</f>
        <v>国立健康・栄養研究所</v>
      </c>
      <c r="D38" s="52">
        <v>201768076</v>
      </c>
      <c r="E38" s="52">
        <v>0</v>
      </c>
      <c r="F38" s="52">
        <v>0</v>
      </c>
      <c r="G38" s="52">
        <v>55780202</v>
      </c>
      <c r="H38" s="52">
        <v>0</v>
      </c>
      <c r="I38" s="52">
        <f t="shared" si="8"/>
        <v>3811234</v>
      </c>
      <c r="J38" s="52">
        <v>261359512</v>
      </c>
      <c r="K38" s="52">
        <v>0</v>
      </c>
      <c r="L38" s="52">
        <v>0</v>
      </c>
      <c r="M38" s="52">
        <v>0</v>
      </c>
      <c r="N38" s="52">
        <v>0</v>
      </c>
      <c r="O38" s="52">
        <f t="shared" si="9"/>
        <v>108250655</v>
      </c>
      <c r="P38" s="52">
        <v>108250655</v>
      </c>
      <c r="Q38" s="52">
        <v>0</v>
      </c>
      <c r="R38" s="52">
        <v>0</v>
      </c>
      <c r="S38" s="52">
        <v>0</v>
      </c>
      <c r="T38" s="52">
        <v>153108857</v>
      </c>
      <c r="U38" s="52">
        <f t="shared" si="4"/>
        <v>0</v>
      </c>
      <c r="V38" s="52">
        <v>153108857</v>
      </c>
    </row>
    <row r="39" spans="1:22">
      <c r="A39" s="13">
        <f>'法人一覧(26)'!A39</f>
        <v>36</v>
      </c>
      <c r="B39" s="2" t="str">
        <f>'法人一覧(26)'!B39</f>
        <v>厚生労働省</v>
      </c>
      <c r="C39" s="2" t="str">
        <f>'法人一覧(26)'!C39</f>
        <v>労働安全衛生総合研究所</v>
      </c>
      <c r="D39" s="52">
        <v>902215043</v>
      </c>
      <c r="E39" s="52">
        <v>0</v>
      </c>
      <c r="F39" s="52">
        <v>0</v>
      </c>
      <c r="G39" s="52">
        <v>10376531595</v>
      </c>
      <c r="H39" s="52">
        <v>420000</v>
      </c>
      <c r="I39" s="52">
        <f t="shared" si="8"/>
        <v>65922265</v>
      </c>
      <c r="J39" s="52">
        <v>11345088903</v>
      </c>
      <c r="K39" s="52">
        <v>640587787</v>
      </c>
      <c r="L39" s="52">
        <v>0</v>
      </c>
      <c r="M39" s="52">
        <v>0</v>
      </c>
      <c r="N39" s="52">
        <v>0</v>
      </c>
      <c r="O39" s="52">
        <f t="shared" si="9"/>
        <v>906544843</v>
      </c>
      <c r="P39" s="52">
        <v>1547132630</v>
      </c>
      <c r="Q39" s="52">
        <v>11691851811</v>
      </c>
      <c r="R39" s="52">
        <v>0</v>
      </c>
      <c r="S39" s="52">
        <v>-1978789374</v>
      </c>
      <c r="T39" s="52">
        <v>84893836</v>
      </c>
      <c r="U39" s="52">
        <f t="shared" si="4"/>
        <v>0</v>
      </c>
      <c r="V39" s="52">
        <v>9797956273</v>
      </c>
    </row>
    <row r="40" spans="1:22">
      <c r="A40" s="13">
        <f>'法人一覧(26)'!A40</f>
        <v>37</v>
      </c>
      <c r="B40" s="2" t="str">
        <f>'法人一覧(26)'!B40</f>
        <v>厚生労働省</v>
      </c>
      <c r="C40" s="2" t="str">
        <f>'法人一覧(26)'!C40</f>
        <v>勤労者退職金共済機構</v>
      </c>
      <c r="D40" s="52">
        <v>50597773979</v>
      </c>
      <c r="E40" s="52">
        <f>659347663331+2187120645389+2436669044215</f>
        <v>5283137352935</v>
      </c>
      <c r="F40" s="52">
        <f>526285379638+18049222938+1851968564+13092000+3887000</f>
        <v>546203550140</v>
      </c>
      <c r="G40" s="52">
        <v>303965991</v>
      </c>
      <c r="H40" s="52">
        <v>0</v>
      </c>
      <c r="I40" s="52">
        <f t="shared" si="8"/>
        <v>252418917842</v>
      </c>
      <c r="J40" s="52">
        <v>6132661560887</v>
      </c>
      <c r="K40" s="52">
        <v>10038390</v>
      </c>
      <c r="L40" s="52">
        <v>73082807</v>
      </c>
      <c r="M40" s="52">
        <f>85412492000+128861439000+4691650000+333660651500</f>
        <v>552626232500</v>
      </c>
      <c r="N40" s="52">
        <f>173723612+5053694697939+6371451098</f>
        <v>5060239872649</v>
      </c>
      <c r="O40" s="52">
        <f t="shared" si="9"/>
        <v>6711620557</v>
      </c>
      <c r="P40" s="52">
        <v>5619660846903</v>
      </c>
      <c r="Q40" s="52">
        <v>1968200</v>
      </c>
      <c r="R40" s="52">
        <v>0</v>
      </c>
      <c r="S40" s="52">
        <v>-6256000</v>
      </c>
      <c r="T40" s="52">
        <v>512975598713</v>
      </c>
      <c r="U40" s="52">
        <f t="shared" si="4"/>
        <v>29403071</v>
      </c>
      <c r="V40" s="52">
        <v>513000713984</v>
      </c>
    </row>
    <row r="41" spans="1:22">
      <c r="A41" s="13">
        <f>'法人一覧(26)'!A41</f>
        <v>38</v>
      </c>
      <c r="B41" s="2" t="str">
        <f>'法人一覧(26)'!B41</f>
        <v>厚生労働省</v>
      </c>
      <c r="C41" s="2" t="str">
        <f>'法人一覧(26)'!C41</f>
        <v>高齢・障害・求職者雇用支援機構</v>
      </c>
      <c r="D41" s="52">
        <v>63895313623</v>
      </c>
      <c r="E41" s="52">
        <v>0</v>
      </c>
      <c r="F41" s="52">
        <v>0</v>
      </c>
      <c r="G41" s="52">
        <v>421950482065</v>
      </c>
      <c r="H41" s="52">
        <v>0</v>
      </c>
      <c r="I41" s="52">
        <f t="shared" si="8"/>
        <v>5714378431</v>
      </c>
      <c r="J41" s="52">
        <v>491560174119</v>
      </c>
      <c r="K41" s="52">
        <v>13420040291</v>
      </c>
      <c r="L41" s="52">
        <v>0</v>
      </c>
      <c r="M41" s="52">
        <v>0</v>
      </c>
      <c r="N41" s="52">
        <f>95576379+2135003739+6419189098</f>
        <v>8649769216</v>
      </c>
      <c r="O41" s="52">
        <f t="shared" si="9"/>
        <v>57346963917</v>
      </c>
      <c r="P41" s="52">
        <v>79416773424</v>
      </c>
      <c r="Q41" s="52">
        <v>417668173936</v>
      </c>
      <c r="R41" s="52">
        <v>221593890</v>
      </c>
      <c r="S41" s="52">
        <v>-35343089112</v>
      </c>
      <c r="T41" s="52">
        <v>29596721981</v>
      </c>
      <c r="U41" s="52">
        <f t="shared" si="4"/>
        <v>0</v>
      </c>
      <c r="V41" s="52">
        <v>412143400695</v>
      </c>
    </row>
    <row r="42" spans="1:22">
      <c r="A42" s="13">
        <f>'法人一覧(26)'!A42</f>
        <v>39</v>
      </c>
      <c r="B42" s="2" t="str">
        <f>'法人一覧(26)'!B42</f>
        <v>厚生労働省</v>
      </c>
      <c r="C42" s="2" t="str">
        <f>'法人一覧(26)'!C42</f>
        <v>福祉医療機構</v>
      </c>
      <c r="D42" s="52">
        <v>73597408974</v>
      </c>
      <c r="E42" s="52">
        <f>75414224973+148000000000</f>
        <v>223414224973</v>
      </c>
      <c r="F42" s="52">
        <f>406857665604+3965644115693-4525000000</f>
        <v>4367976781297</v>
      </c>
      <c r="G42" s="52">
        <v>1404480975</v>
      </c>
      <c r="H42" s="52">
        <v>0</v>
      </c>
      <c r="I42" s="52">
        <f t="shared" si="8"/>
        <v>22335150257</v>
      </c>
      <c r="J42" s="52">
        <v>4688728046476</v>
      </c>
      <c r="K42" s="52">
        <v>233585372</v>
      </c>
      <c r="L42" s="52">
        <v>4297112669</v>
      </c>
      <c r="M42" s="52">
        <f>21030000000+98999135565+264804036000+288984198165+2741581622000</f>
        <v>3415398991730</v>
      </c>
      <c r="N42" s="52">
        <f>29331749+517491155+562198590+108458740893</f>
        <v>109567762387</v>
      </c>
      <c r="O42" s="52">
        <f t="shared" si="9"/>
        <v>11374041393</v>
      </c>
      <c r="P42" s="52">
        <v>3540871493551</v>
      </c>
      <c r="Q42" s="52">
        <v>1121382627911</v>
      </c>
      <c r="R42" s="52">
        <v>0</v>
      </c>
      <c r="S42" s="52">
        <v>-1545367739</v>
      </c>
      <c r="T42" s="52">
        <v>28019292753</v>
      </c>
      <c r="U42" s="52">
        <f t="shared" si="4"/>
        <v>0</v>
      </c>
      <c r="V42" s="52">
        <v>1147856552925</v>
      </c>
    </row>
    <row r="43" spans="1:22">
      <c r="A43" s="13">
        <f>'法人一覧(26)'!A43</f>
        <v>40</v>
      </c>
      <c r="B43" s="2" t="str">
        <f>'法人一覧(26)'!B43</f>
        <v>厚生労働省</v>
      </c>
      <c r="C43" s="2" t="str">
        <f>'法人一覧(26)'!C43</f>
        <v>国立重度知的障害者総合施設のぞみの園</v>
      </c>
      <c r="D43" s="52">
        <v>891363015</v>
      </c>
      <c r="E43" s="52">
        <v>0</v>
      </c>
      <c r="F43" s="52">
        <v>0</v>
      </c>
      <c r="G43" s="52">
        <v>14474660767</v>
      </c>
      <c r="H43" s="52">
        <v>0</v>
      </c>
      <c r="I43" s="52">
        <f t="shared" si="8"/>
        <v>317307435</v>
      </c>
      <c r="J43" s="52">
        <v>15683331217</v>
      </c>
      <c r="K43" s="52">
        <v>705773611</v>
      </c>
      <c r="L43" s="52">
        <v>0</v>
      </c>
      <c r="M43" s="52">
        <v>0</v>
      </c>
      <c r="N43" s="52">
        <v>0</v>
      </c>
      <c r="O43" s="52">
        <f t="shared" si="9"/>
        <v>1367136021</v>
      </c>
      <c r="P43" s="52">
        <v>2072909632</v>
      </c>
      <c r="Q43" s="52">
        <v>15189098667</v>
      </c>
      <c r="R43" s="52">
        <v>0</v>
      </c>
      <c r="S43" s="52">
        <v>-1578677082</v>
      </c>
      <c r="T43" s="52">
        <v>0</v>
      </c>
      <c r="U43" s="52">
        <f t="shared" si="4"/>
        <v>0</v>
      </c>
      <c r="V43" s="52">
        <v>13610421585</v>
      </c>
    </row>
    <row r="44" spans="1:22">
      <c r="A44" s="13">
        <f>'法人一覧(26)'!A44</f>
        <v>41</v>
      </c>
      <c r="B44" s="2" t="str">
        <f>'法人一覧(26)'!B44</f>
        <v>厚生労働省</v>
      </c>
      <c r="C44" s="2" t="str">
        <f>'法人一覧(26)'!C44</f>
        <v>労働政策研究・研修機構</v>
      </c>
      <c r="D44" s="52">
        <v>851432548</v>
      </c>
      <c r="E44" s="52">
        <v>0</v>
      </c>
      <c r="F44" s="52">
        <v>0</v>
      </c>
      <c r="G44" s="52">
        <v>6293962499</v>
      </c>
      <c r="H44" s="52">
        <v>0</v>
      </c>
      <c r="I44" s="52">
        <f t="shared" si="8"/>
        <v>150520471</v>
      </c>
      <c r="J44" s="52">
        <v>7295915518</v>
      </c>
      <c r="K44" s="52">
        <v>610640094</v>
      </c>
      <c r="L44" s="52">
        <v>0</v>
      </c>
      <c r="M44" s="52">
        <v>0</v>
      </c>
      <c r="N44" s="52">
        <v>0</v>
      </c>
      <c r="O44" s="52">
        <f t="shared" si="9"/>
        <v>545907556</v>
      </c>
      <c r="P44" s="52">
        <v>1156547650</v>
      </c>
      <c r="Q44" s="52">
        <v>6017816682</v>
      </c>
      <c r="R44" s="52">
        <v>0</v>
      </c>
      <c r="S44" s="52">
        <v>105470984</v>
      </c>
      <c r="T44" s="52">
        <v>16080202</v>
      </c>
      <c r="U44" s="52">
        <f t="shared" si="4"/>
        <v>0</v>
      </c>
      <c r="V44" s="52">
        <v>6139367868</v>
      </c>
    </row>
    <row r="45" spans="1:22">
      <c r="A45" s="13">
        <f>'法人一覧(26)'!A45</f>
        <v>42</v>
      </c>
      <c r="B45" s="2" t="str">
        <f>'法人一覧(26)'!B45</f>
        <v>厚生労働省</v>
      </c>
      <c r="C45" s="2" t="str">
        <f>'法人一覧(26)'!C45</f>
        <v>労働者健康福祉機構</v>
      </c>
      <c r="D45" s="52">
        <v>71208458619</v>
      </c>
      <c r="E45" s="52">
        <f>26840123104+2201614734+23100000000</f>
        <v>52141737838</v>
      </c>
      <c r="F45" s="52">
        <f>58658567+1144775+220675773+3011195</f>
        <v>283490310</v>
      </c>
      <c r="G45" s="52">
        <v>275578926542</v>
      </c>
      <c r="H45" s="52">
        <v>0</v>
      </c>
      <c r="I45" s="52">
        <f t="shared" si="8"/>
        <v>53758021434</v>
      </c>
      <c r="J45" s="52">
        <v>452970634743</v>
      </c>
      <c r="K45" s="52">
        <v>473694471</v>
      </c>
      <c r="L45" s="52">
        <v>2657548199</v>
      </c>
      <c r="M45" s="52">
        <v>1373920000</v>
      </c>
      <c r="N45" s="52">
        <f>6672070058+235235493533</f>
        <v>241907563591</v>
      </c>
      <c r="O45" s="52">
        <f t="shared" si="9"/>
        <v>55873647326</v>
      </c>
      <c r="P45" s="52">
        <v>302286373587</v>
      </c>
      <c r="Q45" s="52">
        <v>146405309176</v>
      </c>
      <c r="R45" s="52">
        <v>0</v>
      </c>
      <c r="S45" s="52">
        <v>53872730758</v>
      </c>
      <c r="T45" s="52">
        <v>-49593778778</v>
      </c>
      <c r="U45" s="52">
        <f t="shared" si="4"/>
        <v>0</v>
      </c>
      <c r="V45" s="52">
        <v>150684261156</v>
      </c>
    </row>
    <row r="46" spans="1:22">
      <c r="A46" s="13">
        <f>'法人一覧(26)'!A46</f>
        <v>43</v>
      </c>
      <c r="B46" s="2" t="str">
        <f>'法人一覧(26)'!B46</f>
        <v>厚生労働省</v>
      </c>
      <c r="C46" s="2" t="str">
        <f>'法人一覧(26)'!C46</f>
        <v>国立病院機構</v>
      </c>
      <c r="D46" s="52">
        <v>54326090109</v>
      </c>
      <c r="E46" s="52">
        <f>43700000000</f>
        <v>43700000000</v>
      </c>
      <c r="F46" s="52">
        <v>2053675268</v>
      </c>
      <c r="G46" s="52">
        <v>1005579182568</v>
      </c>
      <c r="H46" s="52">
        <v>22</v>
      </c>
      <c r="I46" s="52">
        <f t="shared" si="8"/>
        <v>180195902520</v>
      </c>
      <c r="J46" s="52">
        <v>1285854850487</v>
      </c>
      <c r="K46" s="52">
        <v>1808179339</v>
      </c>
      <c r="L46" s="52">
        <v>57368411</v>
      </c>
      <c r="M46" s="52">
        <f>38037137546+376644759340</f>
        <v>414681896886</v>
      </c>
      <c r="N46" s="52">
        <f>28694808571+268654065910</f>
        <v>297348874481</v>
      </c>
      <c r="O46" s="52">
        <f t="shared" si="9"/>
        <v>129670594039</v>
      </c>
      <c r="P46" s="52">
        <v>843566913156</v>
      </c>
      <c r="Q46" s="52">
        <v>208050943759</v>
      </c>
      <c r="R46" s="52">
        <v>0</v>
      </c>
      <c r="S46" s="52">
        <v>222525635493</v>
      </c>
      <c r="T46" s="52">
        <v>11711358079</v>
      </c>
      <c r="U46" s="52">
        <f t="shared" si="4"/>
        <v>0</v>
      </c>
      <c r="V46" s="52">
        <v>442287937331</v>
      </c>
    </row>
    <row r="47" spans="1:22">
      <c r="A47" s="13">
        <f>'法人一覧(26)'!A47</f>
        <v>44</v>
      </c>
      <c r="B47" s="2" t="str">
        <f>'法人一覧(26)'!B47</f>
        <v>厚生労働省</v>
      </c>
      <c r="C47" s="2" t="str">
        <f>'法人一覧(26)'!C47</f>
        <v>医薬品医療機器総合機構</v>
      </c>
      <c r="D47" s="52">
        <v>22920110097</v>
      </c>
      <c r="E47" s="52">
        <f>3998995734+32738175557</f>
        <v>36737171291</v>
      </c>
      <c r="F47" s="52">
        <v>0</v>
      </c>
      <c r="G47" s="52">
        <v>1417583724</v>
      </c>
      <c r="H47" s="52">
        <v>0</v>
      </c>
      <c r="I47" s="52">
        <f t="shared" si="8"/>
        <v>7997366675</v>
      </c>
      <c r="J47" s="52">
        <v>69072231787</v>
      </c>
      <c r="K47" s="52">
        <v>99576603</v>
      </c>
      <c r="L47" s="52">
        <f>135403253+191853874</f>
        <v>327257127</v>
      </c>
      <c r="M47" s="52">
        <v>0</v>
      </c>
      <c r="N47" s="52">
        <f>466079064+1799941872+20141170146</f>
        <v>22407191082</v>
      </c>
      <c r="O47" s="52">
        <f t="shared" si="9"/>
        <v>17067909292</v>
      </c>
      <c r="P47" s="52">
        <v>39901934104</v>
      </c>
      <c r="Q47" s="52">
        <v>1179844924</v>
      </c>
      <c r="R47" s="52">
        <v>0</v>
      </c>
      <c r="S47" s="52">
        <v>-752976137</v>
      </c>
      <c r="T47" s="52">
        <v>28743428896</v>
      </c>
      <c r="U47" s="52">
        <f t="shared" si="4"/>
        <v>0</v>
      </c>
      <c r="V47" s="52">
        <v>29170297683</v>
      </c>
    </row>
    <row r="48" spans="1:22">
      <c r="A48" s="13">
        <f>'法人一覧(26)'!A48</f>
        <v>45</v>
      </c>
      <c r="B48" s="2" t="str">
        <f>'法人一覧(26)'!B48</f>
        <v>厚生労働省</v>
      </c>
      <c r="C48" s="2" t="str">
        <f>'法人一覧(26)'!C48</f>
        <v>医薬基盤研究所</v>
      </c>
      <c r="D48" s="52">
        <v>4972331513</v>
      </c>
      <c r="E48" s="52">
        <f>859926978+1149675790+500000000</f>
        <v>2509602768</v>
      </c>
      <c r="F48" s="52">
        <v>0</v>
      </c>
      <c r="G48" s="52">
        <v>19853775589</v>
      </c>
      <c r="H48" s="52">
        <f>1465631+29360231</f>
        <v>30825862</v>
      </c>
      <c r="I48" s="52">
        <f t="shared" si="8"/>
        <v>657481617</v>
      </c>
      <c r="J48" s="52">
        <v>28024017349</v>
      </c>
      <c r="K48" s="52">
        <v>0</v>
      </c>
      <c r="L48" s="52">
        <v>40015543</v>
      </c>
      <c r="M48" s="52">
        <f>46900000+79100000</f>
        <v>126000000</v>
      </c>
      <c r="N48" s="52">
        <v>4283571</v>
      </c>
      <c r="O48" s="52">
        <f t="shared" si="9"/>
        <v>4703657038</v>
      </c>
      <c r="P48" s="52">
        <v>4873956152</v>
      </c>
      <c r="Q48" s="52">
        <v>53473743022</v>
      </c>
      <c r="R48" s="52">
        <v>0</v>
      </c>
      <c r="S48" s="52">
        <v>-2081527368</v>
      </c>
      <c r="T48" s="52">
        <v>-28242154457</v>
      </c>
      <c r="U48" s="52">
        <f t="shared" si="4"/>
        <v>0</v>
      </c>
      <c r="V48" s="52">
        <v>23150061197</v>
      </c>
    </row>
    <row r="49" spans="1:22">
      <c r="A49" s="13">
        <f>'法人一覧(26)'!A49</f>
        <v>46</v>
      </c>
      <c r="B49" s="2" t="str">
        <f>'法人一覧(26)'!B49</f>
        <v>厚生労働省</v>
      </c>
      <c r="C49" s="2" t="str">
        <f>'法人一覧(26)'!C49</f>
        <v>地域医療機能推進機構</v>
      </c>
      <c r="D49" s="52">
        <v>51428855597</v>
      </c>
      <c r="E49" s="52">
        <v>3000000000</v>
      </c>
      <c r="F49" s="52">
        <v>1083726133</v>
      </c>
      <c r="G49" s="52">
        <v>379637434442</v>
      </c>
      <c r="H49" s="52">
        <v>0</v>
      </c>
      <c r="I49" s="52">
        <f t="shared" si="8"/>
        <v>67071476859</v>
      </c>
      <c r="J49" s="52">
        <v>502221493031</v>
      </c>
      <c r="K49" s="52">
        <v>0</v>
      </c>
      <c r="L49" s="52">
        <v>0</v>
      </c>
      <c r="M49" s="52">
        <v>1169316000</v>
      </c>
      <c r="N49" s="52">
        <f>10233753805+4821915157</f>
        <v>15055668962</v>
      </c>
      <c r="O49" s="52">
        <f t="shared" si="9"/>
        <v>39084310968</v>
      </c>
      <c r="P49" s="52">
        <v>55309295930</v>
      </c>
      <c r="Q49" s="52">
        <v>85491182587</v>
      </c>
      <c r="R49" s="52">
        <v>0</v>
      </c>
      <c r="S49" s="52">
        <v>362497176406</v>
      </c>
      <c r="T49" s="52">
        <v>-1076161892</v>
      </c>
      <c r="U49" s="52">
        <f t="shared" si="4"/>
        <v>0</v>
      </c>
      <c r="V49" s="52">
        <v>446912197101</v>
      </c>
    </row>
    <row r="50" spans="1:22">
      <c r="A50" s="13">
        <f>'法人一覧(26)'!A50</f>
        <v>47</v>
      </c>
      <c r="B50" s="2" t="str">
        <f>'法人一覧(26)'!B50</f>
        <v>厚生労働省</v>
      </c>
      <c r="C50" s="2" t="str">
        <f>'法人一覧(26)'!C50</f>
        <v>年金積立金管理運用</v>
      </c>
      <c r="D50" s="52">
        <v>5961546</v>
      </c>
      <c r="E50" s="52">
        <f>134035343128743+3442507985931</f>
        <v>137477851114674</v>
      </c>
      <c r="F50" s="52">
        <v>0</v>
      </c>
      <c r="G50" s="52">
        <v>330904468</v>
      </c>
      <c r="H50" s="52">
        <v>0</v>
      </c>
      <c r="I50" s="52">
        <f t="shared" si="8"/>
        <v>604154553</v>
      </c>
      <c r="J50" s="52">
        <v>137478792135241</v>
      </c>
      <c r="K50" s="52">
        <v>0</v>
      </c>
      <c r="L50" s="52">
        <v>0</v>
      </c>
      <c r="M50" s="52">
        <v>0</v>
      </c>
      <c r="N50" s="52">
        <f>59168298+675914484</f>
        <v>735082782</v>
      </c>
      <c r="O50" s="52">
        <f t="shared" si="9"/>
        <v>103691909758647</v>
      </c>
      <c r="P50" s="52">
        <v>103692644841429</v>
      </c>
      <c r="Q50" s="52">
        <v>100000000</v>
      </c>
      <c r="R50" s="52">
        <v>0</v>
      </c>
      <c r="S50" s="52">
        <v>0</v>
      </c>
      <c r="T50" s="52">
        <v>33785741796630</v>
      </c>
      <c r="U50" s="52">
        <f t="shared" si="4"/>
        <v>305497182</v>
      </c>
      <c r="V50" s="52">
        <v>33786147293812</v>
      </c>
    </row>
    <row r="51" spans="1:22">
      <c r="A51" s="13">
        <f>'法人一覧(26)'!A51</f>
        <v>48</v>
      </c>
      <c r="B51" s="2" t="str">
        <f>'法人一覧(26)'!B51</f>
        <v>厚生労働省</v>
      </c>
      <c r="C51" s="2" t="str">
        <f>'法人一覧(26)'!C51</f>
        <v>国立がん研究センター</v>
      </c>
      <c r="D51" s="52">
        <v>15436970109</v>
      </c>
      <c r="E51" s="52">
        <v>0</v>
      </c>
      <c r="F51" s="52">
        <v>9000000</v>
      </c>
      <c r="G51" s="52">
        <v>103548796308</v>
      </c>
      <c r="H51" s="52">
        <v>0</v>
      </c>
      <c r="I51" s="52">
        <f t="shared" si="8"/>
        <v>10879898187</v>
      </c>
      <c r="J51" s="52">
        <v>129874664604</v>
      </c>
      <c r="K51" s="52">
        <v>0</v>
      </c>
      <c r="L51" s="52">
        <v>46966124</v>
      </c>
      <c r="M51" s="52">
        <f>2249204558+13855925142</f>
        <v>16105129700</v>
      </c>
      <c r="N51" s="52">
        <f>1002252254+206649287+154205430</f>
        <v>1363106971</v>
      </c>
      <c r="O51" s="52">
        <f t="shared" si="9"/>
        <v>20034332058</v>
      </c>
      <c r="P51" s="52">
        <v>37549534853</v>
      </c>
      <c r="Q51" s="52">
        <v>91662446513</v>
      </c>
      <c r="R51" s="52">
        <v>0</v>
      </c>
      <c r="S51" s="52">
        <v>733094933</v>
      </c>
      <c r="T51" s="52">
        <v>-70411695</v>
      </c>
      <c r="U51" s="52">
        <f t="shared" si="4"/>
        <v>0</v>
      </c>
      <c r="V51" s="52">
        <v>92325129751</v>
      </c>
    </row>
    <row r="52" spans="1:22">
      <c r="A52" s="13">
        <f>'法人一覧(26)'!A52</f>
        <v>49</v>
      </c>
      <c r="B52" s="2" t="str">
        <f>'法人一覧(26)'!B52</f>
        <v>厚生労働省</v>
      </c>
      <c r="C52" s="2" t="str">
        <f>'法人一覧(26)'!C52</f>
        <v>国立循環器病研究センター</v>
      </c>
      <c r="D52" s="52">
        <v>10536669947</v>
      </c>
      <c r="E52" s="52">
        <v>0</v>
      </c>
      <c r="F52" s="52">
        <v>41400000</v>
      </c>
      <c r="G52" s="52">
        <v>22195482572</v>
      </c>
      <c r="H52" s="52">
        <v>0</v>
      </c>
      <c r="I52" s="52">
        <f t="shared" si="8"/>
        <v>5341463887</v>
      </c>
      <c r="J52" s="52">
        <v>38115016406</v>
      </c>
      <c r="K52" s="52">
        <v>0</v>
      </c>
      <c r="L52" s="52">
        <v>5423640</v>
      </c>
      <c r="M52" s="52">
        <f>270122000+707492000</f>
        <v>977614000</v>
      </c>
      <c r="N52" s="52">
        <f>594588410+13969729+304798765</f>
        <v>913356904</v>
      </c>
      <c r="O52" s="52">
        <f t="shared" si="9"/>
        <v>7239885841</v>
      </c>
      <c r="P52" s="52">
        <v>9136280385</v>
      </c>
      <c r="Q52" s="52">
        <v>28691811356</v>
      </c>
      <c r="R52" s="52">
        <v>0</v>
      </c>
      <c r="S52" s="52">
        <v>578950558</v>
      </c>
      <c r="T52" s="52">
        <v>-292025893</v>
      </c>
      <c r="U52" s="52">
        <f t="shared" si="4"/>
        <v>0</v>
      </c>
      <c r="V52" s="52">
        <v>28978736021</v>
      </c>
    </row>
    <row r="53" spans="1:22">
      <c r="A53" s="13">
        <f>'法人一覧(26)'!A53</f>
        <v>50</v>
      </c>
      <c r="B53" s="2" t="str">
        <f>'法人一覧(26)'!B53</f>
        <v>厚生労働省</v>
      </c>
      <c r="C53" s="2" t="str">
        <f>'法人一覧(26)'!C53</f>
        <v>国立精神・神経医療研究センター</v>
      </c>
      <c r="D53" s="52">
        <v>2389849978</v>
      </c>
      <c r="E53" s="52">
        <v>0</v>
      </c>
      <c r="F53" s="52">
        <v>0</v>
      </c>
      <c r="G53" s="52">
        <v>36289077445</v>
      </c>
      <c r="H53" s="52">
        <v>25990376</v>
      </c>
      <c r="I53" s="52">
        <f t="shared" si="8"/>
        <v>2461773144</v>
      </c>
      <c r="J53" s="52">
        <v>41166690943</v>
      </c>
      <c r="K53" s="52">
        <v>0</v>
      </c>
      <c r="L53" s="52">
        <v>2268835</v>
      </c>
      <c r="M53" s="52">
        <f>177182647+2666718000</f>
        <v>2843900647</v>
      </c>
      <c r="N53" s="52">
        <f>398510579+21732581+7282450</f>
        <v>427525610</v>
      </c>
      <c r="O53" s="52">
        <f t="shared" si="9"/>
        <v>4053188589</v>
      </c>
      <c r="P53" s="52">
        <v>7326883681</v>
      </c>
      <c r="Q53" s="52">
        <v>37329962123</v>
      </c>
      <c r="R53" s="52">
        <v>0</v>
      </c>
      <c r="S53" s="52">
        <v>-1420228614</v>
      </c>
      <c r="T53" s="52">
        <v>-2069926247</v>
      </c>
      <c r="U53" s="52">
        <f t="shared" si="4"/>
        <v>0</v>
      </c>
      <c r="V53" s="52">
        <v>33839807262</v>
      </c>
    </row>
    <row r="54" spans="1:22">
      <c r="A54" s="13">
        <f>'法人一覧(26)'!A54</f>
        <v>51</v>
      </c>
      <c r="B54" s="2" t="str">
        <f>'法人一覧(26)'!B54</f>
        <v>厚生労働省</v>
      </c>
      <c r="C54" s="2" t="str">
        <f>'法人一覧(26)'!C54</f>
        <v>国立国際医療研究センター</v>
      </c>
      <c r="D54" s="52">
        <v>6263307886</v>
      </c>
      <c r="E54" s="52">
        <v>500000000</v>
      </c>
      <c r="F54" s="52">
        <v>0</v>
      </c>
      <c r="G54" s="52">
        <v>81907968850</v>
      </c>
      <c r="H54" s="52">
        <v>0</v>
      </c>
      <c r="I54" s="52">
        <f t="shared" si="8"/>
        <v>6602557025</v>
      </c>
      <c r="J54" s="52">
        <v>95273833761</v>
      </c>
      <c r="K54" s="52">
        <v>0</v>
      </c>
      <c r="L54" s="52">
        <v>0</v>
      </c>
      <c r="M54" s="52">
        <f>1102147780+18808370240</f>
        <v>19910518020</v>
      </c>
      <c r="N54" s="52">
        <f>993244346+54915853+97179100</f>
        <v>1145339299</v>
      </c>
      <c r="O54" s="52">
        <f t="shared" si="9"/>
        <v>9905924446</v>
      </c>
      <c r="P54" s="52">
        <v>30961781765</v>
      </c>
      <c r="Q54" s="52">
        <v>67888461589</v>
      </c>
      <c r="R54" s="52">
        <v>0</v>
      </c>
      <c r="S54" s="52">
        <v>1727805340</v>
      </c>
      <c r="T54" s="52">
        <v>-5304214933</v>
      </c>
      <c r="U54" s="52">
        <f t="shared" si="4"/>
        <v>0</v>
      </c>
      <c r="V54" s="52">
        <v>64312051996</v>
      </c>
    </row>
    <row r="55" spans="1:22">
      <c r="A55" s="13">
        <f>'法人一覧(26)'!A55</f>
        <v>52</v>
      </c>
      <c r="B55" s="2" t="str">
        <f>'法人一覧(26)'!B55</f>
        <v>厚生労働省</v>
      </c>
      <c r="C55" s="2" t="str">
        <f>'法人一覧(26)'!C55</f>
        <v>国立成育医療研究センター</v>
      </c>
      <c r="D55" s="52">
        <v>1160525371</v>
      </c>
      <c r="E55" s="52">
        <v>0</v>
      </c>
      <c r="F55" s="52">
        <v>0</v>
      </c>
      <c r="G55" s="52">
        <v>43801254509</v>
      </c>
      <c r="H55" s="52">
        <v>0</v>
      </c>
      <c r="I55" s="52">
        <f t="shared" si="8"/>
        <v>7107630631</v>
      </c>
      <c r="J55" s="52">
        <v>52069410511</v>
      </c>
      <c r="K55" s="52">
        <v>0</v>
      </c>
      <c r="L55" s="52">
        <v>0</v>
      </c>
      <c r="M55" s="52">
        <f>682888000+6149525000</f>
        <v>6832413000</v>
      </c>
      <c r="N55" s="52">
        <f>565405690+79156171</f>
        <v>644561861</v>
      </c>
      <c r="O55" s="52">
        <f t="shared" si="9"/>
        <v>7061659022</v>
      </c>
      <c r="P55" s="52">
        <v>14538633883</v>
      </c>
      <c r="Q55" s="52">
        <v>36382981092</v>
      </c>
      <c r="R55" s="52">
        <v>0</v>
      </c>
      <c r="S55" s="52">
        <v>1282026812</v>
      </c>
      <c r="T55" s="52">
        <v>-134231276</v>
      </c>
      <c r="U55" s="52">
        <f t="shared" si="4"/>
        <v>0</v>
      </c>
      <c r="V55" s="52">
        <v>37530776628</v>
      </c>
    </row>
    <row r="56" spans="1:22">
      <c r="A56" s="13">
        <f>'法人一覧(26)'!A56</f>
        <v>53</v>
      </c>
      <c r="B56" s="2" t="str">
        <f>'法人一覧(26)'!B56</f>
        <v>厚生労働省</v>
      </c>
      <c r="C56" s="2" t="str">
        <f>'法人一覧(26)'!C56</f>
        <v>国立長寿医療研究センター</v>
      </c>
      <c r="D56" s="29">
        <v>3169243030</v>
      </c>
      <c r="E56" s="29">
        <v>0</v>
      </c>
      <c r="F56" s="29">
        <v>3150000</v>
      </c>
      <c r="G56" s="29">
        <v>9107339144</v>
      </c>
      <c r="H56" s="29">
        <v>0</v>
      </c>
      <c r="I56" s="29">
        <f t="shared" si="8"/>
        <v>1005030485</v>
      </c>
      <c r="J56" s="29">
        <v>13284762659</v>
      </c>
      <c r="K56" s="29">
        <v>0</v>
      </c>
      <c r="L56" s="29">
        <v>0</v>
      </c>
      <c r="M56" s="29">
        <f>96895104+345677032</f>
        <v>442572136</v>
      </c>
      <c r="N56" s="29">
        <f>278176742+67141473</f>
        <v>345318215</v>
      </c>
      <c r="O56" s="29">
        <f t="shared" si="9"/>
        <v>3103582444</v>
      </c>
      <c r="P56" s="29">
        <v>3891472795</v>
      </c>
      <c r="Q56" s="29">
        <v>10333706713</v>
      </c>
      <c r="R56" s="29">
        <v>0</v>
      </c>
      <c r="S56" s="29">
        <v>-2226915563</v>
      </c>
      <c r="T56" s="29">
        <v>1286498714</v>
      </c>
      <c r="U56" s="29">
        <f t="shared" si="4"/>
        <v>0</v>
      </c>
      <c r="V56" s="29">
        <v>9393289864</v>
      </c>
    </row>
    <row r="57" spans="1:22">
      <c r="A57" s="13">
        <f>'法人一覧(26)'!A57</f>
        <v>54</v>
      </c>
      <c r="B57" s="2" t="str">
        <f>'法人一覧(26)'!B57</f>
        <v>農林水産省</v>
      </c>
      <c r="C57" s="2" t="str">
        <f>'法人一覧(26)'!C57</f>
        <v>農林水産消費安全技術センター</v>
      </c>
      <c r="D57" s="52">
        <v>1603770637</v>
      </c>
      <c r="E57" s="52">
        <v>72980</v>
      </c>
      <c r="F57" s="52">
        <v>0</v>
      </c>
      <c r="G57" s="52">
        <v>8471710633</v>
      </c>
      <c r="H57" s="52">
        <v>2756340</v>
      </c>
      <c r="I57" s="52">
        <f t="shared" si="6"/>
        <v>15502579</v>
      </c>
      <c r="J57" s="52">
        <v>10093813169</v>
      </c>
      <c r="K57" s="52">
        <v>0</v>
      </c>
      <c r="L57" s="52">
        <v>0</v>
      </c>
      <c r="M57" s="52">
        <v>0</v>
      </c>
      <c r="N57" s="52">
        <v>0</v>
      </c>
      <c r="O57" s="52">
        <f t="shared" si="3"/>
        <v>1927289566</v>
      </c>
      <c r="P57" s="52">
        <v>1927289566</v>
      </c>
      <c r="Q57" s="52">
        <v>10172302527</v>
      </c>
      <c r="R57" s="52">
        <v>0</v>
      </c>
      <c r="S57" s="52">
        <v>-2729948905</v>
      </c>
      <c r="T57" s="52">
        <v>724169981</v>
      </c>
      <c r="U57" s="52">
        <f t="shared" si="4"/>
        <v>0</v>
      </c>
      <c r="V57" s="52">
        <v>8166523603</v>
      </c>
    </row>
    <row r="58" spans="1:22">
      <c r="A58" s="13">
        <f>'法人一覧(26)'!A58</f>
        <v>55</v>
      </c>
      <c r="B58" s="2" t="str">
        <f>'法人一覧(26)'!B58</f>
        <v>農林水産省</v>
      </c>
      <c r="C58" s="2" t="str">
        <f>'法人一覧(26)'!C58</f>
        <v>種苗管理センター</v>
      </c>
      <c r="D58" s="29">
        <v>532783381</v>
      </c>
      <c r="E58" s="29">
        <v>0</v>
      </c>
      <c r="F58" s="29">
        <v>0</v>
      </c>
      <c r="G58" s="29">
        <v>8820003783</v>
      </c>
      <c r="H58" s="29">
        <v>1222298</v>
      </c>
      <c r="I58" s="29">
        <f t="shared" si="6"/>
        <v>220235628</v>
      </c>
      <c r="J58" s="29">
        <v>9574245090</v>
      </c>
      <c r="K58" s="29">
        <v>181159552</v>
      </c>
      <c r="L58" s="29">
        <v>0</v>
      </c>
      <c r="M58" s="29">
        <v>0</v>
      </c>
      <c r="N58" s="29">
        <v>0</v>
      </c>
      <c r="O58" s="29">
        <f t="shared" si="3"/>
        <v>768211310</v>
      </c>
      <c r="P58" s="29">
        <v>949370862</v>
      </c>
      <c r="Q58" s="29">
        <v>9696794379</v>
      </c>
      <c r="R58" s="29">
        <v>0</v>
      </c>
      <c r="S58" s="29">
        <v>-1076354665</v>
      </c>
      <c r="T58" s="29">
        <v>4434514</v>
      </c>
      <c r="U58" s="29">
        <f t="shared" si="4"/>
        <v>0</v>
      </c>
      <c r="V58" s="29">
        <v>8624874228</v>
      </c>
    </row>
    <row r="59" spans="1:22">
      <c r="A59" s="13">
        <f>'法人一覧(26)'!A59</f>
        <v>56</v>
      </c>
      <c r="B59" s="2" t="str">
        <f>'法人一覧(26)'!B59</f>
        <v>農林水産省</v>
      </c>
      <c r="C59" s="2" t="str">
        <f>'法人一覧(26)'!C59</f>
        <v>家畜改良センター</v>
      </c>
      <c r="D59" s="29">
        <v>1653180093</v>
      </c>
      <c r="E59" s="29">
        <v>0</v>
      </c>
      <c r="F59" s="29">
        <v>0</v>
      </c>
      <c r="G59" s="29">
        <v>40923071960</v>
      </c>
      <c r="H59" s="29">
        <v>344506</v>
      </c>
      <c r="I59" s="29">
        <f t="shared" si="6"/>
        <v>411429008</v>
      </c>
      <c r="J59" s="29">
        <v>42988025567</v>
      </c>
      <c r="K59" s="29">
        <v>664679268</v>
      </c>
      <c r="L59" s="29">
        <v>0</v>
      </c>
      <c r="M59" s="29">
        <v>0</v>
      </c>
      <c r="N59" s="29">
        <v>0</v>
      </c>
      <c r="O59" s="29">
        <f t="shared" si="3"/>
        <v>4368203983</v>
      </c>
      <c r="P59" s="29">
        <v>5032883251</v>
      </c>
      <c r="Q59" s="29">
        <v>48164304332</v>
      </c>
      <c r="R59" s="29">
        <v>0</v>
      </c>
      <c r="S59" s="29">
        <v>-10260782058</v>
      </c>
      <c r="T59" s="29">
        <v>51620042</v>
      </c>
      <c r="U59" s="29">
        <f t="shared" si="4"/>
        <v>0</v>
      </c>
      <c r="V59" s="29">
        <v>37955142316</v>
      </c>
    </row>
    <row r="60" spans="1:22">
      <c r="A60" s="13">
        <f>'法人一覧(26)'!A60</f>
        <v>57</v>
      </c>
      <c r="B60" s="2" t="str">
        <f>'法人一覧(26)'!B60</f>
        <v>農林水産省</v>
      </c>
      <c r="C60" s="2" t="str">
        <f>'法人一覧(26)'!C60</f>
        <v>水産大学校</v>
      </c>
      <c r="D60" s="29">
        <v>673343740</v>
      </c>
      <c r="E60" s="29">
        <v>0</v>
      </c>
      <c r="F60" s="29">
        <v>0</v>
      </c>
      <c r="G60" s="29">
        <v>10587270325</v>
      </c>
      <c r="H60" s="29">
        <v>1542056</v>
      </c>
      <c r="I60" s="29">
        <f t="shared" si="6"/>
        <v>197655751</v>
      </c>
      <c r="J60" s="29">
        <v>11459811872</v>
      </c>
      <c r="K60" s="29">
        <v>419721124</v>
      </c>
      <c r="L60" s="29">
        <v>0</v>
      </c>
      <c r="M60" s="29">
        <v>0</v>
      </c>
      <c r="N60" s="29">
        <v>0</v>
      </c>
      <c r="O60" s="29">
        <f t="shared" si="3"/>
        <v>744118988</v>
      </c>
      <c r="P60" s="29">
        <v>1163840112</v>
      </c>
      <c r="Q60" s="29">
        <v>8986424208</v>
      </c>
      <c r="R60" s="29">
        <v>0</v>
      </c>
      <c r="S60" s="29">
        <v>1270548999</v>
      </c>
      <c r="T60" s="29">
        <v>38998553</v>
      </c>
      <c r="U60" s="29">
        <f t="shared" si="4"/>
        <v>0</v>
      </c>
      <c r="V60" s="29">
        <v>10295971760</v>
      </c>
    </row>
    <row r="61" spans="1:22">
      <c r="A61" s="13">
        <f>'法人一覧(26)'!A61</f>
        <v>58</v>
      </c>
      <c r="B61" s="2" t="str">
        <f>'法人一覧(26)'!B61</f>
        <v>農林水産省</v>
      </c>
      <c r="C61" s="2" t="str">
        <f>'法人一覧(26)'!C61</f>
        <v>農業・食品産業技術総合研究機構</v>
      </c>
      <c r="D61" s="29">
        <v>15690321500</v>
      </c>
      <c r="E61" s="29">
        <f>3500000000+3578677374</f>
        <v>7078677374</v>
      </c>
      <c r="F61" s="29">
        <v>0</v>
      </c>
      <c r="G61" s="29">
        <v>256118093326</v>
      </c>
      <c r="H61" s="29">
        <f>270021297+770323+464802+1547424+982451+221569539</f>
        <v>495355836</v>
      </c>
      <c r="I61" s="29">
        <f t="shared" si="6"/>
        <v>3508508205</v>
      </c>
      <c r="J61" s="29">
        <v>282890956241</v>
      </c>
      <c r="K61" s="29">
        <v>10315275930</v>
      </c>
      <c r="L61" s="29">
        <v>0</v>
      </c>
      <c r="M61" s="29">
        <v>0</v>
      </c>
      <c r="N61" s="29">
        <f>5151254+157101</f>
        <v>5308355</v>
      </c>
      <c r="O61" s="29">
        <f t="shared" si="3"/>
        <v>14988182551</v>
      </c>
      <c r="P61" s="29">
        <v>25308766836</v>
      </c>
      <c r="Q61" s="29">
        <v>311035306274</v>
      </c>
      <c r="R61" s="29">
        <f>3841768+3634912836</f>
        <v>3638754604</v>
      </c>
      <c r="S61" s="29">
        <v>-28831279764</v>
      </c>
      <c r="T61" s="29">
        <v>-28260591709</v>
      </c>
      <c r="U61" s="29">
        <f t="shared" si="4"/>
        <v>0</v>
      </c>
      <c r="V61" s="29">
        <v>257582189405</v>
      </c>
    </row>
    <row r="62" spans="1:22">
      <c r="A62" s="13">
        <f>'法人一覧(26)'!A62</f>
        <v>59</v>
      </c>
      <c r="B62" s="2" t="str">
        <f>'法人一覧(26)'!B62</f>
        <v>農林水産省</v>
      </c>
      <c r="C62" s="2" t="str">
        <f>'法人一覧(26)'!C62</f>
        <v>農業生物資源研究所</v>
      </c>
      <c r="D62" s="29">
        <v>1453646408</v>
      </c>
      <c r="E62" s="29">
        <v>0</v>
      </c>
      <c r="F62" s="29">
        <v>0</v>
      </c>
      <c r="G62" s="29">
        <v>32325127990</v>
      </c>
      <c r="H62" s="29">
        <f>146755939+136493902</f>
        <v>283249841</v>
      </c>
      <c r="I62" s="29">
        <f t="shared" si="6"/>
        <v>165032338</v>
      </c>
      <c r="J62" s="29">
        <v>34227056577</v>
      </c>
      <c r="K62" s="29">
        <v>800479549</v>
      </c>
      <c r="L62" s="29">
        <v>0</v>
      </c>
      <c r="M62" s="29">
        <v>0</v>
      </c>
      <c r="N62" s="29">
        <v>0</v>
      </c>
      <c r="O62" s="29">
        <f t="shared" si="3"/>
        <v>3055557802</v>
      </c>
      <c r="P62" s="29">
        <v>3856037351</v>
      </c>
      <c r="Q62" s="29">
        <v>35320570693</v>
      </c>
      <c r="R62" s="29">
        <v>0</v>
      </c>
      <c r="S62" s="29">
        <v>-5234822748</v>
      </c>
      <c r="T62" s="29">
        <v>285271281</v>
      </c>
      <c r="U62" s="29">
        <f t="shared" si="4"/>
        <v>0</v>
      </c>
      <c r="V62" s="29">
        <v>30371019226</v>
      </c>
    </row>
    <row r="63" spans="1:22">
      <c r="A63" s="13">
        <f>'法人一覧(26)'!A63</f>
        <v>60</v>
      </c>
      <c r="B63" s="2" t="str">
        <f>'法人一覧(26)'!B63</f>
        <v>農林水産省</v>
      </c>
      <c r="C63" s="2" t="str">
        <f>'法人一覧(26)'!C63</f>
        <v>農業環境技術研究所</v>
      </c>
      <c r="D63" s="29">
        <v>459149601</v>
      </c>
      <c r="E63" s="29">
        <v>0</v>
      </c>
      <c r="F63" s="29">
        <v>0</v>
      </c>
      <c r="G63" s="29">
        <v>32675162159</v>
      </c>
      <c r="H63" s="29">
        <f>9477760+9776312</f>
        <v>19254072</v>
      </c>
      <c r="I63" s="29">
        <f t="shared" si="6"/>
        <v>148997695</v>
      </c>
      <c r="J63" s="29">
        <v>33302563527</v>
      </c>
      <c r="K63" s="29">
        <v>150685659</v>
      </c>
      <c r="L63" s="29">
        <v>0</v>
      </c>
      <c r="M63" s="29">
        <v>0</v>
      </c>
      <c r="N63" s="29">
        <v>0</v>
      </c>
      <c r="O63" s="29">
        <f t="shared" si="3"/>
        <v>1222448329</v>
      </c>
      <c r="P63" s="29">
        <v>1373133988</v>
      </c>
      <c r="Q63" s="29">
        <v>34353269524</v>
      </c>
      <c r="R63" s="29">
        <v>0</v>
      </c>
      <c r="S63" s="29">
        <v>-2536269015</v>
      </c>
      <c r="T63" s="29">
        <v>112429030</v>
      </c>
      <c r="U63" s="29">
        <f t="shared" si="4"/>
        <v>0</v>
      </c>
      <c r="V63" s="29">
        <v>31929429539</v>
      </c>
    </row>
    <row r="64" spans="1:22">
      <c r="A64" s="13">
        <f>'法人一覧(26)'!A64</f>
        <v>61</v>
      </c>
      <c r="B64" s="2" t="str">
        <f>'法人一覧(26)'!B64</f>
        <v>農林水産省</v>
      </c>
      <c r="C64" s="2" t="str">
        <f>'法人一覧(26)'!C64</f>
        <v>国際農林水産業研究センター</v>
      </c>
      <c r="D64" s="29">
        <v>564080573</v>
      </c>
      <c r="E64" s="29">
        <v>0</v>
      </c>
      <c r="F64" s="29">
        <v>0</v>
      </c>
      <c r="G64" s="29">
        <v>7404740237</v>
      </c>
      <c r="H64" s="29">
        <f>20095606+78578+43512018</f>
        <v>63686202</v>
      </c>
      <c r="I64" s="29">
        <f t="shared" si="6"/>
        <v>204854086</v>
      </c>
      <c r="J64" s="29">
        <v>8237361098</v>
      </c>
      <c r="K64" s="106">
        <v>246678948</v>
      </c>
      <c r="L64" s="29">
        <v>0</v>
      </c>
      <c r="M64" s="29">
        <v>0</v>
      </c>
      <c r="N64" s="29">
        <v>0</v>
      </c>
      <c r="O64" s="29">
        <f t="shared" si="3"/>
        <v>818958441</v>
      </c>
      <c r="P64" s="29">
        <v>1065637389</v>
      </c>
      <c r="Q64" s="29">
        <v>8470154319</v>
      </c>
      <c r="R64" s="29">
        <v>0</v>
      </c>
      <c r="S64" s="29">
        <v>-1373501763</v>
      </c>
      <c r="T64" s="29">
        <v>75071153</v>
      </c>
      <c r="U64" s="29">
        <f t="shared" si="4"/>
        <v>0</v>
      </c>
      <c r="V64" s="29">
        <v>7171723709</v>
      </c>
    </row>
    <row r="65" spans="1:22">
      <c r="A65" s="13">
        <f>'法人一覧(26)'!A65</f>
        <v>62</v>
      </c>
      <c r="B65" s="2" t="str">
        <f>'法人一覧(26)'!B65</f>
        <v>農林水産省</v>
      </c>
      <c r="C65" s="2" t="str">
        <f>'法人一覧(26)'!C65</f>
        <v>森林総合研究所</v>
      </c>
      <c r="D65" s="52">
        <v>15545979379</v>
      </c>
      <c r="E65" s="52">
        <v>0</v>
      </c>
      <c r="F65" s="52">
        <v>15200000</v>
      </c>
      <c r="G65" s="52">
        <v>1033610533214</v>
      </c>
      <c r="H65" s="52">
        <v>22372542</v>
      </c>
      <c r="I65" s="52">
        <f t="shared" si="6"/>
        <v>63946282517</v>
      </c>
      <c r="J65" s="52">
        <v>1113140367652</v>
      </c>
      <c r="K65" s="52">
        <v>742249225</v>
      </c>
      <c r="L65" s="52">
        <v>1008750656</v>
      </c>
      <c r="M65" s="52">
        <v>213077113000</v>
      </c>
      <c r="N65" s="52">
        <v>4329058648</v>
      </c>
      <c r="O65" s="52">
        <f t="shared" si="3"/>
        <v>3396729572</v>
      </c>
      <c r="P65" s="52">
        <v>222553901101</v>
      </c>
      <c r="Q65" s="52">
        <v>759381632654</v>
      </c>
      <c r="R65" s="52">
        <v>0</v>
      </c>
      <c r="S65" s="52">
        <v>136917889634</v>
      </c>
      <c r="T65" s="52">
        <v>6424013552</v>
      </c>
      <c r="U65" s="52">
        <f t="shared" si="4"/>
        <v>-12137069289</v>
      </c>
      <c r="V65" s="52">
        <v>890586466551</v>
      </c>
    </row>
    <row r="66" spans="1:22">
      <c r="A66" s="13">
        <f>'法人一覧(26)'!A66</f>
        <v>63</v>
      </c>
      <c r="B66" s="2" t="str">
        <f>'法人一覧(26)'!B66</f>
        <v>農林水産省</v>
      </c>
      <c r="C66" s="2" t="str">
        <f>'法人一覧(26)'!C66</f>
        <v>水産総合研究センター</v>
      </c>
      <c r="D66" s="29">
        <v>3511774275</v>
      </c>
      <c r="E66" s="29">
        <f>513043579+500207465+50000</f>
        <v>1013301044</v>
      </c>
      <c r="F66" s="29">
        <v>0</v>
      </c>
      <c r="G66" s="29">
        <v>46949863763</v>
      </c>
      <c r="H66" s="29">
        <f>10621451+928046</f>
        <v>11549497</v>
      </c>
      <c r="I66" s="29">
        <f t="shared" si="6"/>
        <v>2330605905</v>
      </c>
      <c r="J66" s="29">
        <v>53817094484</v>
      </c>
      <c r="K66" s="29">
        <v>2570221908</v>
      </c>
      <c r="L66" s="29">
        <v>0</v>
      </c>
      <c r="M66" s="29">
        <v>0</v>
      </c>
      <c r="N66" s="29">
        <v>1921500</v>
      </c>
      <c r="O66" s="29">
        <f t="shared" si="3"/>
        <v>5249195034</v>
      </c>
      <c r="P66" s="29">
        <v>7821338442</v>
      </c>
      <c r="Q66" s="29">
        <v>58092818922</v>
      </c>
      <c r="R66" s="29">
        <v>0</v>
      </c>
      <c r="S66" s="29">
        <v>-12563274018</v>
      </c>
      <c r="T66" s="29">
        <v>466211138</v>
      </c>
      <c r="U66" s="29">
        <f t="shared" si="4"/>
        <v>0</v>
      </c>
      <c r="V66" s="29">
        <v>45995756042</v>
      </c>
    </row>
    <row r="67" spans="1:22">
      <c r="A67" s="13">
        <f>'法人一覧(26)'!A67</f>
        <v>64</v>
      </c>
      <c r="B67" s="2" t="str">
        <f>'法人一覧(26)'!B67</f>
        <v>農林水産省</v>
      </c>
      <c r="C67" s="2" t="str">
        <f>'法人一覧(26)'!C67</f>
        <v>農畜産業振興機構</v>
      </c>
      <c r="D67" s="29">
        <v>306501571958</v>
      </c>
      <c r="E67" s="29">
        <f>9199242430+76931524794</f>
        <v>86130767224</v>
      </c>
      <c r="F67" s="29">
        <v>0</v>
      </c>
      <c r="G67" s="29">
        <v>836466886</v>
      </c>
      <c r="H67" s="29">
        <v>0</v>
      </c>
      <c r="I67" s="29">
        <f t="shared" si="6"/>
        <v>9758374769</v>
      </c>
      <c r="J67" s="29">
        <v>403227180837</v>
      </c>
      <c r="K67" s="29">
        <v>716639567</v>
      </c>
      <c r="L67" s="29">
        <f>2906453477+319643228499</f>
        <v>322549681976</v>
      </c>
      <c r="M67" s="29">
        <v>19461610598</v>
      </c>
      <c r="N67" s="29">
        <f>36580021+1358266361</f>
        <v>1394846382</v>
      </c>
      <c r="O67" s="29">
        <f t="shared" si="3"/>
        <v>18930064085</v>
      </c>
      <c r="P67" s="29">
        <v>363052842608</v>
      </c>
      <c r="Q67" s="29">
        <v>30958713096</v>
      </c>
      <c r="R67" s="29">
        <v>0</v>
      </c>
      <c r="S67" s="29">
        <v>0</v>
      </c>
      <c r="T67" s="29">
        <v>9215625133</v>
      </c>
      <c r="U67" s="29">
        <f t="shared" si="4"/>
        <v>0</v>
      </c>
      <c r="V67" s="29">
        <v>40174338229</v>
      </c>
    </row>
    <row r="68" spans="1:22">
      <c r="A68" s="13">
        <f>'法人一覧(26)'!A68</f>
        <v>65</v>
      </c>
      <c r="B68" s="2" t="str">
        <f>'法人一覧(26)'!B68</f>
        <v>農林水産省</v>
      </c>
      <c r="C68" s="2" t="str">
        <f>'法人一覧(26)'!C68</f>
        <v>農業者年金基金</v>
      </c>
      <c r="D68" s="29">
        <v>5737896977</v>
      </c>
      <c r="E68" s="29">
        <f>57348594986+150271182138+52956706455</f>
        <v>260576483579</v>
      </c>
      <c r="F68" s="29">
        <v>321676513</v>
      </c>
      <c r="G68" s="29">
        <v>39541268</v>
      </c>
      <c r="H68" s="29">
        <v>0</v>
      </c>
      <c r="I68" s="29">
        <f t="shared" si="6"/>
        <v>409160296383</v>
      </c>
      <c r="J68" s="29">
        <v>675835894720</v>
      </c>
      <c r="K68" s="29">
        <v>437825065</v>
      </c>
      <c r="L68" s="29">
        <v>67095996</v>
      </c>
      <c r="M68" s="29">
        <f>86000000000+320900000000</f>
        <v>406900000000</v>
      </c>
      <c r="N68" s="29">
        <f>694404452+259980404492</f>
        <v>260674808944</v>
      </c>
      <c r="O68" s="29">
        <f t="shared" si="3"/>
        <v>6315171267</v>
      </c>
      <c r="P68" s="29">
        <v>674394901272</v>
      </c>
      <c r="Q68" s="29">
        <v>0</v>
      </c>
      <c r="R68" s="29">
        <v>0</v>
      </c>
      <c r="S68" s="29">
        <v>0</v>
      </c>
      <c r="T68" s="29">
        <v>1440993448</v>
      </c>
      <c r="U68" s="29">
        <f t="shared" si="4"/>
        <v>0</v>
      </c>
      <c r="V68" s="29">
        <v>1440993448</v>
      </c>
    </row>
    <row r="69" spans="1:22">
      <c r="A69" s="13">
        <f>'法人一覧(26)'!A69</f>
        <v>66</v>
      </c>
      <c r="B69" s="2" t="str">
        <f>'法人一覧(26)'!B69</f>
        <v>農林水産省</v>
      </c>
      <c r="C69" s="2" t="str">
        <f>'法人一覧(26)'!C69</f>
        <v>農林漁業信用基金</v>
      </c>
      <c r="D69" s="29">
        <v>37602757819</v>
      </c>
      <c r="E69" s="29">
        <f>38218999194+90289351058</f>
        <v>128508350252</v>
      </c>
      <c r="F69" s="29">
        <f>26160755000+40426029000</f>
        <v>66586784000</v>
      </c>
      <c r="G69" s="29">
        <v>1018764723</v>
      </c>
      <c r="H69" s="29">
        <v>0</v>
      </c>
      <c r="I69" s="29">
        <f t="shared" ref="I69:I74" si="10">J69-SUM(D69:H69)</f>
        <v>76059161352</v>
      </c>
      <c r="J69" s="29">
        <v>309775818146</v>
      </c>
      <c r="K69" s="29">
        <v>0</v>
      </c>
      <c r="L69" s="29">
        <v>26465800186</v>
      </c>
      <c r="M69" s="29">
        <f>4047000000+2244000000</f>
        <v>6291000000</v>
      </c>
      <c r="N69" s="29">
        <f>2195872428+1356089509+3450031276+7978710027</f>
        <v>14980703240</v>
      </c>
      <c r="O69" s="29">
        <f t="shared" ref="O69:O74" si="11">P69-SUM(K69:N69)</f>
        <v>44181787830</v>
      </c>
      <c r="P69" s="29">
        <v>91919291256</v>
      </c>
      <c r="Q69" s="29">
        <v>148956261096</v>
      </c>
      <c r="R69" s="29">
        <f>5212880000+29932073851</f>
        <v>35144953851</v>
      </c>
      <c r="S69" s="29">
        <v>11823945279</v>
      </c>
      <c r="T69" s="29">
        <v>21931366664</v>
      </c>
      <c r="U69" s="29">
        <f t="shared" ref="U69:U74" si="12">V69-SUM(Q69:T69)</f>
        <v>0</v>
      </c>
      <c r="V69" s="29">
        <v>217856526890</v>
      </c>
    </row>
    <row r="70" spans="1:22">
      <c r="A70" s="13">
        <f>'法人一覧(26)'!A70</f>
        <v>67</v>
      </c>
      <c r="B70" s="2" t="str">
        <f>'法人一覧(26)'!B70</f>
        <v>経済産業省</v>
      </c>
      <c r="C70" s="2" t="str">
        <f>'法人一覧(26)'!C70</f>
        <v>経済産業研究所</v>
      </c>
      <c r="D70" s="29">
        <v>673605375</v>
      </c>
      <c r="E70" s="29">
        <v>0</v>
      </c>
      <c r="F70" s="29">
        <v>0</v>
      </c>
      <c r="G70" s="29">
        <v>17683619</v>
      </c>
      <c r="H70" s="29">
        <v>0</v>
      </c>
      <c r="I70" s="29">
        <f t="shared" si="10"/>
        <v>20495560</v>
      </c>
      <c r="J70" s="29">
        <v>711784554</v>
      </c>
      <c r="K70" s="29">
        <v>459562199</v>
      </c>
      <c r="L70" s="29">
        <v>5022077</v>
      </c>
      <c r="M70" s="29">
        <v>0</v>
      </c>
      <c r="N70" s="29">
        <v>0</v>
      </c>
      <c r="O70" s="29">
        <f t="shared" si="11"/>
        <v>205641910</v>
      </c>
      <c r="P70" s="29">
        <v>670226186</v>
      </c>
      <c r="Q70" s="29">
        <v>0</v>
      </c>
      <c r="R70" s="29">
        <v>0</v>
      </c>
      <c r="S70" s="29">
        <v>0</v>
      </c>
      <c r="T70" s="29">
        <v>41558368</v>
      </c>
      <c r="U70" s="29">
        <f t="shared" si="12"/>
        <v>0</v>
      </c>
      <c r="V70" s="29">
        <v>41558368</v>
      </c>
    </row>
    <row r="71" spans="1:22">
      <c r="A71" s="13">
        <f>'法人一覧(26)'!A71</f>
        <v>68</v>
      </c>
      <c r="B71" s="2" t="str">
        <f>'法人一覧(26)'!B71</f>
        <v>経済産業省</v>
      </c>
      <c r="C71" s="2" t="str">
        <f>'法人一覧(26)'!C71</f>
        <v>工業所有権情報・研修館</v>
      </c>
      <c r="D71" s="29">
        <v>6330269563</v>
      </c>
      <c r="E71" s="29">
        <v>0</v>
      </c>
      <c r="F71" s="29">
        <v>0</v>
      </c>
      <c r="G71" s="29">
        <v>90001097</v>
      </c>
      <c r="H71" s="29">
        <v>0</v>
      </c>
      <c r="I71" s="29">
        <f t="shared" ref="I71" si="13">J71-SUM(D71:H71)</f>
        <v>263694753</v>
      </c>
      <c r="J71" s="29">
        <v>6683965413</v>
      </c>
      <c r="K71" s="29">
        <v>2566977977</v>
      </c>
      <c r="L71" s="29">
        <v>0</v>
      </c>
      <c r="M71" s="29">
        <v>0</v>
      </c>
      <c r="N71" s="29">
        <v>0</v>
      </c>
      <c r="O71" s="29">
        <f t="shared" ref="O71" si="14">P71-SUM(K71:N71)</f>
        <v>4136872837</v>
      </c>
      <c r="P71" s="29">
        <v>6703850814</v>
      </c>
      <c r="Q71" s="29">
        <v>0</v>
      </c>
      <c r="R71" s="29">
        <v>0</v>
      </c>
      <c r="S71" s="29">
        <v>1020600</v>
      </c>
      <c r="T71" s="29">
        <v>-20906001</v>
      </c>
      <c r="U71" s="29">
        <f t="shared" ref="U71" si="15">V71-SUM(Q71:T71)</f>
        <v>0</v>
      </c>
      <c r="V71" s="29">
        <v>-19885401</v>
      </c>
    </row>
    <row r="72" spans="1:22">
      <c r="A72" s="13">
        <f>'法人一覧(26)'!A72</f>
        <v>69</v>
      </c>
      <c r="B72" s="2" t="str">
        <f>'法人一覧(26)'!B72</f>
        <v>経済産業省</v>
      </c>
      <c r="C72" s="2" t="str">
        <f>'法人一覧(26)'!C72</f>
        <v>日本貿易保険</v>
      </c>
      <c r="D72" s="29">
        <v>47494000000</v>
      </c>
      <c r="E72" s="29">
        <v>291948000000</v>
      </c>
      <c r="F72" s="29">
        <v>0</v>
      </c>
      <c r="G72" s="29">
        <f>96000000+285000000</f>
        <v>381000000</v>
      </c>
      <c r="H72" s="29">
        <v>0</v>
      </c>
      <c r="I72" s="29">
        <f t="shared" si="10"/>
        <v>74794000000</v>
      </c>
      <c r="J72" s="29">
        <v>414617000000</v>
      </c>
      <c r="K72" s="29">
        <v>0</v>
      </c>
      <c r="L72" s="29">
        <v>0</v>
      </c>
      <c r="M72" s="29">
        <v>0</v>
      </c>
      <c r="N72" s="29">
        <f>2357000000+31807000000+98000000+488000000</f>
        <v>34750000000</v>
      </c>
      <c r="O72" s="29">
        <f t="shared" si="11"/>
        <v>18177000000</v>
      </c>
      <c r="P72" s="29">
        <v>52927000000</v>
      </c>
      <c r="Q72" s="29">
        <v>104352000000</v>
      </c>
      <c r="R72" s="29">
        <v>0</v>
      </c>
      <c r="S72" s="29">
        <v>143402000000</v>
      </c>
      <c r="T72" s="29">
        <v>113936000000</v>
      </c>
      <c r="U72" s="29">
        <f t="shared" si="12"/>
        <v>0</v>
      </c>
      <c r="V72" s="29">
        <v>361690000000</v>
      </c>
    </row>
    <row r="73" spans="1:22">
      <c r="A73" s="13">
        <f>'法人一覧(26)'!A73</f>
        <v>70</v>
      </c>
      <c r="B73" s="2" t="str">
        <f>'法人一覧(26)'!B73</f>
        <v>経済産業省</v>
      </c>
      <c r="C73" s="2" t="str">
        <f>'法人一覧(26)'!C73</f>
        <v>産業技術総合研究所</v>
      </c>
      <c r="D73" s="29">
        <v>21260897438</v>
      </c>
      <c r="E73" s="29">
        <v>0</v>
      </c>
      <c r="F73" s="29">
        <v>0</v>
      </c>
      <c r="G73" s="29">
        <v>342007329772</v>
      </c>
      <c r="H73" s="29">
        <f>1214275380+1165228902</f>
        <v>2379504282</v>
      </c>
      <c r="I73" s="29">
        <f t="shared" si="10"/>
        <v>9183805638</v>
      </c>
      <c r="J73" s="29">
        <v>374831537130</v>
      </c>
      <c r="K73" s="29">
        <v>0</v>
      </c>
      <c r="L73" s="29">
        <v>7795987</v>
      </c>
      <c r="M73" s="29">
        <v>0</v>
      </c>
      <c r="N73" s="29">
        <f>10152005+25641715</f>
        <v>35793720</v>
      </c>
      <c r="O73" s="29">
        <f t="shared" si="11"/>
        <v>64310662674</v>
      </c>
      <c r="P73" s="29">
        <v>64354252381</v>
      </c>
      <c r="Q73" s="29">
        <v>284741495643</v>
      </c>
      <c r="R73" s="29">
        <v>0</v>
      </c>
      <c r="S73" s="29">
        <v>12167049752</v>
      </c>
      <c r="T73" s="29">
        <v>13568739354</v>
      </c>
      <c r="U73" s="29">
        <f t="shared" si="12"/>
        <v>0</v>
      </c>
      <c r="V73" s="29">
        <v>310477284749</v>
      </c>
    </row>
    <row r="74" spans="1:22">
      <c r="A74" s="13">
        <f>'法人一覧(26)'!A74</f>
        <v>71</v>
      </c>
      <c r="B74" s="2" t="str">
        <f>'法人一覧(26)'!B74</f>
        <v>経済産業省</v>
      </c>
      <c r="C74" s="2" t="str">
        <f>'法人一覧(26)'!C74</f>
        <v>製品評価技術基盤機構</v>
      </c>
      <c r="D74" s="29">
        <v>2026257997</v>
      </c>
      <c r="E74" s="29">
        <v>0</v>
      </c>
      <c r="F74" s="29">
        <v>0</v>
      </c>
      <c r="G74" s="29">
        <v>24804242137</v>
      </c>
      <c r="H74" s="29">
        <v>0</v>
      </c>
      <c r="I74" s="29">
        <f t="shared" si="10"/>
        <v>1710193257</v>
      </c>
      <c r="J74" s="29">
        <v>28540693391</v>
      </c>
      <c r="K74" s="29">
        <v>0</v>
      </c>
      <c r="L74" s="29">
        <v>0</v>
      </c>
      <c r="M74" s="29">
        <v>0</v>
      </c>
      <c r="N74" s="29">
        <v>0</v>
      </c>
      <c r="O74" s="29">
        <f t="shared" si="11"/>
        <v>11101303879</v>
      </c>
      <c r="P74" s="29">
        <v>11101303879</v>
      </c>
      <c r="Q74" s="29">
        <v>19010651741</v>
      </c>
      <c r="R74" s="29">
        <v>0</v>
      </c>
      <c r="S74" s="29">
        <v>-1698474106</v>
      </c>
      <c r="T74" s="29">
        <v>127211877</v>
      </c>
      <c r="U74" s="29">
        <f t="shared" si="12"/>
        <v>0</v>
      </c>
      <c r="V74" s="29">
        <v>17439389512</v>
      </c>
    </row>
    <row r="75" spans="1:22">
      <c r="A75" s="13">
        <f>'法人一覧(26)'!A75</f>
        <v>72</v>
      </c>
      <c r="B75" s="2" t="str">
        <f>'法人一覧(26)'!B75</f>
        <v>経済産業省</v>
      </c>
      <c r="C75" s="2" t="str">
        <f>'法人一覧(26)'!C75</f>
        <v>新エネルギー・産業技術総合開発機構</v>
      </c>
      <c r="D75" s="52">
        <v>78330031279</v>
      </c>
      <c r="E75" s="52">
        <v>9997752497</v>
      </c>
      <c r="F75" s="52">
        <v>355694556</v>
      </c>
      <c r="G75" s="52">
        <v>227525105</v>
      </c>
      <c r="H75" s="52">
        <v>0</v>
      </c>
      <c r="I75" s="52">
        <f t="shared" ref="I75:I77" si="16">J75-SUM(D75:H75)</f>
        <v>3199248564</v>
      </c>
      <c r="J75" s="52">
        <v>92110252001</v>
      </c>
      <c r="K75" s="52">
        <v>58837059809</v>
      </c>
      <c r="L75" s="52">
        <v>0</v>
      </c>
      <c r="M75" s="52">
        <v>0</v>
      </c>
      <c r="N75" s="52">
        <v>1608291128</v>
      </c>
      <c r="O75" s="52">
        <f t="shared" ref="O75:O77" si="17">P75-SUM(K75:N75)</f>
        <v>6972060395</v>
      </c>
      <c r="P75" s="52">
        <v>67417411332</v>
      </c>
      <c r="Q75" s="52">
        <v>79043602031</v>
      </c>
      <c r="R75" s="52">
        <v>156979376</v>
      </c>
      <c r="S75" s="52">
        <v>42481984</v>
      </c>
      <c r="T75" s="52">
        <v>-54468099581</v>
      </c>
      <c r="U75" s="52">
        <f t="shared" ref="U75:U98" si="18">V75-SUM(Q75:T75)</f>
        <v>-82123141</v>
      </c>
      <c r="V75" s="52">
        <v>24692840669</v>
      </c>
    </row>
    <row r="76" spans="1:22">
      <c r="A76" s="13">
        <f>'法人一覧(26)'!A76</f>
        <v>73</v>
      </c>
      <c r="B76" s="2" t="str">
        <f>'法人一覧(26)'!B76</f>
        <v>経済産業省</v>
      </c>
      <c r="C76" s="2" t="str">
        <f>'法人一覧(26)'!C76</f>
        <v>日本貿易振興機構</v>
      </c>
      <c r="D76" s="52">
        <v>3835366044</v>
      </c>
      <c r="E76" s="52">
        <v>45598193</v>
      </c>
      <c r="F76" s="52">
        <v>0</v>
      </c>
      <c r="G76" s="52">
        <v>41802818305</v>
      </c>
      <c r="H76" s="52">
        <v>4122141</v>
      </c>
      <c r="I76" s="52">
        <f t="shared" si="16"/>
        <v>3950568028</v>
      </c>
      <c r="J76" s="52">
        <v>49638472711</v>
      </c>
      <c r="K76" s="52">
        <v>0</v>
      </c>
      <c r="L76" s="52">
        <v>224739569</v>
      </c>
      <c r="M76" s="52">
        <v>0</v>
      </c>
      <c r="N76" s="52">
        <v>0</v>
      </c>
      <c r="O76" s="52">
        <f t="shared" si="17"/>
        <v>5699654503</v>
      </c>
      <c r="P76" s="52">
        <v>5924394072</v>
      </c>
      <c r="Q76" s="52">
        <v>45607209662</v>
      </c>
      <c r="R76" s="52">
        <v>0</v>
      </c>
      <c r="S76" s="52">
        <v>801962630</v>
      </c>
      <c r="T76" s="52">
        <v>3328357807</v>
      </c>
      <c r="U76" s="52">
        <f t="shared" si="18"/>
        <v>-6023451460</v>
      </c>
      <c r="V76" s="52">
        <v>43714078639</v>
      </c>
    </row>
    <row r="77" spans="1:22">
      <c r="A77" s="13">
        <f>'法人一覧(26)'!A77</f>
        <v>74</v>
      </c>
      <c r="B77" s="2" t="str">
        <f>'法人一覧(26)'!B77</f>
        <v>経済産業省</v>
      </c>
      <c r="C77" s="2" t="str">
        <f>'法人一覧(26)'!C77</f>
        <v>情報処理推進機構</v>
      </c>
      <c r="D77" s="52">
        <v>2797003211</v>
      </c>
      <c r="E77" s="52">
        <v>3386122100</v>
      </c>
      <c r="F77" s="52">
        <v>0</v>
      </c>
      <c r="G77" s="52">
        <v>526087398</v>
      </c>
      <c r="H77" s="52">
        <v>0</v>
      </c>
      <c r="I77" s="52">
        <f t="shared" si="16"/>
        <v>12483596498</v>
      </c>
      <c r="J77" s="52">
        <v>19192809207</v>
      </c>
      <c r="K77" s="52">
        <v>301405264</v>
      </c>
      <c r="L77" s="52">
        <v>0</v>
      </c>
      <c r="M77" s="52">
        <v>0</v>
      </c>
      <c r="N77" s="52">
        <v>15489350</v>
      </c>
      <c r="O77" s="52">
        <f t="shared" si="17"/>
        <v>3060194050</v>
      </c>
      <c r="P77" s="52">
        <v>3377088664</v>
      </c>
      <c r="Q77" s="52">
        <v>20840961877</v>
      </c>
      <c r="R77" s="52">
        <v>0</v>
      </c>
      <c r="S77" s="52">
        <v>-1505469811</v>
      </c>
      <c r="T77" s="52">
        <v>-2714469896</v>
      </c>
      <c r="U77" s="52">
        <f t="shared" si="18"/>
        <v>-805301627</v>
      </c>
      <c r="V77" s="52">
        <v>15815720543</v>
      </c>
    </row>
    <row r="78" spans="1:22">
      <c r="A78" s="13">
        <f>'法人一覧(26)'!A78</f>
        <v>75</v>
      </c>
      <c r="B78" s="2" t="str">
        <f>'法人一覧(26)'!B78</f>
        <v>経済産業省</v>
      </c>
      <c r="C78" s="2" t="str">
        <f>'法人一覧(26)'!C78</f>
        <v>石油天然ガス・金属鉱物資源機構</v>
      </c>
      <c r="D78" s="29">
        <v>136843305262</v>
      </c>
      <c r="E78" s="29">
        <f>23508888781+40269058745+82221409692</f>
        <v>145999357218</v>
      </c>
      <c r="F78" s="29">
        <f>5506150122+112020000+805841200000+21228012517+2591626000</f>
        <v>835279008639</v>
      </c>
      <c r="G78" s="29">
        <v>71284972692</v>
      </c>
      <c r="H78" s="29">
        <f>927415320+55653400</f>
        <v>983068720</v>
      </c>
      <c r="I78" s="29">
        <f t="shared" ref="I78:I79" si="19">J78-SUM(D78:H78)</f>
        <v>366162621518</v>
      </c>
      <c r="J78" s="29">
        <v>1556552334049</v>
      </c>
      <c r="K78" s="29">
        <v>7486026302</v>
      </c>
      <c r="L78" s="29">
        <v>0</v>
      </c>
      <c r="M78" s="29">
        <f>54321000807+805841200000+4817248000</f>
        <v>864979448807</v>
      </c>
      <c r="N78" s="29">
        <f>37402307+18833003016+1718070000+1745805156</f>
        <v>22334280479</v>
      </c>
      <c r="O78" s="29">
        <f t="shared" ref="O78:O79" si="20">P78-SUM(K78:N78)</f>
        <v>32186049379</v>
      </c>
      <c r="P78" s="29">
        <v>926985804967</v>
      </c>
      <c r="Q78" s="29">
        <v>699652708895</v>
      </c>
      <c r="R78" s="29">
        <v>0</v>
      </c>
      <c r="S78" s="29">
        <v>23305108847</v>
      </c>
      <c r="T78" s="29">
        <v>-93448339700</v>
      </c>
      <c r="U78" s="29">
        <f t="shared" si="18"/>
        <v>57051040</v>
      </c>
      <c r="V78" s="29">
        <v>629566529082</v>
      </c>
    </row>
    <row r="79" spans="1:22">
      <c r="A79" s="13">
        <f>'法人一覧(26)'!A79</f>
        <v>76</v>
      </c>
      <c r="B79" s="2" t="str">
        <f>'法人一覧(26)'!B79</f>
        <v>経済産業省</v>
      </c>
      <c r="C79" s="2" t="str">
        <f>'法人一覧(26)'!C79</f>
        <v>中小企業基盤整備機構</v>
      </c>
      <c r="D79" s="29">
        <v>448597302269</v>
      </c>
      <c r="E79" s="29">
        <f>901159764549+6411180805426+1784272865972+1396556250934</f>
        <v>10493169686881</v>
      </c>
      <c r="F79" s="29">
        <v>1065542169780</v>
      </c>
      <c r="G79" s="29">
        <v>46334407526</v>
      </c>
      <c r="H79" s="29">
        <v>0</v>
      </c>
      <c r="I79" s="29">
        <f t="shared" si="19"/>
        <v>417034927197</v>
      </c>
      <c r="J79" s="29">
        <v>12470678493653</v>
      </c>
      <c r="K79" s="29">
        <v>2043960239</v>
      </c>
      <c r="L79" s="29">
        <f>699647767+73229430023</f>
        <v>73929077790</v>
      </c>
      <c r="M79" s="29">
        <v>3261310680</v>
      </c>
      <c r="N79" s="29">
        <f>12694680534+176813833+8597910516574+954213325790+6974803231+80059157339</f>
        <v>9652029297301</v>
      </c>
      <c r="O79" s="29">
        <f t="shared" si="20"/>
        <v>1556896959636</v>
      </c>
      <c r="P79" s="29">
        <v>11288160605646</v>
      </c>
      <c r="Q79" s="29">
        <v>1105576024880</v>
      </c>
      <c r="R79" s="29">
        <v>1000000000</v>
      </c>
      <c r="S79" s="29">
        <v>-8660011491</v>
      </c>
      <c r="T79" s="29">
        <v>84601874618</v>
      </c>
      <c r="U79" s="29">
        <f t="shared" si="18"/>
        <v>0</v>
      </c>
      <c r="V79" s="29">
        <v>1182517888007</v>
      </c>
    </row>
    <row r="80" spans="1:22">
      <c r="A80" s="13">
        <f>'法人一覧(26)'!A80</f>
        <v>77</v>
      </c>
      <c r="B80" s="2" t="str">
        <f>'法人一覧(26)'!B80</f>
        <v>国土交通省</v>
      </c>
      <c r="C80" s="2" t="str">
        <f>'法人一覧(26)'!C80</f>
        <v>土木研究所</v>
      </c>
      <c r="D80" s="52">
        <v>2892923731</v>
      </c>
      <c r="E80" s="52">
        <v>0</v>
      </c>
      <c r="F80" s="52">
        <v>0</v>
      </c>
      <c r="G80" s="52">
        <v>31900172483</v>
      </c>
      <c r="H80" s="52">
        <v>0</v>
      </c>
      <c r="I80" s="52">
        <f t="shared" ref="I80:I97" si="21">J80-SUM(D80:H80)</f>
        <v>442895255</v>
      </c>
      <c r="J80" s="52">
        <v>35235991469</v>
      </c>
      <c r="K80" s="52">
        <v>652864205</v>
      </c>
      <c r="L80" s="52">
        <v>0</v>
      </c>
      <c r="M80" s="52">
        <v>0</v>
      </c>
      <c r="N80" s="52">
        <v>0</v>
      </c>
      <c r="O80" s="52">
        <f t="shared" ref="O80:O97" si="22">P80-SUM(K80:N80)</f>
        <v>4191027885</v>
      </c>
      <c r="P80" s="52">
        <v>4843892090</v>
      </c>
      <c r="Q80" s="52">
        <v>34993256864</v>
      </c>
      <c r="R80" s="52">
        <v>0</v>
      </c>
      <c r="S80" s="52">
        <v>-4682939014</v>
      </c>
      <c r="T80" s="52">
        <v>81781529</v>
      </c>
      <c r="U80" s="52">
        <f t="shared" si="18"/>
        <v>0</v>
      </c>
      <c r="V80" s="52">
        <v>30392099379</v>
      </c>
    </row>
    <row r="81" spans="1:22">
      <c r="A81" s="13">
        <f>'法人一覧(26)'!A81</f>
        <v>78</v>
      </c>
      <c r="B81" s="2" t="str">
        <f>'法人一覧(26)'!B81</f>
        <v>国土交通省</v>
      </c>
      <c r="C81" s="2" t="str">
        <f>'法人一覧(26)'!C81</f>
        <v>建築研究所</v>
      </c>
      <c r="D81" s="52">
        <v>551752279</v>
      </c>
      <c r="E81" s="52">
        <v>0</v>
      </c>
      <c r="F81" s="52">
        <v>0</v>
      </c>
      <c r="G81" s="52">
        <v>13267306603</v>
      </c>
      <c r="H81" s="52">
        <v>0</v>
      </c>
      <c r="I81" s="52">
        <f t="shared" si="21"/>
        <v>39819566</v>
      </c>
      <c r="J81" s="52">
        <v>13858878448</v>
      </c>
      <c r="K81" s="52">
        <v>77466493</v>
      </c>
      <c r="L81" s="52">
        <v>0</v>
      </c>
      <c r="M81" s="52">
        <v>0</v>
      </c>
      <c r="N81" s="52">
        <v>0</v>
      </c>
      <c r="O81" s="52">
        <f t="shared" si="22"/>
        <v>895239711</v>
      </c>
      <c r="P81" s="52">
        <v>972706204</v>
      </c>
      <c r="Q81" s="52">
        <v>20384390292</v>
      </c>
      <c r="R81" s="52">
        <v>0</v>
      </c>
      <c r="S81" s="52">
        <v>-7530612699</v>
      </c>
      <c r="T81" s="52">
        <v>32394651</v>
      </c>
      <c r="U81" s="52">
        <f t="shared" si="18"/>
        <v>0</v>
      </c>
      <c r="V81" s="52">
        <v>12886172244</v>
      </c>
    </row>
    <row r="82" spans="1:22">
      <c r="A82" s="13">
        <f>'法人一覧(26)'!A82</f>
        <v>79</v>
      </c>
      <c r="B82" s="2" t="str">
        <f>'法人一覧(26)'!B82</f>
        <v>国土交通省</v>
      </c>
      <c r="C82" s="2" t="str">
        <f>'法人一覧(26)'!C82</f>
        <v>交通安全環境研究所</v>
      </c>
      <c r="D82" s="29">
        <v>414552689</v>
      </c>
      <c r="E82" s="29">
        <v>0</v>
      </c>
      <c r="F82" s="29">
        <v>0</v>
      </c>
      <c r="G82" s="29">
        <v>14658478388</v>
      </c>
      <c r="H82" s="29">
        <v>0</v>
      </c>
      <c r="I82" s="29">
        <f t="shared" si="21"/>
        <v>689578070</v>
      </c>
      <c r="J82" s="29">
        <v>15762609147</v>
      </c>
      <c r="K82" s="29">
        <v>415672211</v>
      </c>
      <c r="L82" s="29">
        <v>0</v>
      </c>
      <c r="M82" s="29">
        <v>0</v>
      </c>
      <c r="N82" s="29">
        <v>24001380</v>
      </c>
      <c r="O82" s="29">
        <f t="shared" si="22"/>
        <v>2285666004</v>
      </c>
      <c r="P82" s="29">
        <v>2725339595</v>
      </c>
      <c r="Q82" s="29">
        <v>22624508415</v>
      </c>
      <c r="R82" s="29">
        <v>0</v>
      </c>
      <c r="S82" s="29">
        <v>-9946965494</v>
      </c>
      <c r="T82" s="29">
        <v>359726631</v>
      </c>
      <c r="U82" s="29">
        <f t="shared" si="18"/>
        <v>0</v>
      </c>
      <c r="V82" s="29">
        <v>13037269552</v>
      </c>
    </row>
    <row r="83" spans="1:22">
      <c r="A83" s="13">
        <f>'法人一覧(26)'!A83</f>
        <v>80</v>
      </c>
      <c r="B83" s="2" t="str">
        <f>'法人一覧(26)'!B83</f>
        <v>国土交通省</v>
      </c>
      <c r="C83" s="2" t="str">
        <f>'法人一覧(26)'!C83</f>
        <v>海上技術安全研究所</v>
      </c>
      <c r="D83" s="29">
        <v>771908330</v>
      </c>
      <c r="E83" s="29">
        <v>0</v>
      </c>
      <c r="F83" s="29">
        <v>0</v>
      </c>
      <c r="G83" s="29">
        <v>33704077773</v>
      </c>
      <c r="H83" s="29">
        <v>675713</v>
      </c>
      <c r="I83" s="29">
        <f t="shared" si="21"/>
        <v>1158469092</v>
      </c>
      <c r="J83" s="29">
        <v>35635130908</v>
      </c>
      <c r="K83" s="29">
        <v>203465633</v>
      </c>
      <c r="L83" s="29">
        <v>0</v>
      </c>
      <c r="M83" s="29">
        <v>0</v>
      </c>
      <c r="N83" s="29">
        <v>0</v>
      </c>
      <c r="O83" s="29">
        <f t="shared" si="22"/>
        <v>2382813603</v>
      </c>
      <c r="P83" s="29">
        <v>2586279236</v>
      </c>
      <c r="Q83" s="29">
        <v>38352096781</v>
      </c>
      <c r="R83" s="29">
        <v>0</v>
      </c>
      <c r="S83" s="29">
        <v>-5906795229</v>
      </c>
      <c r="T83" s="29">
        <v>603550120</v>
      </c>
      <c r="U83" s="29">
        <f t="shared" si="18"/>
        <v>0</v>
      </c>
      <c r="V83" s="29">
        <v>33048851672</v>
      </c>
    </row>
    <row r="84" spans="1:22">
      <c r="A84" s="13">
        <f>'法人一覧(26)'!A84</f>
        <v>81</v>
      </c>
      <c r="B84" s="2" t="str">
        <f>'法人一覧(26)'!B84</f>
        <v>国土交通省</v>
      </c>
      <c r="C84" s="2" t="str">
        <f>'法人一覧(26)'!C84</f>
        <v>港湾空港技術研究所</v>
      </c>
      <c r="D84" s="65">
        <v>971581254</v>
      </c>
      <c r="E84" s="65">
        <v>0</v>
      </c>
      <c r="F84" s="65">
        <v>0</v>
      </c>
      <c r="G84" s="65">
        <v>11929286758</v>
      </c>
      <c r="H84" s="65">
        <v>0</v>
      </c>
      <c r="I84" s="65">
        <f t="shared" si="21"/>
        <v>131161582</v>
      </c>
      <c r="J84" s="65">
        <v>13032029594</v>
      </c>
      <c r="K84" s="65">
        <v>141273096</v>
      </c>
      <c r="L84" s="65">
        <v>0</v>
      </c>
      <c r="M84" s="65">
        <v>0</v>
      </c>
      <c r="N84" s="65">
        <v>27863474</v>
      </c>
      <c r="O84" s="65">
        <f t="shared" si="22"/>
        <v>1182517702</v>
      </c>
      <c r="P84" s="65">
        <v>1351654272</v>
      </c>
      <c r="Q84" s="65">
        <v>14052883551</v>
      </c>
      <c r="R84" s="65">
        <v>0</v>
      </c>
      <c r="S84" s="65">
        <v>-2810069836</v>
      </c>
      <c r="T84" s="65">
        <v>437561607</v>
      </c>
      <c r="U84" s="65">
        <f t="shared" si="18"/>
        <v>0</v>
      </c>
      <c r="V84" s="65">
        <v>11680375322</v>
      </c>
    </row>
    <row r="85" spans="1:22">
      <c r="A85" s="13">
        <f>'法人一覧(26)'!A85</f>
        <v>82</v>
      </c>
      <c r="B85" s="2" t="str">
        <f>'法人一覧(26)'!B85</f>
        <v>国土交通省</v>
      </c>
      <c r="C85" s="2" t="str">
        <f>'法人一覧(26)'!C85</f>
        <v>電子航法研究所</v>
      </c>
      <c r="D85" s="29">
        <v>625613474</v>
      </c>
      <c r="E85" s="29">
        <v>0</v>
      </c>
      <c r="F85" s="29">
        <v>0</v>
      </c>
      <c r="G85" s="29">
        <v>5043444843</v>
      </c>
      <c r="H85" s="29">
        <v>0</v>
      </c>
      <c r="I85" s="29">
        <f t="shared" si="21"/>
        <v>71314479</v>
      </c>
      <c r="J85" s="29">
        <v>5740372796</v>
      </c>
      <c r="K85" s="29">
        <v>469694624</v>
      </c>
      <c r="L85" s="29">
        <v>0</v>
      </c>
      <c r="M85" s="29">
        <v>0</v>
      </c>
      <c r="N85" s="29">
        <v>0</v>
      </c>
      <c r="O85" s="29">
        <f t="shared" si="22"/>
        <v>988162498</v>
      </c>
      <c r="P85" s="29">
        <v>1457857122</v>
      </c>
      <c r="Q85" s="29">
        <v>4258412552</v>
      </c>
      <c r="R85" s="29">
        <v>0</v>
      </c>
      <c r="S85" s="29">
        <v>10507678</v>
      </c>
      <c r="T85" s="29">
        <v>13595444</v>
      </c>
      <c r="U85" s="29">
        <f t="shared" si="18"/>
        <v>0</v>
      </c>
      <c r="V85" s="29">
        <v>4282515674</v>
      </c>
    </row>
    <row r="86" spans="1:22">
      <c r="A86" s="13">
        <f>'法人一覧(26)'!A86</f>
        <v>83</v>
      </c>
      <c r="B86" s="2" t="str">
        <f>'法人一覧(26)'!B86</f>
        <v>国土交通省</v>
      </c>
      <c r="C86" s="2" t="str">
        <f>'法人一覧(26)'!C86</f>
        <v>航海訓練所</v>
      </c>
      <c r="D86" s="52">
        <v>985880467</v>
      </c>
      <c r="E86" s="68">
        <v>0</v>
      </c>
      <c r="F86" s="68">
        <v>0</v>
      </c>
      <c r="G86" s="52">
        <v>6470867314</v>
      </c>
      <c r="H86" s="68">
        <v>8378</v>
      </c>
      <c r="I86" s="52">
        <f t="shared" si="21"/>
        <v>294495213</v>
      </c>
      <c r="J86" s="52">
        <v>7751251372</v>
      </c>
      <c r="K86" s="52">
        <v>349935519</v>
      </c>
      <c r="L86" s="68">
        <v>0</v>
      </c>
      <c r="M86" s="68">
        <v>0</v>
      </c>
      <c r="N86" s="68">
        <v>0</v>
      </c>
      <c r="O86" s="52">
        <f t="shared" si="22"/>
        <v>3999018419</v>
      </c>
      <c r="P86" s="52">
        <v>4348953938</v>
      </c>
      <c r="Q86" s="52">
        <v>4527304798</v>
      </c>
      <c r="R86" s="52">
        <v>0</v>
      </c>
      <c r="S86" s="52">
        <v>-1130392792</v>
      </c>
      <c r="T86" s="52">
        <v>5385428</v>
      </c>
      <c r="U86" s="52">
        <f t="shared" si="18"/>
        <v>0</v>
      </c>
      <c r="V86" s="52">
        <v>3402297434</v>
      </c>
    </row>
    <row r="87" spans="1:22">
      <c r="A87" s="13">
        <f>'法人一覧(26)'!A87</f>
        <v>84</v>
      </c>
      <c r="B87" s="2" t="str">
        <f>'法人一覧(26)'!B87</f>
        <v>国土交通省</v>
      </c>
      <c r="C87" s="2" t="str">
        <f>'法人一覧(26)'!C87</f>
        <v>海技教育機構</v>
      </c>
      <c r="D87" s="52">
        <v>846583569</v>
      </c>
      <c r="E87" s="68">
        <v>0</v>
      </c>
      <c r="F87" s="68">
        <v>0</v>
      </c>
      <c r="G87" s="52">
        <v>11303937395</v>
      </c>
      <c r="H87" s="68">
        <v>0</v>
      </c>
      <c r="I87" s="52">
        <f t="shared" si="21"/>
        <v>25686392</v>
      </c>
      <c r="J87" s="52">
        <v>12176207356</v>
      </c>
      <c r="K87" s="52">
        <v>287610982</v>
      </c>
      <c r="L87" s="68">
        <v>0</v>
      </c>
      <c r="M87" s="68">
        <v>0</v>
      </c>
      <c r="N87" s="68">
        <v>0</v>
      </c>
      <c r="O87" s="52">
        <f t="shared" si="22"/>
        <v>1358789344</v>
      </c>
      <c r="P87" s="52">
        <v>1646400326</v>
      </c>
      <c r="Q87" s="52">
        <v>12720031987</v>
      </c>
      <c r="R87" s="52">
        <v>0</v>
      </c>
      <c r="S87" s="52">
        <v>-2204387084</v>
      </c>
      <c r="T87" s="52">
        <v>14162127</v>
      </c>
      <c r="U87" s="52">
        <f t="shared" si="18"/>
        <v>0</v>
      </c>
      <c r="V87" s="52">
        <v>10529807030</v>
      </c>
    </row>
    <row r="88" spans="1:22">
      <c r="A88" s="13">
        <f>'法人一覧(26)'!A88</f>
        <v>85</v>
      </c>
      <c r="B88" s="2" t="str">
        <f>'法人一覧(26)'!B88</f>
        <v>国土交通省</v>
      </c>
      <c r="C88" s="2" t="str">
        <f>'法人一覧(26)'!C88</f>
        <v>航空大学校</v>
      </c>
      <c r="D88" s="29">
        <v>634992863</v>
      </c>
      <c r="E88" s="29">
        <v>0</v>
      </c>
      <c r="F88" s="29">
        <v>0</v>
      </c>
      <c r="G88" s="29">
        <v>5613560655</v>
      </c>
      <c r="H88" s="29">
        <v>0</v>
      </c>
      <c r="I88" s="29">
        <f t="shared" ref="I88" si="23">J88-SUM(D88:H88)</f>
        <v>134417309</v>
      </c>
      <c r="J88" s="29">
        <v>6382970827</v>
      </c>
      <c r="K88" s="29">
        <v>434997126</v>
      </c>
      <c r="L88" s="29">
        <v>0</v>
      </c>
      <c r="M88" s="29">
        <v>0</v>
      </c>
      <c r="N88" s="29">
        <v>0</v>
      </c>
      <c r="O88" s="29">
        <f t="shared" ref="O88" si="24">P88-SUM(K88:N88)</f>
        <v>1998733614</v>
      </c>
      <c r="P88" s="29">
        <v>2433730740</v>
      </c>
      <c r="Q88" s="29">
        <v>4915008081</v>
      </c>
      <c r="R88" s="29">
        <v>0</v>
      </c>
      <c r="S88" s="29">
        <v>-874229047</v>
      </c>
      <c r="T88" s="29">
        <v>-91538947</v>
      </c>
      <c r="U88" s="29">
        <f t="shared" si="18"/>
        <v>0</v>
      </c>
      <c r="V88" s="29">
        <v>3949240087</v>
      </c>
    </row>
    <row r="89" spans="1:22">
      <c r="A89" s="13">
        <f>'法人一覧(26)'!A89</f>
        <v>86</v>
      </c>
      <c r="B89" s="2" t="str">
        <f>'法人一覧(26)'!B89</f>
        <v>国土交通省</v>
      </c>
      <c r="C89" s="2" t="str">
        <f>'法人一覧(26)'!C89</f>
        <v>自動車検査</v>
      </c>
      <c r="D89" s="29">
        <v>4893253330</v>
      </c>
      <c r="E89" s="29">
        <v>0</v>
      </c>
      <c r="F89" s="29">
        <v>0</v>
      </c>
      <c r="G89" s="29">
        <v>22935974190</v>
      </c>
      <c r="H89" s="29">
        <v>0</v>
      </c>
      <c r="I89" s="29">
        <f t="shared" si="21"/>
        <v>253650976</v>
      </c>
      <c r="J89" s="29">
        <v>28082878496</v>
      </c>
      <c r="K89" s="29">
        <v>17955014</v>
      </c>
      <c r="L89" s="29">
        <v>0</v>
      </c>
      <c r="M89" s="29">
        <v>0</v>
      </c>
      <c r="N89" s="29">
        <f>415272546+1344494176</f>
        <v>1759766722</v>
      </c>
      <c r="O89" s="29">
        <f t="shared" si="22"/>
        <v>11282391808</v>
      </c>
      <c r="P89" s="29">
        <v>13060113544</v>
      </c>
      <c r="Q89" s="29">
        <v>12030976175</v>
      </c>
      <c r="R89" s="29">
        <v>0</v>
      </c>
      <c r="S89" s="29">
        <v>1206214170</v>
      </c>
      <c r="T89" s="29">
        <v>1785574607</v>
      </c>
      <c r="U89" s="29">
        <f t="shared" si="18"/>
        <v>0</v>
      </c>
      <c r="V89" s="29">
        <v>15022764952</v>
      </c>
    </row>
    <row r="90" spans="1:22">
      <c r="A90" s="13">
        <f>'法人一覧(26)'!A90</f>
        <v>87</v>
      </c>
      <c r="B90" s="2" t="str">
        <f>'法人一覧(26)'!B90</f>
        <v>国土交通省</v>
      </c>
      <c r="C90" s="2" t="str">
        <f>'法人一覧(26)'!C90</f>
        <v>鉄道建設・運輸施設整備支援機構</v>
      </c>
      <c r="D90" s="52">
        <v>52713103150</v>
      </c>
      <c r="E90" s="52">
        <f>56700935359+195801000000</f>
        <v>252501935359</v>
      </c>
      <c r="F90" s="52">
        <f>25235692000+22766000000+521181820450</f>
        <v>569183512450</v>
      </c>
      <c r="G90" s="52">
        <v>5835407685956</v>
      </c>
      <c r="H90" s="52">
        <v>0</v>
      </c>
      <c r="I90" s="52">
        <f t="shared" si="21"/>
        <v>3359479738865</v>
      </c>
      <c r="J90" s="52">
        <v>10069285975780</v>
      </c>
      <c r="K90" s="52">
        <v>44395199</v>
      </c>
      <c r="L90" s="52">
        <v>0</v>
      </c>
      <c r="M90" s="52">
        <f>171307000000+202000000000-13388+376131384000+1185000000000-360690+1002095434408</f>
        <v>2936533444330</v>
      </c>
      <c r="N90" s="52">
        <f>831001429+1014674391548+127567408397</f>
        <v>1143072801374</v>
      </c>
      <c r="O90" s="52">
        <f t="shared" si="22"/>
        <v>4508517691873</v>
      </c>
      <c r="P90" s="52">
        <v>8588168332776</v>
      </c>
      <c r="Q90" s="52">
        <v>115829543747</v>
      </c>
      <c r="R90" s="52">
        <v>0</v>
      </c>
      <c r="S90" s="52">
        <v>501301151558</v>
      </c>
      <c r="T90" s="52">
        <v>863986947699</v>
      </c>
      <c r="U90" s="52">
        <f t="shared" si="18"/>
        <v>0</v>
      </c>
      <c r="V90" s="52">
        <v>1481117643004</v>
      </c>
    </row>
    <row r="91" spans="1:22">
      <c r="A91" s="13">
        <f>'法人一覧(26)'!A91</f>
        <v>88</v>
      </c>
      <c r="B91" s="2" t="str">
        <f>'法人一覧(26)'!B91</f>
        <v>国土交通省</v>
      </c>
      <c r="C91" s="2" t="str">
        <f>'法人一覧(26)'!C91</f>
        <v>国際観光振興機構</v>
      </c>
      <c r="D91" s="29">
        <v>4467175232</v>
      </c>
      <c r="E91" s="29">
        <v>0</v>
      </c>
      <c r="F91" s="29">
        <v>0</v>
      </c>
      <c r="G91" s="29">
        <v>56022035</v>
      </c>
      <c r="H91" s="29">
        <v>0</v>
      </c>
      <c r="I91" s="29">
        <f t="shared" si="21"/>
        <v>217674527</v>
      </c>
      <c r="J91" s="29">
        <v>4740871794</v>
      </c>
      <c r="K91" s="29">
        <v>3843794806</v>
      </c>
      <c r="L91" s="29">
        <v>0</v>
      </c>
      <c r="M91" s="29">
        <v>0</v>
      </c>
      <c r="N91" s="29">
        <f>1415336+23557439</f>
        <v>24972775</v>
      </c>
      <c r="O91" s="29">
        <f t="shared" si="22"/>
        <v>359734038</v>
      </c>
      <c r="P91" s="29">
        <v>4228501619</v>
      </c>
      <c r="Q91" s="29">
        <v>958426354</v>
      </c>
      <c r="R91" s="29">
        <v>0</v>
      </c>
      <c r="S91" s="29">
        <v>-482140058</v>
      </c>
      <c r="T91" s="29">
        <v>36083879</v>
      </c>
      <c r="U91" s="29">
        <f t="shared" si="18"/>
        <v>0</v>
      </c>
      <c r="V91" s="29">
        <v>512370175</v>
      </c>
    </row>
    <row r="92" spans="1:22">
      <c r="A92" s="13">
        <f>'法人一覧(26)'!A92</f>
        <v>89</v>
      </c>
      <c r="B92" s="2" t="str">
        <f>'法人一覧(26)'!B92</f>
        <v>国土交通省</v>
      </c>
      <c r="C92" s="2" t="str">
        <f>'法人一覧(26)'!C92</f>
        <v>水資源機構</v>
      </c>
      <c r="D92" s="52">
        <v>8411522164</v>
      </c>
      <c r="E92" s="52">
        <f>90286463143+9854894053</f>
        <v>100141357196</v>
      </c>
      <c r="F92" s="52"/>
      <c r="G92" s="52">
        <f>2917603046389+10108850166</f>
        <v>2927711896555</v>
      </c>
      <c r="H92" s="52"/>
      <c r="I92" s="52">
        <f t="shared" si="21"/>
        <v>847387369594</v>
      </c>
      <c r="J92" s="52">
        <v>3883652145509</v>
      </c>
      <c r="K92" s="52"/>
      <c r="L92" s="52">
        <f>2046055228+173633789</f>
        <v>2219689017</v>
      </c>
      <c r="M92" s="52">
        <f>18000000000+46173843218+11700000000+390550742678</f>
        <v>466424585896</v>
      </c>
      <c r="N92" s="52">
        <v>42303263307</v>
      </c>
      <c r="O92" s="52">
        <f t="shared" si="22"/>
        <v>3283353035234</v>
      </c>
      <c r="P92" s="52">
        <v>3794300573454</v>
      </c>
      <c r="Q92" s="52">
        <v>7775058978</v>
      </c>
      <c r="R92" s="52"/>
      <c r="S92" s="52">
        <v>-1281231778</v>
      </c>
      <c r="T92" s="52">
        <v>82857744855</v>
      </c>
      <c r="U92" s="52">
        <f t="shared" si="18"/>
        <v>0</v>
      </c>
      <c r="V92" s="52">
        <v>89351572055</v>
      </c>
    </row>
    <row r="93" spans="1:22">
      <c r="A93" s="13">
        <f>'法人一覧(26)'!A93</f>
        <v>90</v>
      </c>
      <c r="B93" s="2" t="str">
        <f>'法人一覧(26)'!B93</f>
        <v>国土交通省</v>
      </c>
      <c r="C93" s="2" t="str">
        <f>'法人一覧(26)'!C93</f>
        <v>自動車事故対策機構</v>
      </c>
      <c r="D93" s="52">
        <v>1716975515</v>
      </c>
      <c r="E93" s="52">
        <v>2400000000</v>
      </c>
      <c r="F93" s="52">
        <v>6724476645</v>
      </c>
      <c r="G93" s="52">
        <v>9619902087</v>
      </c>
      <c r="H93" s="52">
        <v>0</v>
      </c>
      <c r="I93" s="52">
        <f t="shared" si="21"/>
        <v>898081690</v>
      </c>
      <c r="J93" s="52">
        <v>21359435937</v>
      </c>
      <c r="K93" s="52">
        <v>1766342355</v>
      </c>
      <c r="L93" s="52">
        <v>0</v>
      </c>
      <c r="M93" s="52">
        <f>7312000000+1256680000</f>
        <v>8568680000</v>
      </c>
      <c r="N93" s="52">
        <v>0</v>
      </c>
      <c r="O93" s="52">
        <f t="shared" si="22"/>
        <v>1748942985</v>
      </c>
      <c r="P93" s="52">
        <v>12083965340</v>
      </c>
      <c r="Q93" s="52">
        <v>13081869227</v>
      </c>
      <c r="R93" s="52">
        <v>92216055</v>
      </c>
      <c r="S93" s="52">
        <v>-3856732696</v>
      </c>
      <c r="T93" s="52">
        <v>-41881989</v>
      </c>
      <c r="U93" s="52">
        <f t="shared" si="18"/>
        <v>0</v>
      </c>
      <c r="V93" s="52">
        <v>9275470597</v>
      </c>
    </row>
    <row r="94" spans="1:22">
      <c r="A94" s="13">
        <f>'法人一覧(26)'!A94</f>
        <v>91</v>
      </c>
      <c r="B94" s="2" t="str">
        <f>'法人一覧(26)'!B94</f>
        <v>国土交通省</v>
      </c>
      <c r="C94" s="2" t="str">
        <f>'法人一覧(26)'!C94</f>
        <v>空港周辺整備機構</v>
      </c>
      <c r="D94" s="52">
        <v>272842569</v>
      </c>
      <c r="E94" s="52">
        <v>1199995416</v>
      </c>
      <c r="F94" s="69" t="s">
        <v>311</v>
      </c>
      <c r="G94" s="52">
        <v>1650873181</v>
      </c>
      <c r="H94" s="69" t="s">
        <v>311</v>
      </c>
      <c r="I94" s="52">
        <f t="shared" si="21"/>
        <v>25573501</v>
      </c>
      <c r="J94" s="52">
        <v>3149284667</v>
      </c>
      <c r="K94" s="69" t="s">
        <v>311</v>
      </c>
      <c r="L94" s="52">
        <v>108120</v>
      </c>
      <c r="M94" s="52">
        <f>85872454+396534363</f>
        <v>482406817</v>
      </c>
      <c r="N94" s="52">
        <f>16667876+5665006</f>
        <v>22332882</v>
      </c>
      <c r="O94" s="52">
        <f t="shared" si="22"/>
        <v>1116405721</v>
      </c>
      <c r="P94" s="52">
        <v>1621253540</v>
      </c>
      <c r="Q94" s="52">
        <v>300000000</v>
      </c>
      <c r="R94" s="52">
        <v>100000000</v>
      </c>
      <c r="S94" s="69" t="s">
        <v>311</v>
      </c>
      <c r="T94" s="52">
        <v>1128031127</v>
      </c>
      <c r="U94" s="52">
        <f t="shared" si="18"/>
        <v>0</v>
      </c>
      <c r="V94" s="52">
        <v>1528031127</v>
      </c>
    </row>
    <row r="95" spans="1:22">
      <c r="A95" s="13">
        <f>'法人一覧(26)'!A95</f>
        <v>92</v>
      </c>
      <c r="B95" s="2" t="str">
        <f>'法人一覧(26)'!B95</f>
        <v>国土交通省</v>
      </c>
      <c r="C95" s="2" t="str">
        <f>'法人一覧(26)'!C95</f>
        <v>都市再生機構</v>
      </c>
      <c r="D95" s="29">
        <v>86216598483</v>
      </c>
      <c r="E95" s="29">
        <v>914000000</v>
      </c>
      <c r="F95" s="29">
        <v>7681479434</v>
      </c>
      <c r="G95" s="29">
        <v>12565605197792</v>
      </c>
      <c r="H95" s="29">
        <v>0</v>
      </c>
      <c r="I95" s="29">
        <f t="shared" si="21"/>
        <v>1150758997649</v>
      </c>
      <c r="J95" s="29">
        <v>13811176273358</v>
      </c>
      <c r="K95" s="29">
        <v>0</v>
      </c>
      <c r="L95" s="29">
        <v>0</v>
      </c>
      <c r="M95" s="29">
        <v>11986969281102</v>
      </c>
      <c r="N95" s="29">
        <v>104293155508</v>
      </c>
      <c r="O95" s="29">
        <f t="shared" si="22"/>
        <v>737253716551</v>
      </c>
      <c r="P95" s="29">
        <v>12828516153161</v>
      </c>
      <c r="Q95" s="29">
        <v>1059168624700</v>
      </c>
      <c r="R95" s="29">
        <v>2000326200</v>
      </c>
      <c r="S95" s="29">
        <v>38364466297</v>
      </c>
      <c r="T95" s="29">
        <v>-116873297000</v>
      </c>
      <c r="U95" s="29">
        <f t="shared" si="18"/>
        <v>0</v>
      </c>
      <c r="V95" s="29">
        <v>982660120197</v>
      </c>
    </row>
    <row r="96" spans="1:22">
      <c r="A96" s="13">
        <f>'法人一覧(26)'!A96</f>
        <v>93</v>
      </c>
      <c r="B96" s="2" t="str">
        <f>'法人一覧(26)'!B96</f>
        <v>国土交通省</v>
      </c>
      <c r="C96" s="2" t="str">
        <f>'法人一覧(26)'!C96</f>
        <v>奄美群島振興開発基金</v>
      </c>
      <c r="D96" s="65">
        <v>5321130414</v>
      </c>
      <c r="E96" s="65">
        <f>199966423+1499652402</f>
        <v>1699618825</v>
      </c>
      <c r="F96" s="65">
        <f>339018453+4172306790</f>
        <v>4511325243</v>
      </c>
      <c r="G96" s="65">
        <v>84509839</v>
      </c>
      <c r="H96" s="65">
        <v>0</v>
      </c>
      <c r="I96" s="65">
        <f t="shared" ref="I96" si="25">J96-SUM(D96:H96)</f>
        <v>4398246077</v>
      </c>
      <c r="J96" s="65">
        <v>16014830398</v>
      </c>
      <c r="K96" s="65">
        <v>0</v>
      </c>
      <c r="L96" s="65">
        <v>0</v>
      </c>
      <c r="M96" s="65">
        <v>14586927</v>
      </c>
      <c r="N96" s="65">
        <f>9925111+441115315</f>
        <v>451040426</v>
      </c>
      <c r="O96" s="65">
        <f t="shared" ref="O96" si="26">P96-SUM(K96:N96)</f>
        <v>3988943744</v>
      </c>
      <c r="P96" s="65">
        <v>4454571097</v>
      </c>
      <c r="Q96" s="65">
        <v>10801271430</v>
      </c>
      <c r="R96" s="65">
        <v>6638500000</v>
      </c>
      <c r="S96" s="52">
        <v>0</v>
      </c>
      <c r="T96" s="52">
        <v>-5879512129</v>
      </c>
      <c r="U96" s="65">
        <f t="shared" si="18"/>
        <v>0</v>
      </c>
      <c r="V96" s="65">
        <v>11560259301</v>
      </c>
    </row>
    <row r="97" spans="1:22">
      <c r="A97" s="13">
        <f>'法人一覧(26)'!A97</f>
        <v>94</v>
      </c>
      <c r="B97" s="2" t="str">
        <f>'法人一覧(26)'!B97</f>
        <v>国土交通省</v>
      </c>
      <c r="C97" s="2" t="str">
        <f>'法人一覧(26)'!C97</f>
        <v>日本高速道路保有・債務返済機構</v>
      </c>
      <c r="D97" s="52">
        <v>52180787014</v>
      </c>
      <c r="E97" s="52">
        <v>99900000000</v>
      </c>
      <c r="F97" s="52">
        <f>3687208285+171475789309</f>
        <v>175162997594</v>
      </c>
      <c r="G97" s="52">
        <v>39963068474801</v>
      </c>
      <c r="H97" s="52">
        <v>0</v>
      </c>
      <c r="I97" s="52">
        <f t="shared" si="21"/>
        <v>637185194925</v>
      </c>
      <c r="J97" s="52">
        <v>40927497454334</v>
      </c>
      <c r="K97" s="52">
        <v>0</v>
      </c>
      <c r="L97" s="52">
        <v>0</v>
      </c>
      <c r="M97" s="52">
        <f>2810692029900+452053103384+24811634730549+838585552321</f>
        <v>28912965416154</v>
      </c>
      <c r="N97" s="52">
        <f>56102347+17108550</f>
        <v>73210897</v>
      </c>
      <c r="O97" s="52">
        <f t="shared" si="22"/>
        <v>1714515617788</v>
      </c>
      <c r="P97" s="52">
        <v>30627554244839</v>
      </c>
      <c r="Q97" s="52">
        <v>4049092109745</v>
      </c>
      <c r="R97" s="52">
        <v>1484996433000</v>
      </c>
      <c r="S97" s="52">
        <v>843252195192</v>
      </c>
      <c r="T97" s="52">
        <v>3922602471558</v>
      </c>
      <c r="U97" s="52">
        <f t="shared" si="18"/>
        <v>0</v>
      </c>
      <c r="V97" s="52">
        <v>10299943209495</v>
      </c>
    </row>
    <row r="98" spans="1:22">
      <c r="A98" s="13">
        <f>'法人一覧(26)'!A98</f>
        <v>95</v>
      </c>
      <c r="B98" s="2" t="str">
        <f>'法人一覧(26)'!B98</f>
        <v>国土交通省</v>
      </c>
      <c r="C98" s="2" t="str">
        <f>'法人一覧(26)'!C98</f>
        <v>住宅金融支援機構</v>
      </c>
      <c r="D98" s="29">
        <v>359245457234</v>
      </c>
      <c r="E98" s="65">
        <f>766644064162+1846653375212</f>
        <v>2613297439374</v>
      </c>
      <c r="F98" s="29">
        <v>13240376683440</v>
      </c>
      <c r="G98" s="29">
        <v>32830320708</v>
      </c>
      <c r="H98" s="29">
        <v>0</v>
      </c>
      <c r="I98" s="29">
        <f t="shared" ref="I98" si="27">J98-SUM(D98:H98)</f>
        <v>12189535985775</v>
      </c>
      <c r="J98" s="29">
        <v>28435285886531</v>
      </c>
      <c r="K98" s="29">
        <v>0</v>
      </c>
      <c r="L98" s="29">
        <v>759625389571</v>
      </c>
      <c r="M98" s="29">
        <f>11076682670000+14351756153414</f>
        <v>25428438823414</v>
      </c>
      <c r="N98" s="29">
        <f>57083242525+594073658+12988337152+12747073300+1464464951</f>
        <v>84877191586</v>
      </c>
      <c r="O98" s="29">
        <f t="shared" ref="O98" si="28">P98-SUM(K98:N98)</f>
        <v>1021050279653</v>
      </c>
      <c r="P98" s="29">
        <v>27293991684224</v>
      </c>
      <c r="Q98" s="29">
        <v>711735290000</v>
      </c>
      <c r="R98" s="29">
        <v>0</v>
      </c>
      <c r="S98" s="29">
        <v>-257068849</v>
      </c>
      <c r="T98" s="29">
        <v>431317642574</v>
      </c>
      <c r="U98" s="29">
        <f t="shared" si="18"/>
        <v>-1501661418</v>
      </c>
      <c r="V98" s="29">
        <v>1141294202307</v>
      </c>
    </row>
    <row r="99" spans="1:22">
      <c r="A99" s="13">
        <f>'法人一覧(26)'!A99</f>
        <v>96</v>
      </c>
      <c r="B99" s="2" t="str">
        <f>'法人一覧(26)'!B99</f>
        <v>環境省</v>
      </c>
      <c r="C99" s="2" t="str">
        <f>'法人一覧(26)'!C99</f>
        <v>国立環境研究所</v>
      </c>
      <c r="D99" s="29">
        <v>6915581044</v>
      </c>
      <c r="E99" s="29">
        <v>0</v>
      </c>
      <c r="F99" s="29">
        <v>0</v>
      </c>
      <c r="G99" s="29">
        <v>33321842580</v>
      </c>
      <c r="H99" s="29">
        <v>0</v>
      </c>
      <c r="I99" s="29">
        <f t="shared" ref="I99" si="29">J99-SUM(D99:H99)</f>
        <v>4069020501</v>
      </c>
      <c r="J99" s="29">
        <v>44306444125</v>
      </c>
      <c r="K99" s="29">
        <v>4958167563</v>
      </c>
      <c r="L99" s="29">
        <v>101672</v>
      </c>
      <c r="M99" s="29">
        <v>0</v>
      </c>
      <c r="N99" s="29">
        <v>0</v>
      </c>
      <c r="O99" s="29">
        <f t="shared" ref="O99" si="30">P99-SUM(K99:N99)</f>
        <v>11945957700</v>
      </c>
      <c r="P99" s="29">
        <v>16904226935</v>
      </c>
      <c r="Q99" s="29">
        <v>38666145562</v>
      </c>
      <c r="R99" s="29">
        <v>0</v>
      </c>
      <c r="S99" s="29">
        <v>-11545924666</v>
      </c>
      <c r="T99" s="29">
        <v>281996294</v>
      </c>
      <c r="U99" s="29">
        <f t="shared" ref="U99" si="31">V99-SUM(Q99:T99)</f>
        <v>0</v>
      </c>
      <c r="V99" s="29">
        <v>27402217190</v>
      </c>
    </row>
    <row r="100" spans="1:22">
      <c r="A100" s="13">
        <f>'法人一覧(26)'!A100</f>
        <v>97</v>
      </c>
      <c r="B100" s="2" t="str">
        <f>'法人一覧(26)'!B100</f>
        <v>環境省</v>
      </c>
      <c r="C100" s="2" t="str">
        <f>'法人一覧(26)'!C100</f>
        <v>環境再生保全機構</v>
      </c>
      <c r="D100" s="29">
        <v>14484626563</v>
      </c>
      <c r="E100" s="29">
        <f>175377843521+73797542585</f>
        <v>249175386106</v>
      </c>
      <c r="F100" s="29">
        <v>2771308856</v>
      </c>
      <c r="G100" s="29">
        <v>91748742</v>
      </c>
      <c r="H100" s="29">
        <v>0</v>
      </c>
      <c r="I100" s="29">
        <f t="shared" ref="I100" si="32">J100-SUM(D100:H100)</f>
        <v>42545210224</v>
      </c>
      <c r="J100" s="29">
        <v>309068280491</v>
      </c>
      <c r="K100" s="29">
        <v>359989277</v>
      </c>
      <c r="L100" s="29">
        <f>100788127+69216562379+39315853382</f>
        <v>108633203888</v>
      </c>
      <c r="M100" s="29">
        <f>5000000000+4184613000+5000000000</f>
        <v>14184613000</v>
      </c>
      <c r="N100" s="29">
        <f>22828215+538716012+11047226942</f>
        <v>11608771169</v>
      </c>
      <c r="O100" s="29">
        <f t="shared" ref="O100" si="33">P100-SUM(K100:N100)</f>
        <v>94176755638</v>
      </c>
      <c r="P100" s="29">
        <v>228963332972</v>
      </c>
      <c r="Q100" s="29">
        <v>15954663260</v>
      </c>
      <c r="R100" s="29">
        <v>0</v>
      </c>
      <c r="S100" s="29">
        <v>43592303437</v>
      </c>
      <c r="T100" s="29">
        <v>20557980822</v>
      </c>
      <c r="U100" s="29">
        <f t="shared" ref="U100" si="34">V100-SUM(Q100:T100)</f>
        <v>0</v>
      </c>
      <c r="V100" s="29">
        <v>80104947519</v>
      </c>
    </row>
    <row r="101" spans="1:22" ht="13.8" thickBot="1">
      <c r="A101" s="13">
        <f>'法人一覧(26)'!A101</f>
        <v>98</v>
      </c>
      <c r="B101" s="2" t="str">
        <f>'法人一覧(26)'!B101</f>
        <v>防衛省</v>
      </c>
      <c r="C101" s="117" t="str">
        <f>'法人一覧(26)'!C101</f>
        <v>駐留軍等労働者労務管理機構</v>
      </c>
      <c r="D101" s="118">
        <v>945950393</v>
      </c>
      <c r="E101" s="118">
        <v>0</v>
      </c>
      <c r="F101" s="118">
        <v>0</v>
      </c>
      <c r="G101" s="118">
        <v>1080334132</v>
      </c>
      <c r="H101" s="118">
        <v>0</v>
      </c>
      <c r="I101" s="118">
        <f t="shared" ref="I101" si="35">J101-SUM(D101:H101)</f>
        <v>99842360</v>
      </c>
      <c r="J101" s="118">
        <v>2126126885</v>
      </c>
      <c r="K101" s="118">
        <v>0</v>
      </c>
      <c r="L101" s="118">
        <v>0</v>
      </c>
      <c r="M101" s="118">
        <v>0</v>
      </c>
      <c r="N101" s="118">
        <v>0</v>
      </c>
      <c r="O101" s="118">
        <f t="shared" ref="O101" si="36">P101-SUM(K101:N101)</f>
        <v>620568358</v>
      </c>
      <c r="P101" s="118">
        <v>620568358</v>
      </c>
      <c r="Q101" s="118">
        <v>848632502</v>
      </c>
      <c r="R101" s="118">
        <v>0</v>
      </c>
      <c r="S101" s="118">
        <v>-60731714</v>
      </c>
      <c r="T101" s="118">
        <v>717657739</v>
      </c>
      <c r="U101" s="118">
        <f t="shared" ref="U101" si="37">V101-SUM(Q101:T101)</f>
        <v>0</v>
      </c>
      <c r="V101" s="118">
        <v>1505558527</v>
      </c>
    </row>
    <row r="102" spans="1:22" s="37" customFormat="1" ht="21.6" customHeight="1" thickTop="1">
      <c r="A102" s="167" t="s">
        <v>584</v>
      </c>
      <c r="B102" s="168"/>
      <c r="C102" s="170"/>
      <c r="D102" s="115">
        <f>SUM(D4:D101)</f>
        <v>25155076980553</v>
      </c>
      <c r="E102" s="115">
        <f t="shared" ref="E102:V102" si="38">SUM(E4:E101)</f>
        <v>158463972241964</v>
      </c>
      <c r="F102" s="115">
        <f t="shared" si="38"/>
        <v>51808102714924</v>
      </c>
      <c r="G102" s="115">
        <f t="shared" si="38"/>
        <v>69391083511871</v>
      </c>
      <c r="H102" s="115">
        <f t="shared" si="38"/>
        <v>18423482057</v>
      </c>
      <c r="I102" s="115">
        <f t="shared" si="38"/>
        <v>21556825896538</v>
      </c>
      <c r="J102" s="115">
        <f t="shared" si="38"/>
        <v>326393484827907</v>
      </c>
      <c r="K102" s="115">
        <f t="shared" si="38"/>
        <v>252648915056</v>
      </c>
      <c r="L102" s="115">
        <f t="shared" si="38"/>
        <v>1509799479635</v>
      </c>
      <c r="M102" s="115">
        <f t="shared" si="38"/>
        <v>97925580815910</v>
      </c>
      <c r="N102" s="115">
        <f t="shared" si="38"/>
        <v>17335945584224</v>
      </c>
      <c r="O102" s="115">
        <f t="shared" si="38"/>
        <v>141221117127488</v>
      </c>
      <c r="P102" s="115">
        <f t="shared" si="38"/>
        <v>258245091922313</v>
      </c>
      <c r="Q102" s="115">
        <f t="shared" si="38"/>
        <v>23995260013317</v>
      </c>
      <c r="R102" s="115">
        <f t="shared" si="38"/>
        <v>1566594137224</v>
      </c>
      <c r="S102" s="115">
        <f t="shared" si="38"/>
        <v>1583004153784</v>
      </c>
      <c r="T102" s="115">
        <f t="shared" si="38"/>
        <v>41062856342431</v>
      </c>
      <c r="U102" s="115">
        <f t="shared" si="38"/>
        <v>-59321741162</v>
      </c>
      <c r="V102" s="115">
        <f t="shared" si="38"/>
        <v>68148392905594</v>
      </c>
    </row>
    <row r="104" spans="1:22" ht="13.2" customHeight="1">
      <c r="B104" s="163" t="s">
        <v>591</v>
      </c>
      <c r="C104" s="163"/>
      <c r="D104" s="163"/>
      <c r="E104" s="163"/>
      <c r="F104" s="163"/>
      <c r="G104" s="163"/>
      <c r="H104" s="163"/>
      <c r="I104" s="163"/>
      <c r="J104" s="163"/>
      <c r="K104" s="163"/>
      <c r="L104" s="163"/>
      <c r="M104" s="163"/>
      <c r="N104" s="163"/>
    </row>
    <row r="105" spans="1:22">
      <c r="B105" s="163"/>
      <c r="C105" s="163"/>
      <c r="D105" s="163"/>
      <c r="E105" s="163"/>
      <c r="F105" s="163"/>
      <c r="G105" s="163"/>
      <c r="H105" s="163"/>
      <c r="I105" s="163"/>
      <c r="J105" s="163"/>
      <c r="K105" s="163"/>
      <c r="L105" s="163"/>
      <c r="M105" s="163"/>
      <c r="N105" s="163"/>
    </row>
    <row r="106" spans="1:22">
      <c r="B106" s="163"/>
      <c r="C106" s="163"/>
      <c r="D106" s="163"/>
      <c r="E106" s="163"/>
      <c r="F106" s="163"/>
      <c r="G106" s="163"/>
      <c r="H106" s="163"/>
      <c r="I106" s="163"/>
      <c r="J106" s="163"/>
      <c r="K106" s="163"/>
      <c r="L106" s="163"/>
      <c r="M106" s="163"/>
      <c r="N106" s="163"/>
    </row>
    <row r="107" spans="1:22">
      <c r="B107" s="163"/>
      <c r="C107" s="163"/>
      <c r="D107" s="163"/>
      <c r="E107" s="163"/>
      <c r="F107" s="163"/>
      <c r="G107" s="163"/>
      <c r="H107" s="163"/>
      <c r="I107" s="163"/>
      <c r="J107" s="163"/>
      <c r="K107" s="163"/>
      <c r="L107" s="163"/>
      <c r="M107" s="163"/>
      <c r="N107" s="163"/>
    </row>
    <row r="108" spans="1:22">
      <c r="B108" s="163"/>
      <c r="C108" s="163"/>
      <c r="D108" s="163"/>
      <c r="E108" s="163"/>
      <c r="F108" s="163"/>
      <c r="G108" s="163"/>
      <c r="H108" s="163"/>
      <c r="I108" s="163"/>
      <c r="J108" s="163"/>
      <c r="K108" s="163"/>
      <c r="L108" s="163"/>
      <c r="M108" s="163"/>
      <c r="N108" s="163"/>
    </row>
  </sheetData>
  <mergeCells count="8">
    <mergeCell ref="B104:N108"/>
    <mergeCell ref="Q2:V2"/>
    <mergeCell ref="A2:A3"/>
    <mergeCell ref="B2:B3"/>
    <mergeCell ref="C2:C3"/>
    <mergeCell ref="D2:J2"/>
    <mergeCell ref="K2:P2"/>
    <mergeCell ref="A102:C102"/>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9"/>
  <sheetViews>
    <sheetView zoomScaleNormal="100" workbookViewId="0">
      <pane xSplit="3" ySplit="3" topLeftCell="N88" activePane="bottomRight" state="frozen"/>
      <selection activeCell="B2" sqref="B2:B3"/>
      <selection pane="topRight" activeCell="B2" sqref="B2:B3"/>
      <selection pane="bottomLeft" activeCell="B2" sqref="B2:B3"/>
      <selection pane="bottomRight" activeCell="B107" sqref="B107:N109"/>
    </sheetView>
  </sheetViews>
  <sheetFormatPr defaultColWidth="8.88671875" defaultRowHeight="13.2"/>
  <cols>
    <col min="1" max="1" width="5" style="1" bestFit="1" customWidth="1"/>
    <col min="2" max="2" width="18.88671875" style="1" customWidth="1"/>
    <col min="3" max="3" width="40.21875" style="1" customWidth="1"/>
    <col min="4" max="4" width="15.44140625" style="1" bestFit="1" customWidth="1"/>
    <col min="5" max="7" width="12" style="1" customWidth="1"/>
    <col min="8" max="8" width="15.44140625" style="1" bestFit="1" customWidth="1"/>
    <col min="9" max="9" width="13.5546875" style="1" customWidth="1"/>
    <col min="10" max="10" width="13.44140625" style="1" customWidth="1"/>
    <col min="11" max="13" width="12" style="1" customWidth="1"/>
    <col min="14" max="14" width="14.88671875" style="1" customWidth="1"/>
    <col min="15" max="16" width="15.44140625" style="1" bestFit="1" customWidth="1"/>
    <col min="17" max="19" width="12" style="1" customWidth="1"/>
    <col min="20" max="20" width="15.44140625" style="1" bestFit="1" customWidth="1"/>
    <col min="21" max="21" width="12" style="1" customWidth="1"/>
    <col min="22" max="22" width="14.33203125" style="1" customWidth="1"/>
    <col min="23" max="24" width="12.88671875" style="1" bestFit="1" customWidth="1"/>
    <col min="25" max="16384" width="8.88671875" style="1"/>
  </cols>
  <sheetData>
    <row r="1" spans="1:23" ht="19.95" customHeight="1">
      <c r="B1" s="144" t="s">
        <v>222</v>
      </c>
      <c r="V1" s="30" t="s">
        <v>204</v>
      </c>
    </row>
    <row r="2" spans="1:23" ht="13.2" customHeight="1">
      <c r="A2" s="161" t="s">
        <v>195</v>
      </c>
      <c r="B2" s="161" t="s">
        <v>0</v>
      </c>
      <c r="C2" s="161" t="s">
        <v>1</v>
      </c>
      <c r="D2" s="164" t="s">
        <v>33</v>
      </c>
      <c r="E2" s="165"/>
      <c r="F2" s="165"/>
      <c r="G2" s="165"/>
      <c r="H2" s="166"/>
      <c r="I2" s="175" t="s">
        <v>35</v>
      </c>
      <c r="J2" s="176"/>
      <c r="K2" s="176"/>
      <c r="L2" s="176"/>
      <c r="M2" s="176"/>
      <c r="N2" s="176"/>
      <c r="O2" s="177"/>
      <c r="P2" s="172" t="s">
        <v>248</v>
      </c>
      <c r="Q2" s="174" t="s">
        <v>38</v>
      </c>
      <c r="R2" s="174" t="s">
        <v>39</v>
      </c>
      <c r="S2" s="174" t="s">
        <v>40</v>
      </c>
      <c r="T2" s="172" t="s">
        <v>249</v>
      </c>
      <c r="U2" s="172" t="s">
        <v>437</v>
      </c>
      <c r="V2" s="172" t="s">
        <v>250</v>
      </c>
      <c r="W2" s="172" t="s">
        <v>247</v>
      </c>
    </row>
    <row r="3" spans="1:23" ht="17.399999999999999" customHeight="1">
      <c r="A3" s="162"/>
      <c r="B3" s="162"/>
      <c r="C3" s="162"/>
      <c r="D3" s="5" t="s">
        <v>34</v>
      </c>
      <c r="E3" s="5" t="s">
        <v>12</v>
      </c>
      <c r="F3" s="5" t="s">
        <v>215</v>
      </c>
      <c r="G3" s="5" t="s">
        <v>6</v>
      </c>
      <c r="H3" s="5" t="s">
        <v>210</v>
      </c>
      <c r="I3" s="5" t="s">
        <v>36</v>
      </c>
      <c r="J3" s="5" t="s">
        <v>211</v>
      </c>
      <c r="K3" s="5" t="s">
        <v>5</v>
      </c>
      <c r="L3" s="31" t="s">
        <v>213</v>
      </c>
      <c r="M3" s="31" t="s">
        <v>37</v>
      </c>
      <c r="N3" s="5" t="s">
        <v>212</v>
      </c>
      <c r="O3" s="5" t="s">
        <v>214</v>
      </c>
      <c r="P3" s="173"/>
      <c r="Q3" s="173"/>
      <c r="R3" s="173"/>
      <c r="S3" s="173"/>
      <c r="T3" s="173"/>
      <c r="U3" s="173"/>
      <c r="V3" s="173"/>
      <c r="W3" s="173"/>
    </row>
    <row r="4" spans="1:23">
      <c r="A4" s="14">
        <f>'法人一覧(25)'!A4</f>
        <v>1</v>
      </c>
      <c r="B4" s="2" t="str">
        <f>'法人一覧(25)'!B4</f>
        <v>内閣府</v>
      </c>
      <c r="C4" s="2" t="str">
        <f>'法人一覧(25)'!C4</f>
        <v>国立公文書館</v>
      </c>
      <c r="D4" s="29">
        <v>1657966866</v>
      </c>
      <c r="E4" s="29">
        <v>256986325</v>
      </c>
      <c r="F4" s="29">
        <v>13493222</v>
      </c>
      <c r="G4" s="29">
        <f>H4-SUM(D4:F4)</f>
        <v>0</v>
      </c>
      <c r="H4" s="29">
        <v>1928446413</v>
      </c>
      <c r="I4" s="29">
        <v>1890597798</v>
      </c>
      <c r="J4" s="29">
        <v>671901</v>
      </c>
      <c r="K4" s="29">
        <v>0</v>
      </c>
      <c r="L4" s="29">
        <v>25900428</v>
      </c>
      <c r="M4" s="29">
        <v>108427</v>
      </c>
      <c r="N4" s="29">
        <f>O4-SUM(I4:M4)</f>
        <v>23756101</v>
      </c>
      <c r="O4" s="29">
        <v>1941034655</v>
      </c>
      <c r="P4" s="29">
        <f t="shared" ref="P4:P5" si="0">O4-H4</f>
        <v>12588242</v>
      </c>
      <c r="Q4" s="29">
        <v>2600328</v>
      </c>
      <c r="R4" s="29">
        <v>0</v>
      </c>
      <c r="S4" s="29">
        <v>0</v>
      </c>
      <c r="T4" s="29">
        <f t="shared" ref="T4:T5" si="1">P4-Q4+R4-S4</f>
        <v>9987914</v>
      </c>
      <c r="U4" s="29">
        <v>0</v>
      </c>
      <c r="V4" s="29">
        <v>9987914</v>
      </c>
      <c r="W4" s="29">
        <v>23300100</v>
      </c>
    </row>
    <row r="5" spans="1:23">
      <c r="A5" s="14">
        <f>'法人一覧(25)'!A5</f>
        <v>2</v>
      </c>
      <c r="B5" s="2" t="str">
        <f>'法人一覧(25)'!B5</f>
        <v>内閣府</v>
      </c>
      <c r="C5" s="2" t="str">
        <f>'法人一覧(25)'!C5</f>
        <v>北方領土問題対策協会</v>
      </c>
      <c r="D5" s="29">
        <f>1062992794+72933317+21899940</f>
        <v>1157826051</v>
      </c>
      <c r="E5" s="29">
        <v>272844800</v>
      </c>
      <c r="F5" s="29">
        <v>55357428</v>
      </c>
      <c r="G5" s="29">
        <f t="shared" ref="G5" si="2">H5-SUM(D5:F5)</f>
        <v>0</v>
      </c>
      <c r="H5" s="29">
        <v>1486028279</v>
      </c>
      <c r="I5" s="29">
        <v>1207322119</v>
      </c>
      <c r="J5" s="29">
        <v>104089452</v>
      </c>
      <c r="K5" s="29">
        <v>73789633</v>
      </c>
      <c r="L5" s="29">
        <v>35836085</v>
      </c>
      <c r="M5" s="29">
        <v>355597</v>
      </c>
      <c r="N5" s="29">
        <f t="shared" ref="N5" si="3">O5-SUM(I5:M5)</f>
        <v>65965390</v>
      </c>
      <c r="O5" s="29">
        <v>1487358276</v>
      </c>
      <c r="P5" s="29">
        <f t="shared" si="0"/>
        <v>1329997</v>
      </c>
      <c r="Q5" s="29">
        <v>479981</v>
      </c>
      <c r="R5" s="29">
        <v>0</v>
      </c>
      <c r="S5" s="29">
        <v>0</v>
      </c>
      <c r="T5" s="29">
        <f t="shared" si="1"/>
        <v>850016</v>
      </c>
      <c r="U5" s="29">
        <v>0</v>
      </c>
      <c r="V5" s="29">
        <v>850016</v>
      </c>
      <c r="W5" s="29">
        <f>SUM(40144379,3008766)</f>
        <v>43153145</v>
      </c>
    </row>
    <row r="6" spans="1:23">
      <c r="A6" s="14">
        <f>'法人一覧(25)'!A6</f>
        <v>3</v>
      </c>
      <c r="B6" s="2" t="str">
        <f>'法人一覧(25)'!B6</f>
        <v>消費者庁</v>
      </c>
      <c r="C6" s="2" t="str">
        <f>'法人一覧(25)'!C6</f>
        <v>国民生活センター</v>
      </c>
      <c r="D6" s="29">
        <v>2479405132</v>
      </c>
      <c r="E6" s="29">
        <v>412540427</v>
      </c>
      <c r="F6" s="29">
        <v>4356554</v>
      </c>
      <c r="G6" s="29">
        <f t="shared" ref="G6:G67" si="4">H6-SUM(D6:F6)</f>
        <v>0</v>
      </c>
      <c r="H6" s="29">
        <v>2896302113</v>
      </c>
      <c r="I6" s="29">
        <v>2593947259</v>
      </c>
      <c r="J6" s="29">
        <v>0</v>
      </c>
      <c r="K6" s="29">
        <v>0</v>
      </c>
      <c r="L6" s="29">
        <v>215925564</v>
      </c>
      <c r="M6" s="29">
        <v>320741</v>
      </c>
      <c r="N6" s="29">
        <f t="shared" ref="N6:N68" si="5">O6-SUM(I6:M6)</f>
        <v>88628025</v>
      </c>
      <c r="O6" s="29">
        <v>2898821589</v>
      </c>
      <c r="P6" s="29">
        <f t="shared" ref="P6:P68" si="6">O6-H6</f>
        <v>2519476</v>
      </c>
      <c r="Q6" s="29">
        <v>360272</v>
      </c>
      <c r="R6" s="29">
        <v>21700</v>
      </c>
      <c r="S6" s="29">
        <v>0</v>
      </c>
      <c r="T6" s="29">
        <f t="shared" ref="T6:T68" si="7">P6-Q6+R6-S6</f>
        <v>2180904</v>
      </c>
      <c r="U6" s="29">
        <v>0</v>
      </c>
      <c r="V6" s="29">
        <v>2180904</v>
      </c>
      <c r="W6" s="29">
        <f>367707276</f>
        <v>367707276</v>
      </c>
    </row>
    <row r="7" spans="1:23">
      <c r="A7" s="14">
        <f>'法人一覧(25)'!A7</f>
        <v>4</v>
      </c>
      <c r="B7" s="2" t="str">
        <f>'法人一覧(25)'!B7</f>
        <v>総務省</v>
      </c>
      <c r="C7" s="2" t="str">
        <f>'法人一覧(25)'!C7</f>
        <v>情報通信研究機構</v>
      </c>
      <c r="D7" s="52">
        <f>27238248458+565568346+48675897+6177254593+610306928</f>
        <v>34640054222</v>
      </c>
      <c r="E7" s="52">
        <v>2167146808</v>
      </c>
      <c r="F7" s="52">
        <v>7614255</v>
      </c>
      <c r="G7" s="52">
        <f t="shared" ref="G7:G9" si="8">H7-SUM(D7:F7)</f>
        <v>6412023</v>
      </c>
      <c r="H7" s="52">
        <v>36821227308</v>
      </c>
      <c r="I7" s="52">
        <v>22877616003</v>
      </c>
      <c r="J7" s="52">
        <f>98501944+521945668</f>
        <v>620447612</v>
      </c>
      <c r="K7" s="52">
        <v>6769780892</v>
      </c>
      <c r="L7" s="52">
        <v>6038765145</v>
      </c>
      <c r="M7" s="52">
        <v>97970893</v>
      </c>
      <c r="N7" s="52">
        <f t="shared" ref="N7:N9" si="9">O7-SUM(I7:M7)</f>
        <v>489631584</v>
      </c>
      <c r="O7" s="52">
        <v>36894212129</v>
      </c>
      <c r="P7" s="52">
        <f t="shared" si="6"/>
        <v>72984821</v>
      </c>
      <c r="Q7" s="52">
        <v>75023015</v>
      </c>
      <c r="R7" s="52">
        <v>160081607</v>
      </c>
      <c r="S7" s="52">
        <v>24767236</v>
      </c>
      <c r="T7" s="52">
        <f t="shared" si="7"/>
        <v>133276177</v>
      </c>
      <c r="U7" s="52">
        <v>91672948</v>
      </c>
      <c r="V7" s="52">
        <v>224949125</v>
      </c>
      <c r="W7" s="52">
        <f>5193336527+1060028077</f>
        <v>6253364604</v>
      </c>
    </row>
    <row r="8" spans="1:23">
      <c r="A8" s="14">
        <f>'法人一覧(25)'!A8</f>
        <v>5</v>
      </c>
      <c r="B8" s="2" t="str">
        <f>'法人一覧(25)'!B8</f>
        <v>総務省</v>
      </c>
      <c r="C8" s="2" t="str">
        <f>'法人一覧(25)'!C8</f>
        <v>統計センター</v>
      </c>
      <c r="D8" s="52">
        <v>6995125188</v>
      </c>
      <c r="E8" s="52">
        <v>738655874</v>
      </c>
      <c r="F8" s="52">
        <v>15092520</v>
      </c>
      <c r="G8" s="52">
        <f t="shared" si="8"/>
        <v>5901530</v>
      </c>
      <c r="H8" s="52">
        <v>7754775112</v>
      </c>
      <c r="I8" s="52">
        <v>7223404023</v>
      </c>
      <c r="J8" s="52">
        <v>0</v>
      </c>
      <c r="K8" s="52">
        <v>22936749</v>
      </c>
      <c r="L8" s="52">
        <v>72316718</v>
      </c>
      <c r="M8" s="52">
        <v>95918</v>
      </c>
      <c r="N8" s="52">
        <f t="shared" si="9"/>
        <v>762354050</v>
      </c>
      <c r="O8" s="52">
        <v>8081107458</v>
      </c>
      <c r="P8" s="52">
        <f t="shared" si="6"/>
        <v>326332346</v>
      </c>
      <c r="Q8" s="52">
        <v>0</v>
      </c>
      <c r="R8" s="52">
        <v>0</v>
      </c>
      <c r="S8" s="52">
        <v>0</v>
      </c>
      <c r="T8" s="52">
        <f t="shared" si="7"/>
        <v>326332346</v>
      </c>
      <c r="U8" s="52">
        <v>165687083</v>
      </c>
      <c r="V8" s="52">
        <v>492019429</v>
      </c>
      <c r="W8" s="52">
        <f>45258938+77512874</f>
        <v>122771812</v>
      </c>
    </row>
    <row r="9" spans="1:23">
      <c r="A9" s="14">
        <f>'法人一覧(25)'!A9</f>
        <v>6</v>
      </c>
      <c r="B9" s="2" t="str">
        <f>'法人一覧(25)'!B9</f>
        <v>総務省</v>
      </c>
      <c r="C9" s="2" t="str">
        <f>'法人一覧(25)'!C9</f>
        <v>郵便貯金・簡易生命保険管理機構</v>
      </c>
      <c r="D9" s="52">
        <f>11646312430461+354109524704+14902376+651601523</f>
        <v>12001088459064</v>
      </c>
      <c r="E9" s="52">
        <v>242993893</v>
      </c>
      <c r="F9" s="52">
        <v>0</v>
      </c>
      <c r="G9" s="52">
        <f t="shared" si="8"/>
        <v>3229407045</v>
      </c>
      <c r="H9" s="52">
        <v>12004560860002</v>
      </c>
      <c r="I9" s="52">
        <v>0</v>
      </c>
      <c r="J9" s="52">
        <v>0</v>
      </c>
      <c r="K9" s="52">
        <v>0</v>
      </c>
      <c r="L9" s="52">
        <v>0</v>
      </c>
      <c r="M9" s="52">
        <v>0</v>
      </c>
      <c r="N9" s="52">
        <f t="shared" si="9"/>
        <v>12009924472538</v>
      </c>
      <c r="O9" s="52">
        <v>12009924472538</v>
      </c>
      <c r="P9" s="52">
        <f t="shared" si="6"/>
        <v>5363612536</v>
      </c>
      <c r="Q9" s="52">
        <v>0</v>
      </c>
      <c r="R9" s="52">
        <v>0</v>
      </c>
      <c r="S9" s="52">
        <v>0</v>
      </c>
      <c r="T9" s="52">
        <f t="shared" si="7"/>
        <v>5363612536</v>
      </c>
      <c r="U9" s="52">
        <v>2538253545</v>
      </c>
      <c r="V9" s="52">
        <v>7901866081</v>
      </c>
      <c r="W9" s="52">
        <f>9539157+7156806</f>
        <v>16695963</v>
      </c>
    </row>
    <row r="10" spans="1:23">
      <c r="A10" s="14">
        <f>'法人一覧(25)'!A10</f>
        <v>7</v>
      </c>
      <c r="B10" s="2" t="str">
        <f>'法人一覧(25)'!B10</f>
        <v>外務省</v>
      </c>
      <c r="C10" s="2" t="str">
        <f>'法人一覧(25)'!C10</f>
        <v>国際協力機構</v>
      </c>
      <c r="D10" s="29">
        <v>317901351330</v>
      </c>
      <c r="E10" s="29">
        <v>8675567930</v>
      </c>
      <c r="F10" s="29">
        <v>26765941</v>
      </c>
      <c r="G10" s="29">
        <f t="shared" si="4"/>
        <v>10965514</v>
      </c>
      <c r="H10" s="29">
        <v>326614650715</v>
      </c>
      <c r="I10" s="29">
        <v>143522553099</v>
      </c>
      <c r="J10" s="29">
        <v>108619524</v>
      </c>
      <c r="K10" s="29">
        <v>402699742</v>
      </c>
      <c r="L10" s="29">
        <f>459261545+33770221</f>
        <v>493031766</v>
      </c>
      <c r="M10" s="29">
        <v>48046703</v>
      </c>
      <c r="N10" s="29">
        <f t="shared" si="5"/>
        <v>305683794391</v>
      </c>
      <c r="O10" s="29">
        <v>450258745225</v>
      </c>
      <c r="P10" s="29">
        <f t="shared" si="6"/>
        <v>123644094510</v>
      </c>
      <c r="Q10" s="29">
        <v>32769565</v>
      </c>
      <c r="R10" s="29">
        <v>6721381</v>
      </c>
      <c r="S10" s="29">
        <v>0</v>
      </c>
      <c r="T10" s="29">
        <f t="shared" si="7"/>
        <v>123618046326</v>
      </c>
      <c r="U10" s="29">
        <v>3893508281</v>
      </c>
      <c r="V10" s="29">
        <v>127511554607</v>
      </c>
      <c r="W10" s="29">
        <v>433554077</v>
      </c>
    </row>
    <row r="11" spans="1:23">
      <c r="A11" s="14">
        <f>'法人一覧(25)'!A11</f>
        <v>8</v>
      </c>
      <c r="B11" s="2" t="str">
        <f>'法人一覧(25)'!B11</f>
        <v>外務省</v>
      </c>
      <c r="C11" s="2" t="str">
        <f>'法人一覧(25)'!C11</f>
        <v>国際交流基金</v>
      </c>
      <c r="D11" s="29">
        <f>2125102108+5183716914+3162716497+593669191+24425214+6818652+4245716843</f>
        <v>15342165419</v>
      </c>
      <c r="E11" s="29">
        <v>1132498650</v>
      </c>
      <c r="F11" s="29">
        <v>591379</v>
      </c>
      <c r="G11" s="29">
        <f t="shared" si="4"/>
        <v>0</v>
      </c>
      <c r="H11" s="29">
        <v>16475255448</v>
      </c>
      <c r="I11" s="29">
        <v>12362881858</v>
      </c>
      <c r="J11" s="29">
        <v>6818652</v>
      </c>
      <c r="K11" s="29">
        <v>988523876</v>
      </c>
      <c r="L11" s="29">
        <v>208105620</v>
      </c>
      <c r="M11" s="29">
        <v>825123</v>
      </c>
      <c r="N11" s="29">
        <f t="shared" si="5"/>
        <v>3671627968</v>
      </c>
      <c r="O11" s="29">
        <v>17238783097</v>
      </c>
      <c r="P11" s="29">
        <f t="shared" si="6"/>
        <v>763527649</v>
      </c>
      <c r="Q11" s="29">
        <v>18279971</v>
      </c>
      <c r="R11" s="29">
        <v>17220166</v>
      </c>
      <c r="S11" s="29">
        <v>0</v>
      </c>
      <c r="T11" s="29">
        <f t="shared" si="7"/>
        <v>762467844</v>
      </c>
      <c r="U11" s="29">
        <v>0</v>
      </c>
      <c r="V11" s="29">
        <v>762467844</v>
      </c>
      <c r="W11" s="29">
        <f>193576443+44890413</f>
        <v>238466856</v>
      </c>
    </row>
    <row r="12" spans="1:23">
      <c r="A12" s="14">
        <f>'法人一覧(25)'!A12</f>
        <v>9</v>
      </c>
      <c r="B12" s="2" t="str">
        <f>'法人一覧(25)'!B12</f>
        <v>財務省</v>
      </c>
      <c r="C12" s="2" t="str">
        <f>'法人一覧(25)'!C12</f>
        <v>酒類総合研究所</v>
      </c>
      <c r="D12" s="29">
        <v>785108880</v>
      </c>
      <c r="E12" s="29">
        <v>188070016</v>
      </c>
      <c r="F12" s="29">
        <v>0</v>
      </c>
      <c r="G12" s="29">
        <f t="shared" ref="G12:G14" si="10">H12-SUM(D12:F12)</f>
        <v>15881620</v>
      </c>
      <c r="H12" s="29">
        <v>989060516</v>
      </c>
      <c r="I12" s="29">
        <v>775344323</v>
      </c>
      <c r="J12" s="29">
        <v>0</v>
      </c>
      <c r="K12" s="29">
        <v>8714038</v>
      </c>
      <c r="L12" s="29">
        <v>146874576</v>
      </c>
      <c r="M12" s="29">
        <v>70453</v>
      </c>
      <c r="N12" s="29">
        <f t="shared" ref="N12:N14" si="11">O12-SUM(I12:M12)</f>
        <v>58361710</v>
      </c>
      <c r="O12" s="29">
        <v>989365100</v>
      </c>
      <c r="P12" s="29">
        <f t="shared" si="6"/>
        <v>304584</v>
      </c>
      <c r="Q12" s="29">
        <v>210507</v>
      </c>
      <c r="R12" s="29">
        <v>0</v>
      </c>
      <c r="S12" s="29">
        <v>0</v>
      </c>
      <c r="T12" s="29">
        <f t="shared" si="7"/>
        <v>94077</v>
      </c>
      <c r="U12" s="29">
        <v>53791</v>
      </c>
      <c r="V12" s="29">
        <v>147868</v>
      </c>
      <c r="W12" s="29">
        <f>115655235+3248567</f>
        <v>118903802</v>
      </c>
    </row>
    <row r="13" spans="1:23">
      <c r="A13" s="14">
        <f>'法人一覧(25)'!A13</f>
        <v>10</v>
      </c>
      <c r="B13" s="2" t="str">
        <f>'法人一覧(25)'!B13</f>
        <v>財務省</v>
      </c>
      <c r="C13" s="2" t="str">
        <f>'法人一覧(25)'!C13</f>
        <v>造幣局</v>
      </c>
      <c r="D13" s="29">
        <v>24613154233</v>
      </c>
      <c r="E13" s="29">
        <v>5409611133</v>
      </c>
      <c r="F13" s="29">
        <v>0</v>
      </c>
      <c r="G13" s="29">
        <f t="shared" si="10"/>
        <v>51805728</v>
      </c>
      <c r="H13" s="29">
        <f>24613154233+5409611133+51805728</f>
        <v>30074571094</v>
      </c>
      <c r="I13" s="29">
        <v>0</v>
      </c>
      <c r="J13" s="29">
        <v>0</v>
      </c>
      <c r="K13" s="29">
        <v>0</v>
      </c>
      <c r="L13" s="29">
        <f>85039241+58045929</f>
        <v>143085170</v>
      </c>
      <c r="M13" s="29">
        <v>0</v>
      </c>
      <c r="N13" s="29">
        <f t="shared" si="11"/>
        <v>30821601924</v>
      </c>
      <c r="O13" s="29">
        <f>30607667697+357019397</f>
        <v>30964687094</v>
      </c>
      <c r="P13" s="29">
        <f t="shared" si="6"/>
        <v>890116000</v>
      </c>
      <c r="Q13" s="29">
        <v>86367434</v>
      </c>
      <c r="R13" s="29">
        <v>899074</v>
      </c>
      <c r="S13" s="29">
        <v>0</v>
      </c>
      <c r="T13" s="29">
        <f t="shared" si="7"/>
        <v>804647640</v>
      </c>
      <c r="U13" s="29">
        <v>0</v>
      </c>
      <c r="V13" s="29">
        <v>804647640</v>
      </c>
      <c r="W13" s="29">
        <f>2618120257+53716915</f>
        <v>2671837172</v>
      </c>
    </row>
    <row r="14" spans="1:23">
      <c r="A14" s="14">
        <f>'法人一覧(25)'!A14</f>
        <v>11</v>
      </c>
      <c r="B14" s="2" t="str">
        <f>'法人一覧(25)'!B14</f>
        <v>財務省</v>
      </c>
      <c r="C14" s="2" t="str">
        <f>'法人一覧(25)'!C14</f>
        <v>国立印刷局</v>
      </c>
      <c r="D14" s="29">
        <v>50185208287</v>
      </c>
      <c r="E14" s="29">
        <v>8302205835</v>
      </c>
      <c r="F14" s="29">
        <v>0</v>
      </c>
      <c r="G14" s="29">
        <f t="shared" si="10"/>
        <v>292931798</v>
      </c>
      <c r="H14" s="29">
        <f>50185208287+8302205835+292931798</f>
        <v>58780345920</v>
      </c>
      <c r="I14" s="29">
        <v>0</v>
      </c>
      <c r="J14" s="29">
        <v>0</v>
      </c>
      <c r="K14" s="29">
        <v>0</v>
      </c>
      <c r="L14" s="29">
        <v>0</v>
      </c>
      <c r="M14" s="29">
        <v>0</v>
      </c>
      <c r="N14" s="29">
        <f t="shared" si="11"/>
        <v>66876628153</v>
      </c>
      <c r="O14" s="29">
        <f>66295584140+581044013</f>
        <v>66876628153</v>
      </c>
      <c r="P14" s="29">
        <f t="shared" si="6"/>
        <v>8096282233</v>
      </c>
      <c r="Q14" s="29">
        <v>971760707</v>
      </c>
      <c r="R14" s="29">
        <v>4630436</v>
      </c>
      <c r="S14" s="29">
        <v>0</v>
      </c>
      <c r="T14" s="29">
        <f t="shared" si="7"/>
        <v>7129151962</v>
      </c>
      <c r="U14" s="29">
        <v>0</v>
      </c>
      <c r="V14" s="29">
        <v>7129151962</v>
      </c>
      <c r="W14" s="29">
        <f>7398539883+687075031</f>
        <v>8085614914</v>
      </c>
    </row>
    <row r="15" spans="1:23">
      <c r="A15" s="14">
        <f>'法人一覧(25)'!A15</f>
        <v>12</v>
      </c>
      <c r="B15" s="2" t="str">
        <f>'法人一覧(25)'!B15</f>
        <v>財務省</v>
      </c>
      <c r="C15" s="2" t="str">
        <f>'法人一覧(25)'!C15</f>
        <v>日本万国博覧会記念機構</v>
      </c>
      <c r="D15" s="52">
        <v>2571615221</v>
      </c>
      <c r="E15" s="52">
        <v>303896436</v>
      </c>
      <c r="F15" s="52">
        <v>0</v>
      </c>
      <c r="G15" s="52">
        <f t="shared" ref="G15" si="12">H15-SUM(D15:F15)</f>
        <v>5399283</v>
      </c>
      <c r="H15" s="52">
        <v>2880910940</v>
      </c>
      <c r="I15" s="52">
        <v>0</v>
      </c>
      <c r="J15" s="52">
        <v>0</v>
      </c>
      <c r="K15" s="52">
        <v>0</v>
      </c>
      <c r="L15" s="52">
        <v>217773372</v>
      </c>
      <c r="M15" s="52">
        <v>340755222</v>
      </c>
      <c r="N15" s="52">
        <f t="shared" ref="N15" si="13">O15-SUM(I15:M15)</f>
        <v>2565130511</v>
      </c>
      <c r="O15" s="52">
        <v>3123659105</v>
      </c>
      <c r="P15" s="52">
        <f t="shared" si="6"/>
        <v>242748165</v>
      </c>
      <c r="Q15" s="52">
        <v>252497395</v>
      </c>
      <c r="R15" s="52">
        <v>1288182800</v>
      </c>
      <c r="S15" s="52">
        <v>0</v>
      </c>
      <c r="T15" s="52">
        <f t="shared" si="7"/>
        <v>1278433570</v>
      </c>
      <c r="U15" s="52">
        <v>0</v>
      </c>
      <c r="V15" s="52">
        <v>1278433570</v>
      </c>
      <c r="W15" s="65">
        <f>599486928+2829297</f>
        <v>602316225</v>
      </c>
    </row>
    <row r="16" spans="1:23">
      <c r="A16" s="14">
        <f>'法人一覧(25)'!A16</f>
        <v>13</v>
      </c>
      <c r="B16" s="2" t="str">
        <f>'法人一覧(25)'!B16</f>
        <v>文部科学省</v>
      </c>
      <c r="C16" s="2" t="str">
        <f>'法人一覧(25)'!C16</f>
        <v>国立特別支援教育総合研究所</v>
      </c>
      <c r="D16" s="52">
        <v>686902032</v>
      </c>
      <c r="E16" s="52">
        <v>235676921</v>
      </c>
      <c r="F16" s="52">
        <v>1794848</v>
      </c>
      <c r="G16" s="52">
        <f t="shared" ref="G16:G48" si="14">H16-SUM(D16:F16)</f>
        <v>0</v>
      </c>
      <c r="H16" s="52">
        <v>924373801</v>
      </c>
      <c r="I16" s="52">
        <v>882333733</v>
      </c>
      <c r="J16" s="52">
        <v>0</v>
      </c>
      <c r="K16" s="52">
        <v>0</v>
      </c>
      <c r="L16" s="52">
        <v>22436371</v>
      </c>
      <c r="M16" s="52">
        <v>0</v>
      </c>
      <c r="N16" s="52">
        <f t="shared" ref="N16:N57" si="15">O16-SUM(I16:M16)</f>
        <v>22896969</v>
      </c>
      <c r="O16" s="52">
        <v>927667073</v>
      </c>
      <c r="P16" s="52">
        <f t="shared" si="6"/>
        <v>3293272</v>
      </c>
      <c r="Q16" s="52">
        <v>65186</v>
      </c>
      <c r="R16" s="52">
        <v>0</v>
      </c>
      <c r="S16" s="52">
        <v>0</v>
      </c>
      <c r="T16" s="52">
        <f t="shared" si="7"/>
        <v>3228086</v>
      </c>
      <c r="U16" s="52">
        <v>0</v>
      </c>
      <c r="V16" s="52">
        <v>3228086</v>
      </c>
      <c r="W16" s="52">
        <f>38491260+2853853</f>
        <v>41345113</v>
      </c>
    </row>
    <row r="17" spans="1:23">
      <c r="A17" s="14">
        <f>'法人一覧(25)'!A17</f>
        <v>14</v>
      </c>
      <c r="B17" s="2" t="str">
        <f>'法人一覧(25)'!B17</f>
        <v>文部科学省</v>
      </c>
      <c r="C17" s="2" t="str">
        <f>'法人一覧(25)'!C17</f>
        <v>大学入試センター</v>
      </c>
      <c r="D17" s="52">
        <v>10600640982</v>
      </c>
      <c r="E17" s="52">
        <v>348857007</v>
      </c>
      <c r="F17" s="52">
        <v>0</v>
      </c>
      <c r="G17" s="52">
        <f t="shared" si="14"/>
        <v>0</v>
      </c>
      <c r="H17" s="52">
        <v>10949497989</v>
      </c>
      <c r="I17" s="52">
        <v>0</v>
      </c>
      <c r="J17" s="52">
        <v>0</v>
      </c>
      <c r="K17" s="52">
        <v>1689000</v>
      </c>
      <c r="L17" s="52">
        <v>66619793</v>
      </c>
      <c r="M17" s="52">
        <v>5647454</v>
      </c>
      <c r="N17" s="52">
        <f t="shared" si="15"/>
        <v>11199899951</v>
      </c>
      <c r="O17" s="52">
        <v>11273856198</v>
      </c>
      <c r="P17" s="52">
        <f t="shared" si="6"/>
        <v>324358209</v>
      </c>
      <c r="Q17" s="52">
        <v>36587041</v>
      </c>
      <c r="R17" s="52">
        <v>37995842</v>
      </c>
      <c r="S17" s="52">
        <v>0</v>
      </c>
      <c r="T17" s="52">
        <f t="shared" si="7"/>
        <v>325767010</v>
      </c>
      <c r="U17" s="52">
        <v>43503185</v>
      </c>
      <c r="V17" s="52">
        <v>369270195</v>
      </c>
      <c r="W17" s="52">
        <v>121349484</v>
      </c>
    </row>
    <row r="18" spans="1:23">
      <c r="A18" s="14">
        <f>'法人一覧(25)'!A18</f>
        <v>15</v>
      </c>
      <c r="B18" s="2" t="str">
        <f>'法人一覧(25)'!B18</f>
        <v>文部科学省</v>
      </c>
      <c r="C18" s="2" t="str">
        <f>'法人一覧(25)'!C18</f>
        <v>国立青少年教育振興機構</v>
      </c>
      <c r="D18" s="52">
        <v>7560032721</v>
      </c>
      <c r="E18" s="52">
        <v>3143543225</v>
      </c>
      <c r="F18" s="52">
        <v>5563327</v>
      </c>
      <c r="G18" s="52">
        <f t="shared" si="14"/>
        <v>0</v>
      </c>
      <c r="H18" s="52">
        <v>10709139273</v>
      </c>
      <c r="I18" s="52">
        <v>8575452225</v>
      </c>
      <c r="J18" s="52">
        <f>103640+233589764</f>
        <v>233693404</v>
      </c>
      <c r="K18" s="52">
        <v>84642089</v>
      </c>
      <c r="L18" s="52">
        <v>99175602</v>
      </c>
      <c r="M18" s="52">
        <v>2328</v>
      </c>
      <c r="N18" s="52">
        <f t="shared" si="15"/>
        <v>1716086909</v>
      </c>
      <c r="O18" s="52">
        <v>10709052557</v>
      </c>
      <c r="P18" s="52">
        <f t="shared" si="6"/>
        <v>-86716</v>
      </c>
      <c r="Q18" s="52">
        <v>0</v>
      </c>
      <c r="R18" s="52">
        <v>0</v>
      </c>
      <c r="S18" s="52">
        <v>0</v>
      </c>
      <c r="T18" s="52">
        <f t="shared" si="7"/>
        <v>-86716</v>
      </c>
      <c r="U18" s="52">
        <v>102880</v>
      </c>
      <c r="V18" s="52">
        <v>16164</v>
      </c>
      <c r="W18" s="52">
        <f>219732344+9518757</f>
        <v>229251101</v>
      </c>
    </row>
    <row r="19" spans="1:23">
      <c r="A19" s="14">
        <f>'法人一覧(25)'!A19</f>
        <v>16</v>
      </c>
      <c r="B19" s="2" t="str">
        <f>'法人一覧(25)'!B19</f>
        <v>文部科学省</v>
      </c>
      <c r="C19" s="2" t="str">
        <f>'法人一覧(25)'!C19</f>
        <v>国立女性教育会館</v>
      </c>
      <c r="D19" s="52">
        <f>377063133+42648202+85390266+5131356</f>
        <v>510232957</v>
      </c>
      <c r="E19" s="52">
        <v>124438972</v>
      </c>
      <c r="F19" s="52">
        <v>0</v>
      </c>
      <c r="G19" s="52">
        <f t="shared" si="14"/>
        <v>0</v>
      </c>
      <c r="H19" s="52">
        <v>634671929</v>
      </c>
      <c r="I19" s="52">
        <v>536993750</v>
      </c>
      <c r="J19" s="52">
        <v>0</v>
      </c>
      <c r="K19" s="52">
        <v>5131356</v>
      </c>
      <c r="L19" s="52">
        <v>9500879</v>
      </c>
      <c r="M19" s="52">
        <v>106</v>
      </c>
      <c r="N19" s="52">
        <f t="shared" si="15"/>
        <v>116300462</v>
      </c>
      <c r="O19" s="52">
        <v>667926553</v>
      </c>
      <c r="P19" s="52">
        <f t="shared" si="6"/>
        <v>33254624</v>
      </c>
      <c r="Q19" s="52">
        <v>0</v>
      </c>
      <c r="R19" s="52">
        <v>0</v>
      </c>
      <c r="S19" s="52">
        <v>0</v>
      </c>
      <c r="T19" s="52">
        <f t="shared" si="7"/>
        <v>33254624</v>
      </c>
      <c r="U19" s="52">
        <v>0</v>
      </c>
      <c r="V19" s="52">
        <v>33254624</v>
      </c>
      <c r="W19" s="52">
        <f>8949285+511014</f>
        <v>9460299</v>
      </c>
    </row>
    <row r="20" spans="1:23">
      <c r="A20" s="14">
        <f>'法人一覧(25)'!A20</f>
        <v>17</v>
      </c>
      <c r="B20" s="2" t="str">
        <f>'法人一覧(25)'!B20</f>
        <v>文部科学省</v>
      </c>
      <c r="C20" s="2" t="str">
        <f>'法人一覧(25)'!C20</f>
        <v>国立科学博物館</v>
      </c>
      <c r="D20" s="52">
        <f>3239789422+40989325</f>
        <v>3280778747</v>
      </c>
      <c r="E20" s="52">
        <v>529201445</v>
      </c>
      <c r="F20" s="52">
        <v>0</v>
      </c>
      <c r="G20" s="52">
        <f t="shared" si="14"/>
        <v>0</v>
      </c>
      <c r="H20" s="52">
        <v>3809980192</v>
      </c>
      <c r="I20" s="52">
        <v>2576843862</v>
      </c>
      <c r="J20" s="52">
        <f>26000000+420</f>
        <v>26000420</v>
      </c>
      <c r="K20" s="52">
        <v>41293475</v>
      </c>
      <c r="L20" s="52">
        <v>334071707</v>
      </c>
      <c r="M20" s="52">
        <v>237239</v>
      </c>
      <c r="N20" s="52">
        <f t="shared" si="15"/>
        <v>844685696</v>
      </c>
      <c r="O20" s="52">
        <v>3823132399</v>
      </c>
      <c r="P20" s="52">
        <f t="shared" si="6"/>
        <v>13152207</v>
      </c>
      <c r="Q20" s="52">
        <v>40348155</v>
      </c>
      <c r="R20" s="52">
        <v>40639184</v>
      </c>
      <c r="S20" s="52">
        <v>0</v>
      </c>
      <c r="T20" s="52">
        <f t="shared" si="7"/>
        <v>13443236</v>
      </c>
      <c r="U20" s="52">
        <v>0</v>
      </c>
      <c r="V20" s="52">
        <v>13443236</v>
      </c>
      <c r="W20" s="52">
        <f>322241640+51963133</f>
        <v>374204773</v>
      </c>
    </row>
    <row r="21" spans="1:23">
      <c r="A21" s="14">
        <f>'法人一覧(25)'!A21</f>
        <v>18</v>
      </c>
      <c r="B21" s="2" t="str">
        <f>'法人一覧(25)'!B21</f>
        <v>文部科学省</v>
      </c>
      <c r="C21" s="2" t="str">
        <f>'法人一覧(25)'!C21</f>
        <v>物質・材料研究機構</v>
      </c>
      <c r="D21" s="52">
        <v>18932811412</v>
      </c>
      <c r="E21" s="52">
        <v>2227670852</v>
      </c>
      <c r="F21" s="52">
        <v>29831072</v>
      </c>
      <c r="G21" s="52">
        <f t="shared" si="14"/>
        <v>0</v>
      </c>
      <c r="H21" s="52">
        <v>21190313336</v>
      </c>
      <c r="I21" s="52">
        <v>10631436059</v>
      </c>
      <c r="J21" s="52">
        <f>1425905196+324753338</f>
        <v>1750658534</v>
      </c>
      <c r="K21" s="52">
        <f>5193770756+2013988640</f>
        <v>7207759396</v>
      </c>
      <c r="L21" s="52">
        <f>2354529303+220287608+280525745+285471</f>
        <v>2855628127</v>
      </c>
      <c r="M21" s="52">
        <v>1111417</v>
      </c>
      <c r="N21" s="52">
        <f t="shared" si="15"/>
        <v>1767098341</v>
      </c>
      <c r="O21" s="52">
        <v>24213691874</v>
      </c>
      <c r="P21" s="52">
        <f t="shared" si="6"/>
        <v>3023378538</v>
      </c>
      <c r="Q21" s="52">
        <v>58177161</v>
      </c>
      <c r="R21" s="52">
        <v>42138976</v>
      </c>
      <c r="S21" s="52">
        <v>0</v>
      </c>
      <c r="T21" s="52">
        <f t="shared" si="7"/>
        <v>3007340353</v>
      </c>
      <c r="U21" s="52">
        <f>33821281+12837661</f>
        <v>46658942</v>
      </c>
      <c r="V21" s="52">
        <v>3053999295</v>
      </c>
      <c r="W21" s="52">
        <f>3417208054+161161397</f>
        <v>3578369451</v>
      </c>
    </row>
    <row r="22" spans="1:23">
      <c r="A22" s="14">
        <f>'法人一覧(25)'!A22</f>
        <v>19</v>
      </c>
      <c r="B22" s="2" t="str">
        <f>'法人一覧(25)'!B22</f>
        <v>文部科学省</v>
      </c>
      <c r="C22" s="2" t="str">
        <f>'法人一覧(25)'!C22</f>
        <v>防災科学技術研究所</v>
      </c>
      <c r="D22" s="52">
        <v>8333224424</v>
      </c>
      <c r="E22" s="52">
        <v>644871463</v>
      </c>
      <c r="F22" s="52">
        <v>4370840</v>
      </c>
      <c r="G22" s="52">
        <f t="shared" si="14"/>
        <v>3234159</v>
      </c>
      <c r="H22" s="52">
        <v>8985700886</v>
      </c>
      <c r="I22" s="52">
        <v>6372572761</v>
      </c>
      <c r="J22" s="52">
        <v>377361870</v>
      </c>
      <c r="K22" s="52">
        <f>112791835+450740931</f>
        <v>563532766</v>
      </c>
      <c r="L22" s="52">
        <v>849061281</v>
      </c>
      <c r="M22" s="52">
        <v>6618</v>
      </c>
      <c r="N22" s="52">
        <f t="shared" si="15"/>
        <v>823913111</v>
      </c>
      <c r="O22" s="52">
        <v>8986448407</v>
      </c>
      <c r="P22" s="52">
        <f t="shared" si="6"/>
        <v>747521</v>
      </c>
      <c r="Q22" s="52">
        <v>0</v>
      </c>
      <c r="R22" s="52">
        <v>0</v>
      </c>
      <c r="S22" s="52">
        <v>0</v>
      </c>
      <c r="T22" s="52">
        <f t="shared" si="7"/>
        <v>747521</v>
      </c>
      <c r="U22" s="52">
        <v>4061639</v>
      </c>
      <c r="V22" s="52">
        <v>4809160</v>
      </c>
      <c r="W22" s="52">
        <f>1015740115+4688921</f>
        <v>1020429036</v>
      </c>
    </row>
    <row r="23" spans="1:23">
      <c r="A23" s="14">
        <f>'法人一覧(25)'!A23</f>
        <v>20</v>
      </c>
      <c r="B23" s="2" t="str">
        <f>'法人一覧(25)'!B23</f>
        <v>文部科学省</v>
      </c>
      <c r="C23" s="2" t="str">
        <f>'法人一覧(25)'!C23</f>
        <v>放射線医学総合研究所</v>
      </c>
      <c r="D23" s="52">
        <v>13786004533</v>
      </c>
      <c r="E23" s="52">
        <v>705269223</v>
      </c>
      <c r="F23" s="52">
        <v>3430078</v>
      </c>
      <c r="G23" s="52">
        <f t="shared" si="14"/>
        <v>16738331</v>
      </c>
      <c r="H23" s="52">
        <v>14511442165</v>
      </c>
      <c r="I23" s="52">
        <v>8987027817</v>
      </c>
      <c r="J23" s="52">
        <v>96707072</v>
      </c>
      <c r="K23" s="52">
        <v>462031732</v>
      </c>
      <c r="L23" s="52">
        <v>1507203146</v>
      </c>
      <c r="M23" s="52">
        <v>0</v>
      </c>
      <c r="N23" s="52">
        <f t="shared" si="15"/>
        <v>3606569740</v>
      </c>
      <c r="O23" s="52">
        <v>14659539507</v>
      </c>
      <c r="P23" s="52">
        <f t="shared" si="6"/>
        <v>148097342</v>
      </c>
      <c r="Q23" s="52">
        <v>107000750</v>
      </c>
      <c r="R23" s="52">
        <v>107072675</v>
      </c>
      <c r="S23" s="52">
        <v>0</v>
      </c>
      <c r="T23" s="52">
        <f t="shared" si="7"/>
        <v>148169267</v>
      </c>
      <c r="U23" s="52">
        <v>4059501</v>
      </c>
      <c r="V23" s="52">
        <v>152228768</v>
      </c>
      <c r="W23" s="52">
        <f>2032499389+4513452</f>
        <v>2037012841</v>
      </c>
    </row>
    <row r="24" spans="1:23">
      <c r="A24" s="14">
        <f>'法人一覧(25)'!A24</f>
        <v>21</v>
      </c>
      <c r="B24" s="2" t="str">
        <f>'法人一覧(25)'!B24</f>
        <v>文部科学省</v>
      </c>
      <c r="C24" s="2" t="str">
        <f>'法人一覧(25)'!C24</f>
        <v>国立美術館</v>
      </c>
      <c r="D24" s="68">
        <f>398376113+1652897332+279755346+1049149994</f>
        <v>3380178785</v>
      </c>
      <c r="E24" s="68">
        <v>1666976931</v>
      </c>
      <c r="F24" s="68">
        <v>0</v>
      </c>
      <c r="G24" s="68">
        <f t="shared" si="14"/>
        <v>0</v>
      </c>
      <c r="H24" s="68">
        <v>5047155716</v>
      </c>
      <c r="I24" s="68">
        <v>3685549264</v>
      </c>
      <c r="J24" s="68">
        <v>72796759</v>
      </c>
      <c r="K24" s="68">
        <v>0</v>
      </c>
      <c r="L24" s="68">
        <f>137964484+3050475+10634581</f>
        <v>151649540</v>
      </c>
      <c r="M24" s="68">
        <v>403</v>
      </c>
      <c r="N24" s="68">
        <f t="shared" si="15"/>
        <v>1206612803</v>
      </c>
      <c r="O24" s="68">
        <v>5116608769</v>
      </c>
      <c r="P24" s="68">
        <f t="shared" si="6"/>
        <v>69453053</v>
      </c>
      <c r="Q24" s="68">
        <v>1655906</v>
      </c>
      <c r="R24" s="68">
        <v>0</v>
      </c>
      <c r="S24" s="68">
        <v>0</v>
      </c>
      <c r="T24" s="68">
        <f t="shared" si="7"/>
        <v>67797147</v>
      </c>
      <c r="U24" s="68">
        <v>1611792</v>
      </c>
      <c r="V24" s="68">
        <v>69408939</v>
      </c>
      <c r="W24" s="68">
        <f>148522101+3083325</f>
        <v>151605426</v>
      </c>
    </row>
    <row r="25" spans="1:23">
      <c r="A25" s="14">
        <f>'法人一覧(25)'!A25</f>
        <v>22</v>
      </c>
      <c r="B25" s="2" t="str">
        <f>'法人一覧(25)'!B25</f>
        <v>文部科学省</v>
      </c>
      <c r="C25" s="2" t="str">
        <f>'法人一覧(25)'!C25</f>
        <v>国立文化財機構</v>
      </c>
      <c r="D25" s="68">
        <v>7724344207</v>
      </c>
      <c r="E25" s="68">
        <v>1530661184</v>
      </c>
      <c r="F25" s="68">
        <v>988614</v>
      </c>
      <c r="G25" s="68">
        <f t="shared" si="14"/>
        <v>985323</v>
      </c>
      <c r="H25" s="68">
        <v>9256979328</v>
      </c>
      <c r="I25" s="68">
        <v>6404889197</v>
      </c>
      <c r="J25" s="68">
        <f>275372045+15079540</f>
        <v>290451585</v>
      </c>
      <c r="K25" s="68">
        <v>625371603</v>
      </c>
      <c r="L25" s="68">
        <v>560242602</v>
      </c>
      <c r="M25" s="68">
        <f>366374+6793</f>
        <v>373167</v>
      </c>
      <c r="N25" s="68">
        <f t="shared" si="15"/>
        <v>1399060034</v>
      </c>
      <c r="O25" s="68">
        <v>9280388188</v>
      </c>
      <c r="P25" s="68">
        <f t="shared" si="6"/>
        <v>23408860</v>
      </c>
      <c r="Q25" s="68">
        <v>24680252</v>
      </c>
      <c r="R25" s="68">
        <v>27222826</v>
      </c>
      <c r="S25" s="68">
        <v>0</v>
      </c>
      <c r="T25" s="68">
        <f t="shared" si="7"/>
        <v>25951434</v>
      </c>
      <c r="U25" s="68">
        <v>4736552</v>
      </c>
      <c r="V25" s="68">
        <v>30687986</v>
      </c>
      <c r="W25" s="68">
        <f>489493657+50553762</f>
        <v>540047419</v>
      </c>
    </row>
    <row r="26" spans="1:23">
      <c r="A26" s="14">
        <f>'法人一覧(25)'!A26</f>
        <v>23</v>
      </c>
      <c r="B26" s="2" t="str">
        <f>'法人一覧(25)'!B26</f>
        <v>文部科学省</v>
      </c>
      <c r="C26" s="2" t="str">
        <f>'法人一覧(25)'!C26</f>
        <v>教員研修センター</v>
      </c>
      <c r="D26" s="52">
        <v>690259351</v>
      </c>
      <c r="E26" s="52">
        <v>386373371</v>
      </c>
      <c r="F26" s="52">
        <v>0</v>
      </c>
      <c r="G26" s="52">
        <f t="shared" si="14"/>
        <v>1237974</v>
      </c>
      <c r="H26" s="52">
        <v>1077870696</v>
      </c>
      <c r="I26" s="52">
        <v>872899728</v>
      </c>
      <c r="J26" s="52">
        <v>0</v>
      </c>
      <c r="K26" s="52">
        <v>0</v>
      </c>
      <c r="L26" s="52">
        <v>51786389</v>
      </c>
      <c r="M26" s="52">
        <v>61974</v>
      </c>
      <c r="N26" s="52">
        <f t="shared" si="15"/>
        <v>152650647</v>
      </c>
      <c r="O26" s="52">
        <v>1077398738</v>
      </c>
      <c r="P26" s="52">
        <f t="shared" si="6"/>
        <v>-471958</v>
      </c>
      <c r="Q26" s="52">
        <v>174522</v>
      </c>
      <c r="R26" s="52">
        <v>1573482</v>
      </c>
      <c r="S26" s="52">
        <v>0</v>
      </c>
      <c r="T26" s="52">
        <f t="shared" si="7"/>
        <v>927002</v>
      </c>
      <c r="U26" s="52">
        <v>0</v>
      </c>
      <c r="V26" s="52">
        <v>927002</v>
      </c>
      <c r="W26" s="52">
        <f>52673437+8363904</f>
        <v>61037341</v>
      </c>
    </row>
    <row r="27" spans="1:23">
      <c r="A27" s="14">
        <f>'法人一覧(25)'!A27</f>
        <v>24</v>
      </c>
      <c r="B27" s="2" t="str">
        <f>'法人一覧(25)'!B27</f>
        <v>文部科学省</v>
      </c>
      <c r="C27" s="2" t="str">
        <f>'法人一覧(25)'!C27</f>
        <v>科学技術振興機構</v>
      </c>
      <c r="D27" s="52">
        <v>129724913414</v>
      </c>
      <c r="E27" s="52">
        <v>2637825711</v>
      </c>
      <c r="F27" s="52">
        <v>102359</v>
      </c>
      <c r="G27" s="52">
        <f t="shared" si="14"/>
        <v>0</v>
      </c>
      <c r="H27" s="52">
        <v>132362841484</v>
      </c>
      <c r="I27" s="52">
        <v>119060804230</v>
      </c>
      <c r="J27" s="52">
        <f>76507474+3773832328</f>
        <v>3850339802</v>
      </c>
      <c r="K27" s="52">
        <v>2646962349</v>
      </c>
      <c r="L27" s="52">
        <f>4060536971+705365776+9186448</f>
        <v>4775089195</v>
      </c>
      <c r="M27" s="52">
        <v>148338253</v>
      </c>
      <c r="N27" s="52">
        <f t="shared" si="15"/>
        <v>2964396190</v>
      </c>
      <c r="O27" s="52">
        <v>133445930019</v>
      </c>
      <c r="P27" s="52">
        <f t="shared" si="6"/>
        <v>1083088535</v>
      </c>
      <c r="Q27" s="52">
        <v>1857733541</v>
      </c>
      <c r="R27" s="52">
        <v>1300650540</v>
      </c>
      <c r="S27" s="52">
        <v>31384300</v>
      </c>
      <c r="T27" s="52">
        <f t="shared" si="7"/>
        <v>494621234</v>
      </c>
      <c r="U27" s="52">
        <v>495022</v>
      </c>
      <c r="V27" s="52">
        <v>495116256</v>
      </c>
      <c r="W27" s="52">
        <f>3791735147+1695855332</f>
        <v>5487590479</v>
      </c>
    </row>
    <row r="28" spans="1:23">
      <c r="A28" s="14">
        <f>'法人一覧(25)'!A28</f>
        <v>25</v>
      </c>
      <c r="B28" s="2" t="str">
        <f>'法人一覧(25)'!B28</f>
        <v>文部科学省</v>
      </c>
      <c r="C28" s="2" t="str">
        <f>'法人一覧(25)'!C28</f>
        <v>日本学術振興会</v>
      </c>
      <c r="D28" s="52">
        <v>294351289564</v>
      </c>
      <c r="E28" s="52">
        <v>1062956945</v>
      </c>
      <c r="F28" s="52">
        <v>133897</v>
      </c>
      <c r="G28" s="52">
        <f t="shared" si="14"/>
        <v>36103381</v>
      </c>
      <c r="H28" s="52">
        <v>295450483787</v>
      </c>
      <c r="I28" s="52">
        <v>29082123154</v>
      </c>
      <c r="J28" s="52">
        <v>265523355258</v>
      </c>
      <c r="K28" s="52">
        <v>164364340</v>
      </c>
      <c r="L28" s="52">
        <f>26534168+3577078</f>
        <v>30111246</v>
      </c>
      <c r="M28" s="52">
        <v>134042870</v>
      </c>
      <c r="N28" s="52">
        <f t="shared" si="15"/>
        <v>730783717</v>
      </c>
      <c r="O28" s="52">
        <v>295664780585</v>
      </c>
      <c r="P28" s="52">
        <f t="shared" si="6"/>
        <v>214296798</v>
      </c>
      <c r="Q28" s="52">
        <v>159274</v>
      </c>
      <c r="R28" s="52">
        <v>0</v>
      </c>
      <c r="S28" s="52">
        <v>70000</v>
      </c>
      <c r="T28" s="52">
        <f t="shared" si="7"/>
        <v>214067524</v>
      </c>
      <c r="U28" s="52">
        <v>64853807</v>
      </c>
      <c r="V28" s="52">
        <v>278921331</v>
      </c>
      <c r="W28" s="52">
        <f>30363062+0</f>
        <v>30363062</v>
      </c>
    </row>
    <row r="29" spans="1:23">
      <c r="A29" s="14">
        <f>'法人一覧(25)'!A29</f>
        <v>26</v>
      </c>
      <c r="B29" s="2" t="str">
        <f>'法人一覧(25)'!B29</f>
        <v>文部科学省</v>
      </c>
      <c r="C29" s="2" t="str">
        <f>'法人一覧(25)'!C29</f>
        <v>理化学研究所</v>
      </c>
      <c r="D29" s="52">
        <v>112222104634</v>
      </c>
      <c r="E29" s="52">
        <v>4264322178</v>
      </c>
      <c r="F29" s="52">
        <v>33676492</v>
      </c>
      <c r="G29" s="52">
        <f t="shared" si="14"/>
        <v>148636610</v>
      </c>
      <c r="H29" s="52">
        <v>116668739914</v>
      </c>
      <c r="I29" s="52">
        <v>47368961587</v>
      </c>
      <c r="J29" s="52">
        <f>20769224858+2047283478+1879655983</f>
        <v>24696164319</v>
      </c>
      <c r="K29" s="52">
        <f>6976044588+4271015928+1395948471</f>
        <v>12643008987</v>
      </c>
      <c r="L29" s="52">
        <f>7842350681+21711295838+1772331900</f>
        <v>31325978419</v>
      </c>
      <c r="M29" s="52">
        <v>5193566</v>
      </c>
      <c r="N29" s="52">
        <f t="shared" si="15"/>
        <v>921006507</v>
      </c>
      <c r="O29" s="52">
        <v>116960313385</v>
      </c>
      <c r="P29" s="52">
        <f t="shared" si="6"/>
        <v>291573471</v>
      </c>
      <c r="Q29" s="52">
        <v>203776035</v>
      </c>
      <c r="R29" s="52">
        <v>183343289</v>
      </c>
      <c r="S29" s="52">
        <v>28389500</v>
      </c>
      <c r="T29" s="52">
        <f t="shared" si="7"/>
        <v>242751225</v>
      </c>
      <c r="U29" s="52">
        <v>1219499771</v>
      </c>
      <c r="V29" s="52">
        <v>1462250996</v>
      </c>
      <c r="W29" s="52">
        <f>32966143358+275431361</f>
        <v>33241574719</v>
      </c>
    </row>
    <row r="30" spans="1:23">
      <c r="A30" s="14">
        <f>'法人一覧(25)'!A30</f>
        <v>27</v>
      </c>
      <c r="B30" s="2" t="str">
        <f>'法人一覧(25)'!B30</f>
        <v>文部科学省</v>
      </c>
      <c r="C30" s="2" t="str">
        <f>'法人一覧(25)'!C30</f>
        <v>宇宙航空研究開発機構</v>
      </c>
      <c r="D30" s="52">
        <f>173960883472+27242037634</f>
        <v>201202921106</v>
      </c>
      <c r="E30" s="52">
        <v>5914256826</v>
      </c>
      <c r="F30" s="52">
        <v>74301405</v>
      </c>
      <c r="G30" s="52">
        <f t="shared" si="14"/>
        <v>415800</v>
      </c>
      <c r="H30" s="52">
        <v>207191895137</v>
      </c>
      <c r="I30" s="52">
        <v>71693422387</v>
      </c>
      <c r="J30" s="52">
        <f>40165143270+566226364</f>
        <v>40731369634</v>
      </c>
      <c r="K30" s="52">
        <v>21428246218</v>
      </c>
      <c r="L30" s="52">
        <v>63132919353</v>
      </c>
      <c r="M30" s="52">
        <v>24297068</v>
      </c>
      <c r="N30" s="52">
        <f t="shared" si="15"/>
        <v>852083695</v>
      </c>
      <c r="O30" s="52">
        <v>197862338355</v>
      </c>
      <c r="P30" s="52">
        <f t="shared" si="6"/>
        <v>-9329556782</v>
      </c>
      <c r="Q30" s="52">
        <v>2484966908</v>
      </c>
      <c r="R30" s="52">
        <v>53677313</v>
      </c>
      <c r="S30" s="52">
        <v>24933700</v>
      </c>
      <c r="T30" s="52">
        <f t="shared" si="7"/>
        <v>-11785780077</v>
      </c>
      <c r="U30" s="52">
        <v>0</v>
      </c>
      <c r="V30" s="52">
        <v>-11785780077</v>
      </c>
      <c r="W30" s="52">
        <f>53964984001+1865003952</f>
        <v>55829987953</v>
      </c>
    </row>
    <row r="31" spans="1:23">
      <c r="A31" s="14">
        <f>'法人一覧(25)'!A31</f>
        <v>28</v>
      </c>
      <c r="B31" s="2" t="str">
        <f>'法人一覧(25)'!B31</f>
        <v>文部科学省</v>
      </c>
      <c r="C31" s="2" t="str">
        <f>'法人一覧(25)'!C31</f>
        <v>日本スポーツ振興センター</v>
      </c>
      <c r="D31" s="52">
        <v>127633839652</v>
      </c>
      <c r="E31" s="52">
        <v>883728825</v>
      </c>
      <c r="F31" s="52">
        <v>90425723</v>
      </c>
      <c r="G31" s="52">
        <f t="shared" si="14"/>
        <v>18072955</v>
      </c>
      <c r="H31" s="52">
        <v>128626067155</v>
      </c>
      <c r="I31" s="52">
        <v>4736414694</v>
      </c>
      <c r="J31" s="52">
        <f>2559463980+146097159</f>
        <v>2705561139</v>
      </c>
      <c r="K31" s="52">
        <v>1538323801</v>
      </c>
      <c r="L31" s="52">
        <v>910410523</v>
      </c>
      <c r="M31" s="52">
        <f>104651393</f>
        <v>104651393</v>
      </c>
      <c r="N31" s="52">
        <f t="shared" si="15"/>
        <v>130457679070</v>
      </c>
      <c r="O31" s="52">
        <v>140453040620</v>
      </c>
      <c r="P31" s="52">
        <f t="shared" si="6"/>
        <v>11826973465</v>
      </c>
      <c r="Q31" s="52">
        <v>25855439836</v>
      </c>
      <c r="R31" s="52">
        <v>14356077810</v>
      </c>
      <c r="S31" s="52">
        <v>0</v>
      </c>
      <c r="T31" s="52">
        <f t="shared" si="7"/>
        <v>327611439</v>
      </c>
      <c r="U31" s="52">
        <f>129349479+595431508</f>
        <v>724780987</v>
      </c>
      <c r="V31" s="52">
        <v>1052392426</v>
      </c>
      <c r="W31" s="52">
        <f>1656236578+618790883</f>
        <v>2275027461</v>
      </c>
    </row>
    <row r="32" spans="1:23">
      <c r="A32" s="14">
        <f>'法人一覧(25)'!A32</f>
        <v>29</v>
      </c>
      <c r="B32" s="2" t="str">
        <f>'法人一覧(25)'!B32</f>
        <v>文部科学省</v>
      </c>
      <c r="C32" s="2" t="str">
        <f>'法人一覧(25)'!C32</f>
        <v>日本芸術文化振興会</v>
      </c>
      <c r="D32" s="52">
        <f>7125786983+4260628273+5025907017</f>
        <v>16412322273</v>
      </c>
      <c r="E32" s="52">
        <v>1014143976</v>
      </c>
      <c r="F32" s="52">
        <v>14023451</v>
      </c>
      <c r="G32" s="52">
        <f t="shared" si="14"/>
        <v>4636006</v>
      </c>
      <c r="H32" s="52">
        <v>17445125706</v>
      </c>
      <c r="I32" s="52">
        <v>8840367711</v>
      </c>
      <c r="J32" s="52">
        <f>3696700632+22255181</f>
        <v>3718955813</v>
      </c>
      <c r="K32" s="52">
        <v>6900000</v>
      </c>
      <c r="L32" s="52">
        <v>715418816</v>
      </c>
      <c r="M32" s="52">
        <v>181164478</v>
      </c>
      <c r="N32" s="52">
        <f t="shared" si="15"/>
        <v>4432140865</v>
      </c>
      <c r="O32" s="52">
        <v>17894947683</v>
      </c>
      <c r="P32" s="52">
        <f t="shared" si="6"/>
        <v>449821977</v>
      </c>
      <c r="Q32" s="52">
        <v>1760483</v>
      </c>
      <c r="R32" s="52">
        <v>2674326</v>
      </c>
      <c r="S32" s="52">
        <v>190000</v>
      </c>
      <c r="T32" s="52">
        <f t="shared" si="7"/>
        <v>450545820</v>
      </c>
      <c r="U32" s="52">
        <v>0</v>
      </c>
      <c r="V32" s="52">
        <v>450545820</v>
      </c>
      <c r="W32" s="52">
        <f>962444198+107133904</f>
        <v>1069578102</v>
      </c>
    </row>
    <row r="33" spans="1:23">
      <c r="A33" s="14">
        <f>'法人一覧(25)'!A33</f>
        <v>30</v>
      </c>
      <c r="B33" s="2" t="str">
        <f>'法人一覧(25)'!B33</f>
        <v>文部科学省</v>
      </c>
      <c r="C33" s="2" t="str">
        <f>'法人一覧(25)'!C33</f>
        <v>日本学生支援機構</v>
      </c>
      <c r="D33" s="52">
        <v>104810523344</v>
      </c>
      <c r="E33" s="52">
        <v>2170603276</v>
      </c>
      <c r="F33" s="52">
        <v>0</v>
      </c>
      <c r="G33" s="52">
        <f t="shared" si="14"/>
        <v>0</v>
      </c>
      <c r="H33" s="52">
        <v>106981126620</v>
      </c>
      <c r="I33" s="52">
        <v>12667863872</v>
      </c>
      <c r="J33" s="52">
        <v>22462438203</v>
      </c>
      <c r="K33" s="52">
        <v>9518129</v>
      </c>
      <c r="L33" s="52">
        <v>688941164</v>
      </c>
      <c r="M33" s="52">
        <v>347499054</v>
      </c>
      <c r="N33" s="52">
        <f t="shared" si="15"/>
        <v>75950186295</v>
      </c>
      <c r="O33" s="52">
        <v>112126446717</v>
      </c>
      <c r="P33" s="52">
        <f t="shared" si="6"/>
        <v>5145320097</v>
      </c>
      <c r="Q33" s="52">
        <v>4380</v>
      </c>
      <c r="R33" s="52">
        <v>466045073</v>
      </c>
      <c r="S33" s="52">
        <v>0</v>
      </c>
      <c r="T33" s="52">
        <f t="shared" si="7"/>
        <v>5611360790</v>
      </c>
      <c r="U33" s="52">
        <v>0</v>
      </c>
      <c r="V33" s="52">
        <v>5611360790</v>
      </c>
      <c r="W33" s="52">
        <f>609560847+603429956</f>
        <v>1212990803</v>
      </c>
    </row>
    <row r="34" spans="1:23">
      <c r="A34" s="14">
        <f>'法人一覧(25)'!A34</f>
        <v>31</v>
      </c>
      <c r="B34" s="2" t="str">
        <f>'法人一覧(25)'!B34</f>
        <v>文部科学省</v>
      </c>
      <c r="C34" s="2" t="str">
        <f>'法人一覧(25)'!C34</f>
        <v>海洋研究開発機構</v>
      </c>
      <c r="D34" s="52">
        <v>50057558470</v>
      </c>
      <c r="E34" s="52">
        <v>860473397</v>
      </c>
      <c r="F34" s="52">
        <v>83244017</v>
      </c>
      <c r="G34" s="52">
        <f t="shared" si="14"/>
        <v>99633108</v>
      </c>
      <c r="H34" s="52">
        <v>51100908992</v>
      </c>
      <c r="I34" s="52">
        <v>35150006225</v>
      </c>
      <c r="J34" s="52">
        <f>1505297817+6805441456</f>
        <v>8310739273</v>
      </c>
      <c r="K34" s="52">
        <v>9246374440</v>
      </c>
      <c r="L34" s="52">
        <f>2501444457+955824730+189575+285349156</f>
        <v>3742807918</v>
      </c>
      <c r="M34" s="52">
        <v>6262169</v>
      </c>
      <c r="N34" s="52">
        <f t="shared" si="15"/>
        <v>1541197441</v>
      </c>
      <c r="O34" s="52">
        <v>57997387466</v>
      </c>
      <c r="P34" s="52">
        <f t="shared" si="6"/>
        <v>6896478474</v>
      </c>
      <c r="Q34" s="52">
        <v>57845638</v>
      </c>
      <c r="R34" s="52">
        <v>66042219</v>
      </c>
      <c r="S34" s="52">
        <v>13094500</v>
      </c>
      <c r="T34" s="52">
        <f t="shared" si="7"/>
        <v>6891580555</v>
      </c>
      <c r="U34" s="52">
        <v>14081932</v>
      </c>
      <c r="V34" s="52">
        <v>6905662487</v>
      </c>
      <c r="W34" s="52">
        <f>6024436257+259679824</f>
        <v>6284116081</v>
      </c>
    </row>
    <row r="35" spans="1:23">
      <c r="A35" s="14">
        <f>'法人一覧(25)'!A35</f>
        <v>32</v>
      </c>
      <c r="B35" s="2" t="str">
        <f>'法人一覧(25)'!B35</f>
        <v>文部科学省</v>
      </c>
      <c r="C35" s="2" t="str">
        <f>'法人一覧(25)'!C35</f>
        <v>国立高等専門学校機構</v>
      </c>
      <c r="D35" s="52">
        <v>74962103737</v>
      </c>
      <c r="E35" s="52">
        <v>4958949374</v>
      </c>
      <c r="F35" s="52">
        <v>35063363</v>
      </c>
      <c r="G35" s="52">
        <f t="shared" si="14"/>
        <v>93919</v>
      </c>
      <c r="H35" s="52">
        <v>79956210393</v>
      </c>
      <c r="I35" s="52">
        <v>57327153107</v>
      </c>
      <c r="J35" s="52">
        <f>2623693011+1869514419</f>
        <v>4493207430</v>
      </c>
      <c r="K35" s="52">
        <f>816994599+145746809</f>
        <v>962741408</v>
      </c>
      <c r="L35" s="52">
        <f>4132443177</f>
        <v>4132443177</v>
      </c>
      <c r="M35" s="52">
        <v>12013367</v>
      </c>
      <c r="N35" s="52">
        <f t="shared" si="15"/>
        <v>14381493563</v>
      </c>
      <c r="O35" s="52">
        <v>81309052052</v>
      </c>
      <c r="P35" s="52">
        <f t="shared" si="6"/>
        <v>1352841659</v>
      </c>
      <c r="Q35" s="52">
        <v>785808592</v>
      </c>
      <c r="R35" s="52">
        <v>648066093</v>
      </c>
      <c r="S35" s="52">
        <v>0</v>
      </c>
      <c r="T35" s="52">
        <f t="shared" si="7"/>
        <v>1215099160</v>
      </c>
      <c r="U35" s="52">
        <v>9037952</v>
      </c>
      <c r="V35" s="52">
        <v>1224137112</v>
      </c>
      <c r="W35" s="52">
        <f>4746895266+63215839</f>
        <v>4810111105</v>
      </c>
    </row>
    <row r="36" spans="1:23">
      <c r="A36" s="14">
        <f>'法人一覧(25)'!A36</f>
        <v>33</v>
      </c>
      <c r="B36" s="2" t="str">
        <f>'法人一覧(25)'!B36</f>
        <v>文部科学省</v>
      </c>
      <c r="C36" s="2" t="str">
        <f>'法人一覧(25)'!C36</f>
        <v>大学評価・学位授与機構</v>
      </c>
      <c r="D36" s="52">
        <f>423903405+310519484+547227397</f>
        <v>1281650286</v>
      </c>
      <c r="E36" s="52">
        <v>366930943</v>
      </c>
      <c r="F36" s="52">
        <v>0</v>
      </c>
      <c r="G36" s="52">
        <f t="shared" si="14"/>
        <v>0</v>
      </c>
      <c r="H36" s="52">
        <v>1648581229</v>
      </c>
      <c r="I36" s="52">
        <v>1301893980</v>
      </c>
      <c r="J36" s="52">
        <v>24831591</v>
      </c>
      <c r="K36" s="52">
        <v>0</v>
      </c>
      <c r="L36" s="52">
        <v>51567471</v>
      </c>
      <c r="M36" s="52">
        <v>62319</v>
      </c>
      <c r="N36" s="52">
        <f t="shared" si="15"/>
        <v>387183199</v>
      </c>
      <c r="O36" s="52">
        <v>1765538560</v>
      </c>
      <c r="P36" s="52">
        <f t="shared" si="6"/>
        <v>116957331</v>
      </c>
      <c r="Q36" s="52">
        <v>0</v>
      </c>
      <c r="R36" s="52">
        <v>0</v>
      </c>
      <c r="S36" s="52">
        <v>0</v>
      </c>
      <c r="T36" s="52">
        <f t="shared" si="7"/>
        <v>116957331</v>
      </c>
      <c r="U36" s="52">
        <v>0</v>
      </c>
      <c r="V36" s="52">
        <v>116957331</v>
      </c>
      <c r="W36" s="52">
        <f>49724696+17664091</f>
        <v>67388787</v>
      </c>
    </row>
    <row r="37" spans="1:23">
      <c r="A37" s="14">
        <f>'法人一覧(25)'!A37</f>
        <v>34</v>
      </c>
      <c r="B37" s="2" t="str">
        <f>'法人一覧(25)'!B37</f>
        <v>文部科学省</v>
      </c>
      <c r="C37" s="2" t="str">
        <f>'法人一覧(25)'!C37</f>
        <v>国立大学財務・経営センター</v>
      </c>
      <c r="D37" s="52">
        <v>25056246193</v>
      </c>
      <c r="E37" s="52">
        <v>138706148</v>
      </c>
      <c r="F37" s="52">
        <v>13474545</v>
      </c>
      <c r="G37" s="52">
        <f t="shared" si="14"/>
        <v>0</v>
      </c>
      <c r="H37" s="52">
        <v>25208426886</v>
      </c>
      <c r="I37" s="52">
        <v>605524924</v>
      </c>
      <c r="J37" s="52">
        <v>2325145670</v>
      </c>
      <c r="K37" s="52">
        <v>0</v>
      </c>
      <c r="L37" s="52">
        <v>3691630</v>
      </c>
      <c r="M37" s="52">
        <f>11234970+14343308743</f>
        <v>14354543713</v>
      </c>
      <c r="N37" s="52">
        <f t="shared" si="15"/>
        <v>9332366795</v>
      </c>
      <c r="O37" s="52">
        <v>26621272732</v>
      </c>
      <c r="P37" s="52">
        <f t="shared" si="6"/>
        <v>1412845846</v>
      </c>
      <c r="Q37" s="52">
        <v>0</v>
      </c>
      <c r="R37" s="52">
        <v>1223250</v>
      </c>
      <c r="S37" s="52">
        <v>0</v>
      </c>
      <c r="T37" s="52">
        <f t="shared" si="7"/>
        <v>1414069096</v>
      </c>
      <c r="U37" s="52">
        <v>0</v>
      </c>
      <c r="V37" s="52">
        <v>1414069096</v>
      </c>
      <c r="W37" s="52">
        <f>1668840+2022790</f>
        <v>3691630</v>
      </c>
    </row>
    <row r="38" spans="1:23">
      <c r="A38" s="14">
        <f>'法人一覧(25)'!A38</f>
        <v>35</v>
      </c>
      <c r="B38" s="2" t="str">
        <f>'法人一覧(25)'!B38</f>
        <v>文部科学省</v>
      </c>
      <c r="C38" s="2" t="str">
        <f>'法人一覧(25)'!C38</f>
        <v>日本原子力研究開発機構</v>
      </c>
      <c r="D38" s="52">
        <f>155918580467+17816051120</f>
        <v>173734631587</v>
      </c>
      <c r="E38" s="52">
        <v>3568626942</v>
      </c>
      <c r="F38" s="52">
        <v>86204203</v>
      </c>
      <c r="G38" s="52">
        <f t="shared" si="14"/>
        <v>18969311</v>
      </c>
      <c r="H38" s="52">
        <v>177408432043</v>
      </c>
      <c r="I38" s="52">
        <v>128914158714</v>
      </c>
      <c r="J38" s="52">
        <f>15839581974+191890107</f>
        <v>16031472081</v>
      </c>
      <c r="K38" s="52">
        <f>14070166420+3540872128</f>
        <v>17611038548</v>
      </c>
      <c r="L38" s="52">
        <v>10180886564</v>
      </c>
      <c r="M38" s="52">
        <v>414241846</v>
      </c>
      <c r="N38" s="52">
        <f t="shared" si="15"/>
        <v>5787096512</v>
      </c>
      <c r="O38" s="52">
        <v>178938894265</v>
      </c>
      <c r="P38" s="52">
        <f t="shared" si="6"/>
        <v>1530462222</v>
      </c>
      <c r="Q38" s="52">
        <v>1781889269</v>
      </c>
      <c r="R38" s="52">
        <v>1757755758</v>
      </c>
      <c r="S38" s="52">
        <v>62748800</v>
      </c>
      <c r="T38" s="52">
        <f t="shared" si="7"/>
        <v>1443579911</v>
      </c>
      <c r="U38" s="52">
        <v>123772666</v>
      </c>
      <c r="V38" s="52">
        <v>1567352577</v>
      </c>
      <c r="W38" s="52">
        <f>11904617963+700152361</f>
        <v>12604770324</v>
      </c>
    </row>
    <row r="39" spans="1:23">
      <c r="A39" s="14">
        <f>'法人一覧(25)'!A39</f>
        <v>36</v>
      </c>
      <c r="B39" s="2" t="str">
        <f>'法人一覧(25)'!B39</f>
        <v>厚生労働省</v>
      </c>
      <c r="C39" s="2" t="str">
        <f>'法人一覧(25)'!C39</f>
        <v>国立健康・栄養研究所</v>
      </c>
      <c r="D39" s="52">
        <v>479611988</v>
      </c>
      <c r="E39" s="52">
        <v>179218873</v>
      </c>
      <c r="F39" s="52">
        <v>0</v>
      </c>
      <c r="G39" s="52">
        <f t="shared" si="14"/>
        <v>740631</v>
      </c>
      <c r="H39" s="52">
        <v>659571492</v>
      </c>
      <c r="I39" s="52">
        <v>627484804</v>
      </c>
      <c r="J39" s="52">
        <v>0</v>
      </c>
      <c r="K39" s="52">
        <v>71585167</v>
      </c>
      <c r="L39" s="52">
        <v>9582453</v>
      </c>
      <c r="M39" s="52">
        <v>31841</v>
      </c>
      <c r="N39" s="52">
        <f t="shared" si="15"/>
        <v>39902300</v>
      </c>
      <c r="O39" s="52">
        <v>748586565</v>
      </c>
      <c r="P39" s="52">
        <f t="shared" si="6"/>
        <v>89015073</v>
      </c>
      <c r="Q39" s="52">
        <v>0</v>
      </c>
      <c r="R39" s="52">
        <v>0</v>
      </c>
      <c r="S39" s="52">
        <v>0</v>
      </c>
      <c r="T39" s="52">
        <f t="shared" si="7"/>
        <v>89015073</v>
      </c>
      <c r="U39" s="52">
        <v>0</v>
      </c>
      <c r="V39" s="52">
        <v>89015073</v>
      </c>
      <c r="W39" s="52">
        <v>11317314</v>
      </c>
    </row>
    <row r="40" spans="1:23">
      <c r="A40" s="14">
        <f>'法人一覧(25)'!A40</f>
        <v>37</v>
      </c>
      <c r="B40" s="2" t="str">
        <f>'法人一覧(25)'!B40</f>
        <v>厚生労働省</v>
      </c>
      <c r="C40" s="2" t="str">
        <f>'法人一覧(25)'!C40</f>
        <v>労働安全衛生総合研究所</v>
      </c>
      <c r="D40" s="52">
        <v>1651324758</v>
      </c>
      <c r="E40" s="52">
        <v>353162779</v>
      </c>
      <c r="F40" s="52">
        <v>1190713</v>
      </c>
      <c r="G40" s="52">
        <f t="shared" si="14"/>
        <v>0</v>
      </c>
      <c r="H40" s="52">
        <v>2005678250</v>
      </c>
      <c r="I40" s="52">
        <v>1810286104</v>
      </c>
      <c r="J40" s="52">
        <v>13146000</v>
      </c>
      <c r="K40" s="52">
        <v>45363701</v>
      </c>
      <c r="L40" s="52">
        <f>22432+4620530+124912153</f>
        <v>129555115</v>
      </c>
      <c r="M40" s="52">
        <v>0</v>
      </c>
      <c r="N40" s="52">
        <f t="shared" si="15"/>
        <v>22745504</v>
      </c>
      <c r="O40" s="52">
        <v>2021096424</v>
      </c>
      <c r="P40" s="52">
        <f t="shared" si="6"/>
        <v>15418174</v>
      </c>
      <c r="Q40" s="52">
        <v>4411423</v>
      </c>
      <c r="R40" s="52">
        <v>4265578</v>
      </c>
      <c r="S40" s="52">
        <v>0</v>
      </c>
      <c r="T40" s="52">
        <f t="shared" si="7"/>
        <v>15272329</v>
      </c>
      <c r="U40" s="52">
        <v>0</v>
      </c>
      <c r="V40" s="52">
        <v>15272329</v>
      </c>
      <c r="W40" s="52">
        <f>157219846+12035867</f>
        <v>169255713</v>
      </c>
    </row>
    <row r="41" spans="1:23">
      <c r="A41" s="14">
        <f>'法人一覧(25)'!A41</f>
        <v>38</v>
      </c>
      <c r="B41" s="2" t="str">
        <f>'法人一覧(25)'!B41</f>
        <v>厚生労働省</v>
      </c>
      <c r="C41" s="2" t="str">
        <f>'法人一覧(25)'!C41</f>
        <v>勤労者退職金共済機構</v>
      </c>
      <c r="D41" s="52">
        <v>544425403702</v>
      </c>
      <c r="E41" s="52">
        <v>995099359</v>
      </c>
      <c r="F41" s="52">
        <v>4823526885</v>
      </c>
      <c r="G41" s="52">
        <f t="shared" si="14"/>
        <v>0</v>
      </c>
      <c r="H41" s="52">
        <v>550244029946</v>
      </c>
      <c r="I41" s="52">
        <v>27172267</v>
      </c>
      <c r="J41" s="52">
        <v>8347366867</v>
      </c>
      <c r="K41" s="52">
        <v>0</v>
      </c>
      <c r="L41" s="52">
        <f>2046182+6977300</f>
        <v>9023482</v>
      </c>
      <c r="M41" s="52">
        <v>12692372</v>
      </c>
      <c r="N41" s="52">
        <f t="shared" si="15"/>
        <v>725200528538</v>
      </c>
      <c r="O41" s="52">
        <v>733596783526</v>
      </c>
      <c r="P41" s="52">
        <f t="shared" si="6"/>
        <v>183352753580</v>
      </c>
      <c r="Q41" s="52">
        <v>430540</v>
      </c>
      <c r="R41" s="52">
        <v>0</v>
      </c>
      <c r="S41" s="52">
        <v>0</v>
      </c>
      <c r="T41" s="52">
        <f t="shared" si="7"/>
        <v>183352323040</v>
      </c>
      <c r="U41" s="52">
        <v>56454872</v>
      </c>
      <c r="V41" s="52">
        <v>183408777912</v>
      </c>
      <c r="W41" s="52">
        <f>153647449+118034478</f>
        <v>271681927</v>
      </c>
    </row>
    <row r="42" spans="1:23">
      <c r="A42" s="14">
        <f>'法人一覧(25)'!A42</f>
        <v>39</v>
      </c>
      <c r="B42" s="2" t="str">
        <f>'法人一覧(25)'!B42</f>
        <v>厚生労働省</v>
      </c>
      <c r="C42" s="2" t="str">
        <f>'法人一覧(25)'!C42</f>
        <v>高齢・障害・求職者雇用支援機構</v>
      </c>
      <c r="D42" s="52">
        <v>101687269276</v>
      </c>
      <c r="E42" s="52">
        <v>3251723245</v>
      </c>
      <c r="F42" s="52">
        <v>121118153</v>
      </c>
      <c r="G42" s="52">
        <f t="shared" si="14"/>
        <v>1693983</v>
      </c>
      <c r="H42" s="52">
        <v>105061804657</v>
      </c>
      <c r="I42" s="52">
        <v>56251181466</v>
      </c>
      <c r="J42" s="52">
        <f>2008308895+107404688</f>
        <v>2115713583</v>
      </c>
      <c r="K42" s="52">
        <v>46207857</v>
      </c>
      <c r="L42" s="52">
        <f>217350+2181507551</f>
        <v>2181724901</v>
      </c>
      <c r="M42" s="52">
        <v>43343330</v>
      </c>
      <c r="N42" s="52">
        <f t="shared" si="15"/>
        <v>43222852002</v>
      </c>
      <c r="O42" s="52">
        <v>103861023139</v>
      </c>
      <c r="P42" s="52">
        <f t="shared" si="6"/>
        <v>-1200781518</v>
      </c>
      <c r="Q42" s="52">
        <v>16624718</v>
      </c>
      <c r="R42" s="52">
        <v>5627351266</v>
      </c>
      <c r="S42" s="52">
        <v>0</v>
      </c>
      <c r="T42" s="52">
        <f t="shared" si="7"/>
        <v>4409945030</v>
      </c>
      <c r="U42" s="52">
        <v>0</v>
      </c>
      <c r="V42" s="52">
        <v>4409945030</v>
      </c>
      <c r="W42" s="52">
        <v>4470801393</v>
      </c>
    </row>
    <row r="43" spans="1:23">
      <c r="A43" s="14">
        <f>'法人一覧(25)'!A43</f>
        <v>40</v>
      </c>
      <c r="B43" s="2" t="str">
        <f>'法人一覧(25)'!B43</f>
        <v>厚生労働省</v>
      </c>
      <c r="C43" s="2" t="str">
        <f>'法人一覧(25)'!C43</f>
        <v>福祉医療機構</v>
      </c>
      <c r="D43" s="52">
        <f>53563856912+250534233+313508517+1624338077+94642302746+21032682364+2245490391+29285555+2357259979</f>
        <v>176059258774</v>
      </c>
      <c r="E43" s="52">
        <v>1090953466</v>
      </c>
      <c r="F43" s="52">
        <v>0</v>
      </c>
      <c r="G43" s="52">
        <f t="shared" si="14"/>
        <v>11646000</v>
      </c>
      <c r="H43" s="52">
        <v>177161858240</v>
      </c>
      <c r="I43" s="52">
        <v>3070198933</v>
      </c>
      <c r="J43" s="52">
        <v>54495963847</v>
      </c>
      <c r="K43" s="52">
        <v>0</v>
      </c>
      <c r="L43" s="52">
        <v>262827546</v>
      </c>
      <c r="M43" s="52">
        <v>246774445</v>
      </c>
      <c r="N43" s="52">
        <f t="shared" si="15"/>
        <v>166169140617</v>
      </c>
      <c r="O43" s="52">
        <v>224244905388</v>
      </c>
      <c r="P43" s="52">
        <f t="shared" si="6"/>
        <v>47083047148</v>
      </c>
      <c r="Q43" s="52">
        <v>4352619385</v>
      </c>
      <c r="R43" s="52">
        <v>461696415</v>
      </c>
      <c r="S43" s="52">
        <v>0</v>
      </c>
      <c r="T43" s="52">
        <f t="shared" si="7"/>
        <v>43192124178</v>
      </c>
      <c r="U43" s="52">
        <v>23702900</v>
      </c>
      <c r="V43" s="52">
        <v>43215827078</v>
      </c>
      <c r="W43" s="52">
        <f>62332135+296549169</f>
        <v>358881304</v>
      </c>
    </row>
    <row r="44" spans="1:23">
      <c r="A44" s="14">
        <f>'法人一覧(25)'!A44</f>
        <v>41</v>
      </c>
      <c r="B44" s="2" t="str">
        <f>'法人一覧(25)'!B44</f>
        <v>厚生労働省</v>
      </c>
      <c r="C44" s="2" t="str">
        <f>'法人一覧(25)'!C44</f>
        <v>国立重度知的障害者総合施設のぞみの園</v>
      </c>
      <c r="D44" s="52">
        <v>3000135402</v>
      </c>
      <c r="E44" s="52">
        <v>227155928</v>
      </c>
      <c r="F44" s="52">
        <v>269748</v>
      </c>
      <c r="G44" s="52">
        <f t="shared" si="14"/>
        <v>0</v>
      </c>
      <c r="H44" s="52">
        <v>3227561078</v>
      </c>
      <c r="I44" s="52">
        <v>1356910773</v>
      </c>
      <c r="J44" s="52">
        <v>11359649</v>
      </c>
      <c r="K44" s="52">
        <v>6387000</v>
      </c>
      <c r="L44" s="52">
        <v>91229808</v>
      </c>
      <c r="M44" s="52">
        <v>7340</v>
      </c>
      <c r="N44" s="52">
        <f t="shared" si="15"/>
        <v>1765856837</v>
      </c>
      <c r="O44" s="52">
        <v>3231751407</v>
      </c>
      <c r="P44" s="52">
        <f t="shared" si="6"/>
        <v>4190329</v>
      </c>
      <c r="Q44" s="52">
        <v>4190329</v>
      </c>
      <c r="R44" s="52">
        <v>0</v>
      </c>
      <c r="S44" s="52">
        <v>0</v>
      </c>
      <c r="T44" s="52">
        <f t="shared" si="7"/>
        <v>0</v>
      </c>
      <c r="U44" s="52">
        <v>0</v>
      </c>
      <c r="V44" s="52">
        <v>0</v>
      </c>
      <c r="W44" s="52">
        <f>92790457+638330</f>
        <v>93428787</v>
      </c>
    </row>
    <row r="45" spans="1:23">
      <c r="A45" s="14">
        <f>'法人一覧(25)'!A45</f>
        <v>42</v>
      </c>
      <c r="B45" s="2" t="str">
        <f>'法人一覧(25)'!B45</f>
        <v>厚生労働省</v>
      </c>
      <c r="C45" s="2" t="str">
        <f>'法人一覧(25)'!C45</f>
        <v>労働政策研究・研修機構</v>
      </c>
      <c r="D45" s="52">
        <v>1662464427</v>
      </c>
      <c r="E45" s="52">
        <v>635006446</v>
      </c>
      <c r="F45" s="52">
        <v>3096029</v>
      </c>
      <c r="G45" s="52">
        <f t="shared" si="14"/>
        <v>3144123</v>
      </c>
      <c r="H45" s="52">
        <v>2303711025</v>
      </c>
      <c r="I45" s="52">
        <v>2225865657</v>
      </c>
      <c r="J45" s="52">
        <v>0</v>
      </c>
      <c r="K45" s="52">
        <v>0</v>
      </c>
      <c r="L45" s="52">
        <v>25116604</v>
      </c>
      <c r="M45" s="52">
        <v>124183</v>
      </c>
      <c r="N45" s="52">
        <f t="shared" si="15"/>
        <v>54897041</v>
      </c>
      <c r="O45" s="52">
        <v>2306003485</v>
      </c>
      <c r="P45" s="52">
        <f t="shared" si="6"/>
        <v>2292460</v>
      </c>
      <c r="Q45" s="52">
        <v>844029</v>
      </c>
      <c r="R45" s="52">
        <v>0</v>
      </c>
      <c r="S45" s="52">
        <v>0</v>
      </c>
      <c r="T45" s="52">
        <f t="shared" si="7"/>
        <v>1448431</v>
      </c>
      <c r="U45" s="52">
        <v>0</v>
      </c>
      <c r="V45" s="52">
        <v>1448431</v>
      </c>
      <c r="W45" s="52">
        <v>54079492</v>
      </c>
    </row>
    <row r="46" spans="1:23">
      <c r="A46" s="14">
        <f>'法人一覧(25)'!A46</f>
        <v>43</v>
      </c>
      <c r="B46" s="2" t="str">
        <f>'法人一覧(25)'!B46</f>
        <v>厚生労働省</v>
      </c>
      <c r="C46" s="2" t="str">
        <f>'法人一覧(25)'!C46</f>
        <v>労働者健康福祉機構</v>
      </c>
      <c r="D46" s="52">
        <f>292467896385+11852199074+948023558</f>
        <v>305268119017</v>
      </c>
      <c r="E46" s="52">
        <v>3354896548</v>
      </c>
      <c r="F46" s="52">
        <v>120108403</v>
      </c>
      <c r="G46" s="52">
        <f t="shared" si="14"/>
        <v>11893502</v>
      </c>
      <c r="H46" s="52">
        <v>308755017470</v>
      </c>
      <c r="I46" s="52">
        <v>7388342950</v>
      </c>
      <c r="J46" s="52">
        <f>803701133+277822254</f>
        <v>1081523387</v>
      </c>
      <c r="K46" s="52">
        <v>954849465</v>
      </c>
      <c r="L46" s="52">
        <f>138981753+12041222835+11964764</f>
        <v>12192169352</v>
      </c>
      <c r="M46" s="52">
        <v>201231140</v>
      </c>
      <c r="N46" s="52">
        <f t="shared" si="15"/>
        <v>284402208770</v>
      </c>
      <c r="O46" s="52">
        <v>306220325064</v>
      </c>
      <c r="P46" s="52">
        <f t="shared" si="6"/>
        <v>-2534692406</v>
      </c>
      <c r="Q46" s="52">
        <v>1479117688</v>
      </c>
      <c r="R46" s="52">
        <v>0</v>
      </c>
      <c r="S46" s="52">
        <v>0</v>
      </c>
      <c r="T46" s="52">
        <f t="shared" si="7"/>
        <v>-4013810094</v>
      </c>
      <c r="U46" s="52">
        <v>0</v>
      </c>
      <c r="V46" s="52">
        <v>-4013810094</v>
      </c>
      <c r="W46" s="52">
        <f>18870207688+28677803</f>
        <v>18898885491</v>
      </c>
    </row>
    <row r="47" spans="1:23">
      <c r="A47" s="14">
        <f>'法人一覧(25)'!A47</f>
        <v>44</v>
      </c>
      <c r="B47" s="2" t="str">
        <f>'法人一覧(25)'!B47</f>
        <v>厚生労働省</v>
      </c>
      <c r="C47" s="2" t="str">
        <f>'法人一覧(25)'!C47</f>
        <v>国立病院機構</v>
      </c>
      <c r="D47" s="52">
        <f>835656936368+7830256829+12398106933</f>
        <v>855885300130</v>
      </c>
      <c r="E47" s="52">
        <v>27801878773</v>
      </c>
      <c r="F47" s="52">
        <v>8222888936</v>
      </c>
      <c r="G47" s="52">
        <f t="shared" si="14"/>
        <v>2453030758</v>
      </c>
      <c r="H47" s="52">
        <v>894363098597</v>
      </c>
      <c r="I47" s="52">
        <f>635868570+2940643838+19441397353</f>
        <v>23017909761</v>
      </c>
      <c r="J47" s="52">
        <f>1913817152+27096805+259346070+10352507</f>
        <v>2210612534</v>
      </c>
      <c r="K47" s="52">
        <v>530205962</v>
      </c>
      <c r="L47" s="52">
        <f>505833031+1477470001+2095280+11202135+238857077+8722287+12878688</f>
        <v>2257058499</v>
      </c>
      <c r="M47" s="52">
        <v>157633891</v>
      </c>
      <c r="N47" s="52">
        <f t="shared" si="15"/>
        <v>897869531559</v>
      </c>
      <c r="O47" s="52">
        <v>926042952206</v>
      </c>
      <c r="P47" s="52">
        <f t="shared" si="6"/>
        <v>31679853609</v>
      </c>
      <c r="Q47" s="52">
        <v>30031069040</v>
      </c>
      <c r="R47" s="52">
        <v>405054162</v>
      </c>
      <c r="S47" s="52">
        <v>0</v>
      </c>
      <c r="T47" s="52">
        <f t="shared" si="7"/>
        <v>2053838731</v>
      </c>
      <c r="U47" s="52">
        <v>0</v>
      </c>
      <c r="V47" s="52">
        <v>2053838731</v>
      </c>
      <c r="W47" s="52">
        <f>56755158440+7689842511</f>
        <v>64445000951</v>
      </c>
    </row>
    <row r="48" spans="1:23">
      <c r="A48" s="14">
        <f>'法人一覧(25)'!A48</f>
        <v>45</v>
      </c>
      <c r="B48" s="2" t="str">
        <f>'法人一覧(25)'!B48</f>
        <v>厚生労働省</v>
      </c>
      <c r="C48" s="2" t="str">
        <f>'法人一覧(25)'!C48</f>
        <v>医薬品医療機器総合機構</v>
      </c>
      <c r="D48" s="52">
        <f>1959184025+2967268+128965696+3083416209+1259736571+2888000000+1160994014+205881600+292348600+7738950264</f>
        <v>18720444247</v>
      </c>
      <c r="E48" s="52">
        <v>1761575223</v>
      </c>
      <c r="F48" s="52">
        <v>28968449</v>
      </c>
      <c r="G48" s="52">
        <f t="shared" si="14"/>
        <v>18312990</v>
      </c>
      <c r="H48" s="52">
        <v>20529300909</v>
      </c>
      <c r="I48" s="52">
        <v>541757760</v>
      </c>
      <c r="J48" s="52">
        <v>1006684420</v>
      </c>
      <c r="K48" s="52">
        <f>77427766+1817549881</f>
        <v>1894977647</v>
      </c>
      <c r="L48" s="52">
        <f>1119105+93878543+34399</f>
        <v>95032047</v>
      </c>
      <c r="M48" s="52">
        <v>453488586</v>
      </c>
      <c r="N48" s="52">
        <f t="shared" si="15"/>
        <v>20700915116</v>
      </c>
      <c r="O48" s="52">
        <v>24692855576</v>
      </c>
      <c r="P48" s="52">
        <f t="shared" si="6"/>
        <v>4163554667</v>
      </c>
      <c r="Q48" s="52">
        <v>13124318</v>
      </c>
      <c r="R48" s="52">
        <v>0</v>
      </c>
      <c r="S48" s="52">
        <v>0</v>
      </c>
      <c r="T48" s="52">
        <f t="shared" si="7"/>
        <v>4150430349</v>
      </c>
      <c r="U48" s="52">
        <v>521303022</v>
      </c>
      <c r="V48" s="52">
        <v>4671733371</v>
      </c>
      <c r="W48" s="52">
        <f>340718751+426466588</f>
        <v>767185339</v>
      </c>
    </row>
    <row r="49" spans="1:23">
      <c r="A49" s="14">
        <f>'法人一覧(25)'!A49</f>
        <v>46</v>
      </c>
      <c r="B49" s="2" t="str">
        <f>'法人一覧(25)'!B49</f>
        <v>厚生労働省</v>
      </c>
      <c r="C49" s="2" t="str">
        <f>'法人一覧(25)'!C49</f>
        <v>医薬基盤研究所</v>
      </c>
      <c r="D49" s="52">
        <f>6363220508+950887</f>
        <v>6364171395</v>
      </c>
      <c r="E49" s="52">
        <v>540774607</v>
      </c>
      <c r="F49" s="52">
        <v>6808408</v>
      </c>
      <c r="G49" s="52">
        <f>H49-SUM(D49:F49)</f>
        <v>1778392340</v>
      </c>
      <c r="H49" s="52">
        <v>8690146750</v>
      </c>
      <c r="I49" s="52">
        <v>6401781977</v>
      </c>
      <c r="J49" s="52">
        <v>27051386</v>
      </c>
      <c r="K49" s="52">
        <f>64092556+1045054032</f>
        <v>1109146588</v>
      </c>
      <c r="L49" s="52">
        <v>554990357</v>
      </c>
      <c r="M49" s="52">
        <v>40473843</v>
      </c>
      <c r="N49" s="52">
        <f t="shared" si="15"/>
        <v>781031308</v>
      </c>
      <c r="O49" s="52">
        <v>8914475459</v>
      </c>
      <c r="P49" s="52">
        <f t="shared" si="6"/>
        <v>224328709</v>
      </c>
      <c r="Q49" s="52">
        <v>54615892</v>
      </c>
      <c r="R49" s="52">
        <v>685950</v>
      </c>
      <c r="S49" s="52">
        <v>0</v>
      </c>
      <c r="T49" s="52">
        <f t="shared" si="7"/>
        <v>170398767</v>
      </c>
      <c r="U49" s="52">
        <v>43967721</v>
      </c>
      <c r="V49" s="52">
        <v>214366488</v>
      </c>
      <c r="W49" s="52">
        <f>720190678+75762</f>
        <v>720266440</v>
      </c>
    </row>
    <row r="50" spans="1:23">
      <c r="A50" s="14">
        <f>'法人一覧(25)'!A50</f>
        <v>47</v>
      </c>
      <c r="B50" s="2" t="str">
        <f>'法人一覧(25)'!B50</f>
        <v>厚生労働省</v>
      </c>
      <c r="C50" s="2" t="str">
        <f>'法人一覧(25)'!C50</f>
        <v>年金・健康保険福祉施設整理機構</v>
      </c>
      <c r="D50" s="52">
        <v>15683753780</v>
      </c>
      <c r="E50" s="52">
        <v>85213107</v>
      </c>
      <c r="F50" s="52">
        <v>0</v>
      </c>
      <c r="G50" s="52">
        <f t="shared" ref="G50:G57" si="16">H50-SUM(D50:F50)</f>
        <v>0</v>
      </c>
      <c r="H50" s="52">
        <v>15768966887</v>
      </c>
      <c r="I50" s="52">
        <v>0</v>
      </c>
      <c r="J50" s="52">
        <v>0</v>
      </c>
      <c r="K50" s="52">
        <v>0</v>
      </c>
      <c r="L50" s="52">
        <v>0</v>
      </c>
      <c r="M50" s="52">
        <v>85371864</v>
      </c>
      <c r="N50" s="52">
        <f t="shared" si="15"/>
        <v>15946625924</v>
      </c>
      <c r="O50" s="52">
        <v>16031997788</v>
      </c>
      <c r="P50" s="52">
        <f t="shared" si="6"/>
        <v>263030901</v>
      </c>
      <c r="Q50" s="52">
        <v>5414269494</v>
      </c>
      <c r="R50" s="52">
        <v>91803487954</v>
      </c>
      <c r="S50" s="52">
        <v>0</v>
      </c>
      <c r="T50" s="52">
        <f t="shared" si="7"/>
        <v>86652249361</v>
      </c>
      <c r="U50" s="52">
        <v>0</v>
      </c>
      <c r="V50" s="52">
        <v>86652249361</v>
      </c>
      <c r="W50" s="52">
        <v>1398833</v>
      </c>
    </row>
    <row r="51" spans="1:23">
      <c r="A51" s="14">
        <f>'法人一覧(25)'!A51</f>
        <v>48</v>
      </c>
      <c r="B51" s="2" t="str">
        <f>'法人一覧(25)'!B51</f>
        <v>厚生労働省</v>
      </c>
      <c r="C51" s="2" t="str">
        <f>'法人一覧(25)'!C51</f>
        <v>年金積立金管理運用</v>
      </c>
      <c r="D51" s="52">
        <v>26823143033</v>
      </c>
      <c r="E51" s="52">
        <v>295986741</v>
      </c>
      <c r="F51" s="52">
        <v>0</v>
      </c>
      <c r="G51" s="52">
        <f t="shared" si="16"/>
        <v>0</v>
      </c>
      <c r="H51" s="52">
        <v>27119129774</v>
      </c>
      <c r="I51" s="52">
        <v>0</v>
      </c>
      <c r="J51" s="52">
        <v>0</v>
      </c>
      <c r="K51" s="52">
        <v>0</v>
      </c>
      <c r="L51" s="52">
        <v>0</v>
      </c>
      <c r="M51" s="52">
        <v>0</v>
      </c>
      <c r="N51" s="52">
        <f t="shared" si="15"/>
        <v>10220945211938</v>
      </c>
      <c r="O51" s="52">
        <v>10220945211938</v>
      </c>
      <c r="P51" s="52">
        <f t="shared" si="6"/>
        <v>10193826082164</v>
      </c>
      <c r="Q51" s="52">
        <v>0</v>
      </c>
      <c r="R51" s="52">
        <v>2909848</v>
      </c>
      <c r="S51" s="52">
        <v>0</v>
      </c>
      <c r="T51" s="52">
        <f t="shared" si="7"/>
        <v>10193828992012</v>
      </c>
      <c r="U51" s="52">
        <v>0</v>
      </c>
      <c r="V51" s="52">
        <v>10193828992012</v>
      </c>
      <c r="W51" s="52">
        <f>70037372+141362235</f>
        <v>211399607</v>
      </c>
    </row>
    <row r="52" spans="1:23">
      <c r="A52" s="14">
        <f>'法人一覧(25)'!A52</f>
        <v>49</v>
      </c>
      <c r="B52" s="2" t="str">
        <f>'法人一覧(25)'!B52</f>
        <v>厚生労働省</v>
      </c>
      <c r="C52" s="2" t="str">
        <f>'法人一覧(25)'!C52</f>
        <v>国立がん研究センター</v>
      </c>
      <c r="D52" s="52">
        <v>49244523465</v>
      </c>
      <c r="E52" s="52">
        <v>1282391804</v>
      </c>
      <c r="F52" s="52">
        <v>320144989</v>
      </c>
      <c r="G52" s="52">
        <f t="shared" si="16"/>
        <v>89241054</v>
      </c>
      <c r="H52" s="52">
        <v>50936301312</v>
      </c>
      <c r="I52" s="52">
        <v>7075660476</v>
      </c>
      <c r="J52" s="52">
        <f>499794045+218096</f>
        <v>500012141</v>
      </c>
      <c r="K52" s="52">
        <v>0</v>
      </c>
      <c r="L52" s="52">
        <v>551704627</v>
      </c>
      <c r="M52" s="52">
        <v>37901798</v>
      </c>
      <c r="N52" s="52">
        <f t="shared" si="15"/>
        <v>41728555389</v>
      </c>
      <c r="O52" s="52">
        <v>49893834431</v>
      </c>
      <c r="P52" s="52">
        <f t="shared" si="6"/>
        <v>-1042466881</v>
      </c>
      <c r="Q52" s="52">
        <v>720832907</v>
      </c>
      <c r="R52" s="52">
        <v>11300986</v>
      </c>
      <c r="S52" s="52">
        <v>0</v>
      </c>
      <c r="T52" s="52">
        <f t="shared" si="7"/>
        <v>-1751998802</v>
      </c>
      <c r="U52" s="52">
        <v>0</v>
      </c>
      <c r="V52" s="52">
        <v>-1751998802</v>
      </c>
      <c r="W52" s="52">
        <f>4190799386+243963856</f>
        <v>4434763242</v>
      </c>
    </row>
    <row r="53" spans="1:23">
      <c r="A53" s="14">
        <f>'法人一覧(25)'!A53</f>
        <v>50</v>
      </c>
      <c r="B53" s="2" t="str">
        <f>'法人一覧(25)'!B53</f>
        <v>厚生労働省</v>
      </c>
      <c r="C53" s="2" t="str">
        <f>'法人一覧(25)'!C53</f>
        <v>国立循環器病研究センター</v>
      </c>
      <c r="D53" s="52">
        <v>27313341292</v>
      </c>
      <c r="E53" s="52">
        <v>884761590</v>
      </c>
      <c r="F53" s="52">
        <v>18421740</v>
      </c>
      <c r="G53" s="52">
        <f t="shared" si="16"/>
        <v>45410172</v>
      </c>
      <c r="H53" s="52">
        <v>28261934794</v>
      </c>
      <c r="I53" s="52">
        <v>4515259672</v>
      </c>
      <c r="J53" s="52">
        <v>329656885</v>
      </c>
      <c r="K53" s="52">
        <v>0</v>
      </c>
      <c r="L53" s="52">
        <v>610411031</v>
      </c>
      <c r="M53" s="52">
        <v>49709206</v>
      </c>
      <c r="N53" s="52">
        <f t="shared" si="15"/>
        <v>22539366495</v>
      </c>
      <c r="O53" s="52">
        <v>28044403289</v>
      </c>
      <c r="P53" s="52">
        <f t="shared" si="6"/>
        <v>-217531505</v>
      </c>
      <c r="Q53" s="52">
        <v>1911717</v>
      </c>
      <c r="R53" s="52">
        <v>58040</v>
      </c>
      <c r="S53" s="52">
        <v>0</v>
      </c>
      <c r="T53" s="52">
        <f t="shared" si="7"/>
        <v>-219385182</v>
      </c>
      <c r="U53" s="52">
        <v>0</v>
      </c>
      <c r="V53" s="52">
        <v>-219385182</v>
      </c>
      <c r="W53" s="52">
        <f>2507828402+85367116</f>
        <v>2593195518</v>
      </c>
    </row>
    <row r="54" spans="1:23">
      <c r="A54" s="14">
        <f>'法人一覧(25)'!A54</f>
        <v>51</v>
      </c>
      <c r="B54" s="2" t="str">
        <f>'法人一覧(25)'!B54</f>
        <v>厚生労働省</v>
      </c>
      <c r="C54" s="2" t="str">
        <f>'法人一覧(25)'!C54</f>
        <v>国立精神・神経医療研究センター</v>
      </c>
      <c r="D54" s="52">
        <v>13434166615</v>
      </c>
      <c r="E54" s="52">
        <v>771336400</v>
      </c>
      <c r="F54" s="52">
        <v>40150714</v>
      </c>
      <c r="G54" s="52">
        <f t="shared" si="16"/>
        <v>3074793</v>
      </c>
      <c r="H54" s="52">
        <v>14248728522</v>
      </c>
      <c r="I54" s="52">
        <v>4325531340</v>
      </c>
      <c r="J54" s="52">
        <f>22726381+865000</f>
        <v>23591381</v>
      </c>
      <c r="K54" s="52">
        <v>0</v>
      </c>
      <c r="L54" s="52">
        <v>500597493</v>
      </c>
      <c r="M54" s="52">
        <v>2592</v>
      </c>
      <c r="N54" s="52">
        <f t="shared" si="15"/>
        <v>9177381541</v>
      </c>
      <c r="O54" s="52">
        <v>14027104347</v>
      </c>
      <c r="P54" s="52">
        <f t="shared" si="6"/>
        <v>-221624175</v>
      </c>
      <c r="Q54" s="52">
        <v>21576447</v>
      </c>
      <c r="R54" s="52">
        <v>14024231</v>
      </c>
      <c r="S54" s="52">
        <v>0</v>
      </c>
      <c r="T54" s="52">
        <f t="shared" si="7"/>
        <v>-229176391</v>
      </c>
      <c r="U54" s="52">
        <v>0</v>
      </c>
      <c r="V54" s="52">
        <v>-229176391</v>
      </c>
      <c r="W54" s="52">
        <f>1337710509+89036939</f>
        <v>1426747448</v>
      </c>
    </row>
    <row r="55" spans="1:23">
      <c r="A55" s="14">
        <f>'法人一覧(25)'!A55</f>
        <v>52</v>
      </c>
      <c r="B55" s="2" t="str">
        <f>'法人一覧(25)'!B55</f>
        <v>厚生労働省</v>
      </c>
      <c r="C55" s="2" t="str">
        <f>'法人一覧(25)'!C55</f>
        <v>国立国際医療研究センター</v>
      </c>
      <c r="D55" s="52">
        <v>35864477533</v>
      </c>
      <c r="E55" s="52">
        <v>1328420313</v>
      </c>
      <c r="F55" s="52">
        <v>265050105</v>
      </c>
      <c r="G55" s="52">
        <f t="shared" si="16"/>
        <v>53419058</v>
      </c>
      <c r="H55" s="52">
        <v>37511367009</v>
      </c>
      <c r="I55" s="52">
        <v>6800747770</v>
      </c>
      <c r="J55" s="52">
        <f>25885000+8457160</f>
        <v>34342160</v>
      </c>
      <c r="K55" s="52">
        <v>0</v>
      </c>
      <c r="L55" s="52">
        <v>505348281</v>
      </c>
      <c r="M55" s="52">
        <v>5962445</v>
      </c>
      <c r="N55" s="52">
        <f t="shared" si="15"/>
        <v>30819956170</v>
      </c>
      <c r="O55" s="52">
        <v>38166356826</v>
      </c>
      <c r="P55" s="52">
        <f t="shared" si="6"/>
        <v>654989817</v>
      </c>
      <c r="Q55" s="52">
        <v>177884723</v>
      </c>
      <c r="R55" s="52">
        <v>3908016</v>
      </c>
      <c r="S55" s="52">
        <v>0</v>
      </c>
      <c r="T55" s="52">
        <f t="shared" si="7"/>
        <v>481013110</v>
      </c>
      <c r="U55" s="52">
        <v>0</v>
      </c>
      <c r="V55" s="52">
        <v>481013110</v>
      </c>
      <c r="W55" s="52">
        <f>3734812229+543343184</f>
        <v>4278155413</v>
      </c>
    </row>
    <row r="56" spans="1:23">
      <c r="A56" s="14">
        <f>'法人一覧(25)'!A56</f>
        <v>53</v>
      </c>
      <c r="B56" s="2" t="str">
        <f>'法人一覧(25)'!B56</f>
        <v>厚生労働省</v>
      </c>
      <c r="C56" s="2" t="str">
        <f>'法人一覧(25)'!C56</f>
        <v>国立成育医療研究センター</v>
      </c>
      <c r="D56" s="52">
        <v>22959650204</v>
      </c>
      <c r="E56" s="52">
        <v>820534060</v>
      </c>
      <c r="F56" s="52">
        <v>98714841</v>
      </c>
      <c r="G56" s="52">
        <f t="shared" si="16"/>
        <v>20045453</v>
      </c>
      <c r="H56" s="52">
        <v>23898944558</v>
      </c>
      <c r="I56" s="52">
        <v>3918523245</v>
      </c>
      <c r="J56" s="52">
        <f>448344292+12333462</f>
        <v>460677754</v>
      </c>
      <c r="K56" s="52">
        <v>0</v>
      </c>
      <c r="L56" s="52">
        <v>438285427</v>
      </c>
      <c r="M56" s="52">
        <v>0</v>
      </c>
      <c r="N56" s="52">
        <f t="shared" si="15"/>
        <v>18555268574</v>
      </c>
      <c r="O56" s="52">
        <v>23372755000</v>
      </c>
      <c r="P56" s="52">
        <f t="shared" si="6"/>
        <v>-526189558</v>
      </c>
      <c r="Q56" s="52">
        <v>18185885</v>
      </c>
      <c r="R56" s="52">
        <v>5733343</v>
      </c>
      <c r="S56" s="52">
        <v>0</v>
      </c>
      <c r="T56" s="52">
        <f t="shared" si="7"/>
        <v>-538642100</v>
      </c>
      <c r="U56" s="52">
        <v>0</v>
      </c>
      <c r="V56" s="52">
        <v>-538642100</v>
      </c>
      <c r="W56" s="52">
        <f>2243785649+113905566</f>
        <v>2357691215</v>
      </c>
    </row>
    <row r="57" spans="1:23">
      <c r="A57" s="14">
        <f>'法人一覧(25)'!A57</f>
        <v>54</v>
      </c>
      <c r="B57" s="2" t="str">
        <f>'法人一覧(25)'!B57</f>
        <v>厚生労働省</v>
      </c>
      <c r="C57" s="2" t="str">
        <f>'法人一覧(25)'!C57</f>
        <v>国立長寿医療研究センター</v>
      </c>
      <c r="D57" s="52">
        <v>8925494394</v>
      </c>
      <c r="E57" s="52">
        <v>322894702</v>
      </c>
      <c r="F57" s="52">
        <v>8716724</v>
      </c>
      <c r="G57" s="52">
        <f t="shared" si="16"/>
        <v>23575527</v>
      </c>
      <c r="H57" s="52">
        <v>9280681347</v>
      </c>
      <c r="I57" s="52">
        <v>3242457241</v>
      </c>
      <c r="J57" s="52">
        <v>66284000</v>
      </c>
      <c r="K57" s="52">
        <v>0</v>
      </c>
      <c r="L57" s="52">
        <v>239188002</v>
      </c>
      <c r="M57" s="52">
        <v>1349893</v>
      </c>
      <c r="N57" s="52">
        <f t="shared" si="15"/>
        <v>6413856424</v>
      </c>
      <c r="O57" s="52">
        <v>9963135560</v>
      </c>
      <c r="P57" s="52">
        <f t="shared" si="6"/>
        <v>682454213</v>
      </c>
      <c r="Q57" s="52">
        <v>104827059</v>
      </c>
      <c r="R57" s="52">
        <v>0</v>
      </c>
      <c r="S57" s="52">
        <v>0</v>
      </c>
      <c r="T57" s="52">
        <f t="shared" si="7"/>
        <v>577627154</v>
      </c>
      <c r="U57" s="52">
        <v>0</v>
      </c>
      <c r="V57" s="52">
        <v>577627154</v>
      </c>
      <c r="W57" s="52">
        <f>666017150+310800</f>
        <v>666327950</v>
      </c>
    </row>
    <row r="58" spans="1:23">
      <c r="A58" s="14">
        <f>'法人一覧(25)'!A58</f>
        <v>55</v>
      </c>
      <c r="B58" s="2" t="str">
        <f>'法人一覧(25)'!B58</f>
        <v>農林水産省</v>
      </c>
      <c r="C58" s="2" t="str">
        <f>'法人一覧(25)'!C58</f>
        <v>農林水産消費安全技術センター</v>
      </c>
      <c r="D58" s="52">
        <v>5332801341</v>
      </c>
      <c r="E58" s="52">
        <v>953183279</v>
      </c>
      <c r="F58" s="52">
        <v>88046</v>
      </c>
      <c r="G58" s="52">
        <f t="shared" si="4"/>
        <v>0</v>
      </c>
      <c r="H58" s="52">
        <v>6286072666</v>
      </c>
      <c r="I58" s="52">
        <v>6009958719</v>
      </c>
      <c r="J58" s="52">
        <v>0</v>
      </c>
      <c r="K58" s="52">
        <v>0</v>
      </c>
      <c r="L58" s="52">
        <v>251558190</v>
      </c>
      <c r="M58" s="52">
        <v>2334</v>
      </c>
      <c r="N58" s="52">
        <f t="shared" si="5"/>
        <v>50253797</v>
      </c>
      <c r="O58" s="52">
        <v>6311773040</v>
      </c>
      <c r="P58" s="52">
        <f t="shared" si="6"/>
        <v>25700374</v>
      </c>
      <c r="Q58" s="52">
        <v>6259133</v>
      </c>
      <c r="R58" s="52">
        <v>9146602</v>
      </c>
      <c r="S58" s="52">
        <v>0</v>
      </c>
      <c r="T58" s="52">
        <f t="shared" si="7"/>
        <v>28587843</v>
      </c>
      <c r="U58" s="52">
        <v>356157</v>
      </c>
      <c r="V58" s="52">
        <v>28944000</v>
      </c>
      <c r="W58" s="52">
        <v>775025529</v>
      </c>
    </row>
    <row r="59" spans="1:23">
      <c r="A59" s="14">
        <f>'法人一覧(25)'!A59</f>
        <v>56</v>
      </c>
      <c r="B59" s="2" t="str">
        <f>'法人一覧(25)'!B59</f>
        <v>農林水産省</v>
      </c>
      <c r="C59" s="2" t="str">
        <f>'法人一覧(25)'!C59</f>
        <v>種苗管理センター</v>
      </c>
      <c r="D59" s="29">
        <v>2126927439</v>
      </c>
      <c r="E59" s="29">
        <v>658704568</v>
      </c>
      <c r="F59" s="29">
        <v>40129</v>
      </c>
      <c r="G59" s="29">
        <f t="shared" si="4"/>
        <v>0</v>
      </c>
      <c r="H59" s="29">
        <v>2785672136</v>
      </c>
      <c r="I59" s="29">
        <v>2378896359</v>
      </c>
      <c r="J59" s="29">
        <v>0</v>
      </c>
      <c r="K59" s="29">
        <v>44846682</v>
      </c>
      <c r="L59" s="29">
        <v>135867455</v>
      </c>
      <c r="M59" s="29">
        <v>1230</v>
      </c>
      <c r="N59" s="29">
        <f t="shared" si="5"/>
        <v>226061411</v>
      </c>
      <c r="O59" s="29">
        <v>2785673137</v>
      </c>
      <c r="P59" s="29">
        <f t="shared" si="6"/>
        <v>1001</v>
      </c>
      <c r="Q59" s="29">
        <v>1590927</v>
      </c>
      <c r="R59" s="29">
        <v>2081029</v>
      </c>
      <c r="S59" s="29">
        <v>0</v>
      </c>
      <c r="T59" s="29">
        <f t="shared" si="7"/>
        <v>491103</v>
      </c>
      <c r="U59" s="29">
        <v>0</v>
      </c>
      <c r="V59" s="29">
        <v>491103</v>
      </c>
      <c r="W59" s="29">
        <f>45409439+746775</f>
        <v>46156214</v>
      </c>
    </row>
    <row r="60" spans="1:23">
      <c r="A60" s="14">
        <f>'法人一覧(25)'!A60</f>
        <v>57</v>
      </c>
      <c r="B60" s="2" t="str">
        <f>'法人一覧(25)'!B60</f>
        <v>農林水産省</v>
      </c>
      <c r="C60" s="2" t="str">
        <f>'法人一覧(25)'!C60</f>
        <v>家畜改良センター</v>
      </c>
      <c r="D60" s="29">
        <f>6810926960+181783896</f>
        <v>6992710856</v>
      </c>
      <c r="E60" s="29">
        <v>1232459867</v>
      </c>
      <c r="F60" s="29">
        <v>2122545</v>
      </c>
      <c r="G60" s="29">
        <f t="shared" si="4"/>
        <v>447554</v>
      </c>
      <c r="H60" s="29">
        <v>8227740822</v>
      </c>
      <c r="I60" s="29">
        <v>5371307824</v>
      </c>
      <c r="J60" s="29">
        <v>263950</v>
      </c>
      <c r="K60" s="29">
        <v>191896093</v>
      </c>
      <c r="L60" s="29">
        <f>1339677714+68955</f>
        <v>1339746669</v>
      </c>
      <c r="M60" s="29">
        <v>499314</v>
      </c>
      <c r="N60" s="29">
        <f t="shared" si="5"/>
        <v>1264592241</v>
      </c>
      <c r="O60" s="29">
        <v>8168306091</v>
      </c>
      <c r="P60" s="29">
        <f t="shared" si="6"/>
        <v>-59434731</v>
      </c>
      <c r="Q60" s="29">
        <v>23496060</v>
      </c>
      <c r="R60" s="29">
        <v>89630971</v>
      </c>
      <c r="S60" s="29">
        <v>0</v>
      </c>
      <c r="T60" s="29">
        <f t="shared" si="7"/>
        <v>6700180</v>
      </c>
      <c r="U60" s="29">
        <v>3641175</v>
      </c>
      <c r="V60" s="29">
        <v>10341355</v>
      </c>
      <c r="W60" s="29">
        <f>359222459+4860548</f>
        <v>364083007</v>
      </c>
    </row>
    <row r="61" spans="1:23">
      <c r="A61" s="14">
        <f>'法人一覧(25)'!A61</f>
        <v>58</v>
      </c>
      <c r="B61" s="2" t="str">
        <f>'法人一覧(25)'!B61</f>
        <v>農林水産省</v>
      </c>
      <c r="C61" s="2" t="str">
        <f>'法人一覧(25)'!C61</f>
        <v>水産大学校</v>
      </c>
      <c r="D61" s="29">
        <v>1984655063</v>
      </c>
      <c r="E61" s="29">
        <v>272777616</v>
      </c>
      <c r="F61" s="29">
        <v>0</v>
      </c>
      <c r="G61" s="29">
        <f t="shared" si="4"/>
        <v>0</v>
      </c>
      <c r="H61" s="29">
        <v>2257432679</v>
      </c>
      <c r="I61" s="29">
        <v>1536396126</v>
      </c>
      <c r="J61" s="29">
        <v>16000000</v>
      </c>
      <c r="K61" s="29">
        <v>102342376</v>
      </c>
      <c r="L61" s="29">
        <v>45199146</v>
      </c>
      <c r="M61" s="29">
        <v>0</v>
      </c>
      <c r="N61" s="29">
        <f t="shared" si="5"/>
        <v>558861954</v>
      </c>
      <c r="O61" s="29">
        <v>2258799602</v>
      </c>
      <c r="P61" s="29">
        <f t="shared" si="6"/>
        <v>1366923</v>
      </c>
      <c r="Q61" s="29">
        <v>1489407</v>
      </c>
      <c r="R61" s="29">
        <v>1264182</v>
      </c>
      <c r="S61" s="29">
        <v>0</v>
      </c>
      <c r="T61" s="29">
        <f t="shared" si="7"/>
        <v>1141698</v>
      </c>
      <c r="U61" s="29">
        <v>3077739</v>
      </c>
      <c r="V61" s="29">
        <v>4219437</v>
      </c>
      <c r="W61" s="29">
        <v>51157199</v>
      </c>
    </row>
    <row r="62" spans="1:23">
      <c r="A62" s="14">
        <f>'法人一覧(25)'!A62</f>
        <v>59</v>
      </c>
      <c r="B62" s="2" t="str">
        <f>'法人一覧(25)'!B62</f>
        <v>農林水産省</v>
      </c>
      <c r="C62" s="2" t="str">
        <f>'法人一覧(25)'!C62</f>
        <v>農業・食品産業技術総合研究機構</v>
      </c>
      <c r="D62" s="29">
        <f>35301376234+2481904472+87183311+4838727+1341991424+151114739+3813706</f>
        <v>39372222613</v>
      </c>
      <c r="E62" s="29">
        <v>4502570886</v>
      </c>
      <c r="F62" s="29">
        <v>6249772</v>
      </c>
      <c r="G62" s="29">
        <f t="shared" si="4"/>
        <v>866713</v>
      </c>
      <c r="H62" s="29">
        <v>43881909984</v>
      </c>
      <c r="I62" s="29">
        <v>36952858360</v>
      </c>
      <c r="J62" s="29">
        <v>67128195</v>
      </c>
      <c r="K62" s="29">
        <v>4014359960</v>
      </c>
      <c r="L62" s="29">
        <v>1915430346</v>
      </c>
      <c r="M62" s="29">
        <v>190359270</v>
      </c>
      <c r="N62" s="29">
        <f t="shared" si="5"/>
        <v>745507481</v>
      </c>
      <c r="O62" s="29">
        <v>43885643612</v>
      </c>
      <c r="P62" s="29">
        <f t="shared" si="6"/>
        <v>3733628</v>
      </c>
      <c r="Q62" s="29">
        <v>357684086</v>
      </c>
      <c r="R62" s="29">
        <v>367507315</v>
      </c>
      <c r="S62" s="29">
        <v>70586000</v>
      </c>
      <c r="T62" s="29">
        <f t="shared" si="7"/>
        <v>-57029143</v>
      </c>
      <c r="U62" s="29">
        <v>423347288</v>
      </c>
      <c r="V62" s="29">
        <v>366318145</v>
      </c>
      <c r="W62" s="29">
        <f>2486678118+113651380</f>
        <v>2600329498</v>
      </c>
    </row>
    <row r="63" spans="1:23">
      <c r="A63" s="14">
        <f>'法人一覧(25)'!A63</f>
        <v>60</v>
      </c>
      <c r="B63" s="2" t="str">
        <f>'法人一覧(25)'!B63</f>
        <v>農林水産省</v>
      </c>
      <c r="C63" s="2" t="str">
        <f>'法人一覧(25)'!C63</f>
        <v>農業生物資源研究所</v>
      </c>
      <c r="D63" s="29">
        <v>7671763692</v>
      </c>
      <c r="E63" s="29">
        <v>759786588</v>
      </c>
      <c r="F63" s="29">
        <v>11796199</v>
      </c>
      <c r="G63" s="29">
        <f t="shared" si="4"/>
        <v>0</v>
      </c>
      <c r="H63" s="29">
        <v>8443346479</v>
      </c>
      <c r="I63" s="29">
        <v>6006493082</v>
      </c>
      <c r="J63" s="29">
        <f>118026819+12467650</f>
        <v>130494469</v>
      </c>
      <c r="K63" s="29">
        <v>1842720757</v>
      </c>
      <c r="L63" s="29">
        <v>442463133</v>
      </c>
      <c r="M63" s="29">
        <v>0</v>
      </c>
      <c r="N63" s="29">
        <f t="shared" si="5"/>
        <v>41465840</v>
      </c>
      <c r="O63" s="29">
        <v>8463637281</v>
      </c>
      <c r="P63" s="29">
        <f t="shared" si="6"/>
        <v>20290802</v>
      </c>
      <c r="Q63" s="29">
        <v>25401798</v>
      </c>
      <c r="R63" s="29">
        <v>23722847</v>
      </c>
      <c r="S63" s="29">
        <v>0</v>
      </c>
      <c r="T63" s="29">
        <f t="shared" si="7"/>
        <v>18611851</v>
      </c>
      <c r="U63" s="29">
        <v>39180187</v>
      </c>
      <c r="V63" s="29">
        <v>57792038</v>
      </c>
      <c r="W63" s="29">
        <f>654436201+40099695</f>
        <v>694535896</v>
      </c>
    </row>
    <row r="64" spans="1:23">
      <c r="A64" s="14">
        <f>'法人一覧(25)'!A64</f>
        <v>61</v>
      </c>
      <c r="B64" s="2" t="str">
        <f>'法人一覧(25)'!B64</f>
        <v>農林水産省</v>
      </c>
      <c r="C64" s="2" t="str">
        <f>'法人一覧(25)'!C64</f>
        <v>農業環境技術研究所</v>
      </c>
      <c r="D64" s="29">
        <v>3212431042</v>
      </c>
      <c r="E64" s="29">
        <v>366205953</v>
      </c>
      <c r="F64" s="29">
        <v>0</v>
      </c>
      <c r="G64" s="29">
        <f t="shared" si="4"/>
        <v>3132246</v>
      </c>
      <c r="H64" s="29">
        <v>3581769241</v>
      </c>
      <c r="I64" s="29">
        <v>2641960161</v>
      </c>
      <c r="J64" s="29">
        <v>135129330</v>
      </c>
      <c r="K64" s="29">
        <v>672094905</v>
      </c>
      <c r="L64" s="29">
        <v>153795920</v>
      </c>
      <c r="M64" s="29">
        <v>22059</v>
      </c>
      <c r="N64" s="29">
        <f t="shared" si="5"/>
        <v>1006406</v>
      </c>
      <c r="O64" s="29">
        <v>3604008781</v>
      </c>
      <c r="P64" s="29">
        <f t="shared" si="6"/>
        <v>22239540</v>
      </c>
      <c r="Q64" s="29">
        <v>329780</v>
      </c>
      <c r="R64" s="29">
        <v>329780</v>
      </c>
      <c r="S64" s="29">
        <v>0</v>
      </c>
      <c r="T64" s="29">
        <f t="shared" si="7"/>
        <v>22239540</v>
      </c>
      <c r="U64" s="29">
        <v>17556505</v>
      </c>
      <c r="V64" s="29">
        <v>39796045</v>
      </c>
      <c r="W64" s="29">
        <f>184148381+1842063</f>
        <v>185990444</v>
      </c>
    </row>
    <row r="65" spans="1:23">
      <c r="A65" s="14">
        <f>'法人一覧(25)'!A65</f>
        <v>62</v>
      </c>
      <c r="B65" s="2" t="str">
        <f>'法人一覧(25)'!B65</f>
        <v>農林水産省</v>
      </c>
      <c r="C65" s="2" t="str">
        <f>'法人一覧(25)'!C65</f>
        <v>国際農林水産業研究センター</v>
      </c>
      <c r="D65" s="29">
        <v>3214185451</v>
      </c>
      <c r="E65" s="29">
        <v>431360689</v>
      </c>
      <c r="F65" s="29">
        <v>753891</v>
      </c>
      <c r="G65" s="29">
        <f t="shared" si="4"/>
        <v>0</v>
      </c>
      <c r="H65" s="29">
        <v>3646300031</v>
      </c>
      <c r="I65" s="29">
        <v>3124457040</v>
      </c>
      <c r="J65" s="29">
        <v>124155302</v>
      </c>
      <c r="K65" s="29">
        <f>96230100+168497988</f>
        <v>264728088</v>
      </c>
      <c r="L65" s="29">
        <v>136295721</v>
      </c>
      <c r="M65" s="29">
        <v>157365</v>
      </c>
      <c r="N65" s="29">
        <f t="shared" si="5"/>
        <v>14550389</v>
      </c>
      <c r="O65" s="29">
        <v>3664343905</v>
      </c>
      <c r="P65" s="29">
        <f t="shared" si="6"/>
        <v>18043874</v>
      </c>
      <c r="Q65" s="29">
        <v>926583</v>
      </c>
      <c r="R65" s="29">
        <v>381309</v>
      </c>
      <c r="S65" s="29">
        <v>0</v>
      </c>
      <c r="T65" s="29">
        <f t="shared" si="7"/>
        <v>17498600</v>
      </c>
      <c r="U65" s="29">
        <v>6388673</v>
      </c>
      <c r="V65" s="29">
        <v>23887273</v>
      </c>
      <c r="W65" s="29">
        <f>137072620+6208717</f>
        <v>143281337</v>
      </c>
    </row>
    <row r="66" spans="1:23">
      <c r="A66" s="14">
        <f>'法人一覧(25)'!A66</f>
        <v>63</v>
      </c>
      <c r="B66" s="2" t="str">
        <f>'法人一覧(25)'!B66</f>
        <v>農林水産省</v>
      </c>
      <c r="C66" s="2" t="str">
        <f>'法人一覧(25)'!C66</f>
        <v>森林総合研究所</v>
      </c>
      <c r="D66" s="52">
        <v>56224773924</v>
      </c>
      <c r="E66" s="52">
        <v>1949996115</v>
      </c>
      <c r="F66" s="52">
        <v>4298243655</v>
      </c>
      <c r="G66" s="52">
        <f t="shared" si="4"/>
        <v>16349382</v>
      </c>
      <c r="H66" s="52">
        <v>62489363076</v>
      </c>
      <c r="I66" s="52">
        <v>8593774137</v>
      </c>
      <c r="J66" s="52">
        <v>20803592332</v>
      </c>
      <c r="K66" s="52">
        <v>735352461</v>
      </c>
      <c r="L66" s="52">
        <v>32099619485</v>
      </c>
      <c r="M66" s="52">
        <v>25221808</v>
      </c>
      <c r="N66" s="52">
        <f t="shared" si="5"/>
        <v>427204376</v>
      </c>
      <c r="O66" s="52">
        <v>62684764599</v>
      </c>
      <c r="P66" s="52">
        <f t="shared" si="6"/>
        <v>195401523</v>
      </c>
      <c r="Q66" s="52">
        <v>0</v>
      </c>
      <c r="R66" s="52">
        <v>449999</v>
      </c>
      <c r="S66" s="52">
        <v>0</v>
      </c>
      <c r="T66" s="52">
        <f t="shared" si="7"/>
        <v>195851522</v>
      </c>
      <c r="U66" s="52">
        <v>441947320</v>
      </c>
      <c r="V66" s="52">
        <v>637798842</v>
      </c>
      <c r="W66" s="52">
        <v>1533451354</v>
      </c>
    </row>
    <row r="67" spans="1:23">
      <c r="A67" s="14">
        <f>'法人一覧(25)'!A67</f>
        <v>64</v>
      </c>
      <c r="B67" s="2" t="str">
        <f>'法人一覧(25)'!B67</f>
        <v>農林水産省</v>
      </c>
      <c r="C67" s="2" t="str">
        <f>'法人一覧(25)'!C67</f>
        <v>水産総合研究センター</v>
      </c>
      <c r="D67" s="29">
        <v>16949720131</v>
      </c>
      <c r="E67" s="29">
        <v>1701918959</v>
      </c>
      <c r="F67" s="29">
        <v>0</v>
      </c>
      <c r="G67" s="29">
        <f t="shared" si="4"/>
        <v>0</v>
      </c>
      <c r="H67" s="29">
        <v>18651639090</v>
      </c>
      <c r="I67" s="29">
        <v>13599654297</v>
      </c>
      <c r="J67" s="29">
        <v>547071776</v>
      </c>
      <c r="K67" s="29">
        <v>2813956569</v>
      </c>
      <c r="L67" s="29">
        <v>437614007</v>
      </c>
      <c r="M67" s="29">
        <v>2710582</v>
      </c>
      <c r="N67" s="29">
        <f t="shared" si="5"/>
        <v>1245850308</v>
      </c>
      <c r="O67" s="29">
        <v>18646857539</v>
      </c>
      <c r="P67" s="29">
        <f t="shared" si="6"/>
        <v>-4781551</v>
      </c>
      <c r="Q67" s="29">
        <v>5512728</v>
      </c>
      <c r="R67" s="29">
        <v>6346559</v>
      </c>
      <c r="S67" s="29">
        <v>0</v>
      </c>
      <c r="T67" s="29">
        <f t="shared" si="7"/>
        <v>-3947720</v>
      </c>
      <c r="U67" s="29">
        <v>58752148</v>
      </c>
      <c r="V67" s="29">
        <v>54804428</v>
      </c>
      <c r="W67" s="29">
        <f>563776006+1539010</f>
        <v>565315016</v>
      </c>
    </row>
    <row r="68" spans="1:23">
      <c r="A68" s="14">
        <f>'法人一覧(25)'!A68</f>
        <v>65</v>
      </c>
      <c r="B68" s="2" t="str">
        <f>'法人一覧(25)'!B68</f>
        <v>農林水産省</v>
      </c>
      <c r="C68" s="2" t="str">
        <f>'法人一覧(25)'!C68</f>
        <v>農畜産業振興機構</v>
      </c>
      <c r="D68" s="29">
        <v>246651050839</v>
      </c>
      <c r="E68" s="29">
        <v>1406799593</v>
      </c>
      <c r="F68" s="29">
        <v>16362637</v>
      </c>
      <c r="G68" s="29">
        <f>H68-SUM(D68:F68)</f>
        <v>44789675616</v>
      </c>
      <c r="H68" s="29">
        <v>292863888685</v>
      </c>
      <c r="I68" s="29">
        <v>1458857956</v>
      </c>
      <c r="J68" s="29">
        <v>147066992307</v>
      </c>
      <c r="K68" s="29">
        <v>0</v>
      </c>
      <c r="L68" s="29">
        <f>8280289+1929392</f>
        <v>10209681</v>
      </c>
      <c r="M68" s="29">
        <v>1719403955</v>
      </c>
      <c r="N68" s="29">
        <f t="shared" si="5"/>
        <v>74312180051</v>
      </c>
      <c r="O68" s="29">
        <v>224567643950</v>
      </c>
      <c r="P68" s="29">
        <f t="shared" si="6"/>
        <v>-68296244735</v>
      </c>
      <c r="Q68" s="29">
        <v>1064748448</v>
      </c>
      <c r="R68" s="29">
        <v>69618338915</v>
      </c>
      <c r="S68" s="29">
        <v>0</v>
      </c>
      <c r="T68" s="29">
        <f t="shared" si="7"/>
        <v>257345732</v>
      </c>
      <c r="U68" s="29">
        <v>2995064573</v>
      </c>
      <c r="V68" s="29">
        <v>3252410305</v>
      </c>
      <c r="W68" s="29">
        <f>45874515</f>
        <v>45874515</v>
      </c>
    </row>
    <row r="69" spans="1:23">
      <c r="A69" s="14">
        <f>'法人一覧(25)'!A69</f>
        <v>66</v>
      </c>
      <c r="B69" s="2" t="str">
        <f>'法人一覧(25)'!B69</f>
        <v>農林水産省</v>
      </c>
      <c r="C69" s="2" t="str">
        <f>'法人一覧(25)'!C69</f>
        <v>農業者年金基金</v>
      </c>
      <c r="D69" s="29">
        <f>146684905672+4494110+2458834123</f>
        <v>149148233905</v>
      </c>
      <c r="E69" s="29">
        <v>649682952</v>
      </c>
      <c r="F69" s="29">
        <v>1826003325</v>
      </c>
      <c r="G69" s="29">
        <f t="shared" ref="G69:G75" si="17">H69-SUM(D69:F69)</f>
        <v>189895483</v>
      </c>
      <c r="H69" s="29">
        <v>151813815665</v>
      </c>
      <c r="I69" s="29">
        <v>3055707199</v>
      </c>
      <c r="J69" s="29">
        <v>119378360449</v>
      </c>
      <c r="K69" s="29">
        <v>0</v>
      </c>
      <c r="L69" s="29">
        <f>55487599+108230</f>
        <v>55595829</v>
      </c>
      <c r="M69" s="29">
        <f>14668818308+1730629+16122623</f>
        <v>14686671560</v>
      </c>
      <c r="N69" s="29">
        <f t="shared" ref="N69:N75" si="18">O69-SUM(I69:M69)</f>
        <v>13607390104</v>
      </c>
      <c r="O69" s="29">
        <v>150783725141</v>
      </c>
      <c r="P69" s="29">
        <f t="shared" ref="P69:P104" si="19">O69-H69</f>
        <v>-1030090524</v>
      </c>
      <c r="Q69" s="29">
        <v>62160</v>
      </c>
      <c r="R69" s="29">
        <v>1318954</v>
      </c>
      <c r="S69" s="29">
        <v>0</v>
      </c>
      <c r="T69" s="29">
        <f t="shared" ref="T69:T104" si="20">P69-Q69+R69-S69</f>
        <v>-1028833730</v>
      </c>
      <c r="U69" s="29">
        <v>1155387209</v>
      </c>
      <c r="V69" s="29">
        <v>126553479</v>
      </c>
      <c r="W69" s="29">
        <f>11284959+44248710</f>
        <v>55533669</v>
      </c>
    </row>
    <row r="70" spans="1:23">
      <c r="A70" s="14">
        <f>'法人一覧(25)'!A70</f>
        <v>67</v>
      </c>
      <c r="B70" s="2" t="str">
        <f>'法人一覧(25)'!B70</f>
        <v>農林水産省</v>
      </c>
      <c r="C70" s="2" t="str">
        <f>'法人一覧(25)'!C70</f>
        <v>農林漁業信用基金</v>
      </c>
      <c r="D70" s="29">
        <v>13563750266</v>
      </c>
      <c r="E70" s="29">
        <v>1366015608</v>
      </c>
      <c r="F70" s="29">
        <v>30281684</v>
      </c>
      <c r="G70" s="29">
        <f t="shared" si="17"/>
        <v>0</v>
      </c>
      <c r="H70" s="29">
        <v>14960047558</v>
      </c>
      <c r="I70" s="29">
        <v>0</v>
      </c>
      <c r="J70" s="29">
        <v>30321881</v>
      </c>
      <c r="K70" s="29">
        <v>0</v>
      </c>
      <c r="L70" s="29">
        <v>0</v>
      </c>
      <c r="M70" s="29">
        <v>1503864305</v>
      </c>
      <c r="N70" s="29">
        <f t="shared" si="18"/>
        <v>13107593829</v>
      </c>
      <c r="O70" s="29">
        <v>14641780015</v>
      </c>
      <c r="P70" s="29">
        <f t="shared" si="19"/>
        <v>-318267543</v>
      </c>
      <c r="Q70" s="29">
        <v>948619</v>
      </c>
      <c r="R70" s="29">
        <v>0</v>
      </c>
      <c r="S70" s="29">
        <v>0</v>
      </c>
      <c r="T70" s="29">
        <f t="shared" si="20"/>
        <v>-319216162</v>
      </c>
      <c r="U70" s="29">
        <v>2101368926</v>
      </c>
      <c r="V70" s="29">
        <v>1782152764</v>
      </c>
      <c r="W70" s="29">
        <f>19466926+35824452</f>
        <v>55291378</v>
      </c>
    </row>
    <row r="71" spans="1:23">
      <c r="A71" s="14">
        <f>'法人一覧(25)'!A71</f>
        <v>68</v>
      </c>
      <c r="B71" s="2" t="str">
        <f>'法人一覧(25)'!B71</f>
        <v>経済産業省</v>
      </c>
      <c r="C71" s="2" t="str">
        <f>'法人一覧(25)'!C71</f>
        <v>経済産業研究所</v>
      </c>
      <c r="D71" s="29">
        <v>1006363078</v>
      </c>
      <c r="E71" s="29">
        <v>306422598</v>
      </c>
      <c r="F71" s="29">
        <v>0</v>
      </c>
      <c r="G71" s="29">
        <f t="shared" si="17"/>
        <v>203381</v>
      </c>
      <c r="H71" s="29">
        <v>1312989057</v>
      </c>
      <c r="I71" s="29">
        <v>1296375395</v>
      </c>
      <c r="J71" s="29">
        <v>3045000</v>
      </c>
      <c r="K71" s="29">
        <v>5551269</v>
      </c>
      <c r="L71" s="29">
        <v>8848727</v>
      </c>
      <c r="M71" s="29">
        <v>123462</v>
      </c>
      <c r="N71" s="29">
        <f t="shared" si="18"/>
        <v>2553586</v>
      </c>
      <c r="O71" s="29">
        <v>1316497439</v>
      </c>
      <c r="P71" s="29">
        <f t="shared" si="19"/>
        <v>3508382</v>
      </c>
      <c r="Q71" s="29">
        <v>0</v>
      </c>
      <c r="R71" s="29">
        <v>0</v>
      </c>
      <c r="S71" s="29">
        <v>0</v>
      </c>
      <c r="T71" s="29">
        <f t="shared" si="20"/>
        <v>3508382</v>
      </c>
      <c r="U71" s="29">
        <v>0</v>
      </c>
      <c r="V71" s="29">
        <v>3508382</v>
      </c>
      <c r="W71" s="29">
        <f>6290586+2558141</f>
        <v>8848727</v>
      </c>
    </row>
    <row r="72" spans="1:23">
      <c r="A72" s="14">
        <f>'法人一覧(25)'!A72</f>
        <v>69</v>
      </c>
      <c r="B72" s="2" t="str">
        <f>'法人一覧(25)'!B72</f>
        <v>経済産業省</v>
      </c>
      <c r="C72" s="2" t="str">
        <f>'法人一覧(25)'!C72</f>
        <v>工業所有権情報・研修館</v>
      </c>
      <c r="D72" s="29">
        <f>155760984+174798051+731404004+4846638146+117666916+904674376+835321032</f>
        <v>7766263509</v>
      </c>
      <c r="E72" s="29">
        <v>239549030</v>
      </c>
      <c r="F72" s="29">
        <v>0</v>
      </c>
      <c r="G72" s="29">
        <f t="shared" ref="G72" si="21">H72-SUM(D72:F72)</f>
        <v>0</v>
      </c>
      <c r="H72" s="29">
        <v>8005812539</v>
      </c>
      <c r="I72" s="29">
        <v>7336436666</v>
      </c>
      <c r="J72" s="29">
        <v>0</v>
      </c>
      <c r="K72" s="29">
        <v>0</v>
      </c>
      <c r="L72" s="29">
        <v>571434712</v>
      </c>
      <c r="M72" s="29">
        <v>0</v>
      </c>
      <c r="N72" s="29">
        <f t="shared" ref="N72" si="22">O72-SUM(I72:M72)</f>
        <v>95950139</v>
      </c>
      <c r="O72" s="29">
        <v>8003821517</v>
      </c>
      <c r="P72" s="29">
        <f t="shared" si="19"/>
        <v>-1991022</v>
      </c>
      <c r="Q72" s="29">
        <v>689178</v>
      </c>
      <c r="R72" s="29">
        <v>0</v>
      </c>
      <c r="S72" s="29">
        <v>0</v>
      </c>
      <c r="T72" s="29">
        <f t="shared" si="20"/>
        <v>-2680200</v>
      </c>
      <c r="U72" s="29">
        <v>0</v>
      </c>
      <c r="V72" s="29">
        <v>-2680200</v>
      </c>
      <c r="W72" s="29">
        <f>7905197+565744795</f>
        <v>573649992</v>
      </c>
    </row>
    <row r="73" spans="1:23">
      <c r="A73" s="14">
        <f>'法人一覧(25)'!A73</f>
        <v>70</v>
      </c>
      <c r="B73" s="2" t="str">
        <f>'法人一覧(25)'!B73</f>
        <v>経済産業省</v>
      </c>
      <c r="C73" s="2" t="str">
        <f>'法人一覧(25)'!C73</f>
        <v>日本貿易保険</v>
      </c>
      <c r="D73" s="29">
        <v>1491000000</v>
      </c>
      <c r="E73" s="29">
        <v>5597000000</v>
      </c>
      <c r="F73" s="29">
        <v>0</v>
      </c>
      <c r="G73" s="29">
        <f t="shared" si="17"/>
        <v>248000000</v>
      </c>
      <c r="H73" s="29">
        <v>7336000000</v>
      </c>
      <c r="I73" s="29">
        <v>0</v>
      </c>
      <c r="J73" s="29">
        <v>0</v>
      </c>
      <c r="K73" s="29">
        <v>0</v>
      </c>
      <c r="L73" s="29">
        <v>0</v>
      </c>
      <c r="M73" s="29">
        <v>5245000000</v>
      </c>
      <c r="N73" s="29">
        <f t="shared" si="18"/>
        <v>8996000000</v>
      </c>
      <c r="O73" s="29">
        <v>14241000000</v>
      </c>
      <c r="P73" s="29">
        <f t="shared" si="19"/>
        <v>6905000000</v>
      </c>
      <c r="Q73" s="29">
        <v>161000000</v>
      </c>
      <c r="R73" s="29">
        <v>8687000000</v>
      </c>
      <c r="S73" s="29">
        <v>0</v>
      </c>
      <c r="T73" s="29">
        <f>P73-Q73+R73-S73+1000000</f>
        <v>15432000000</v>
      </c>
      <c r="U73" s="29">
        <v>0</v>
      </c>
      <c r="V73" s="29">
        <v>15432000000</v>
      </c>
      <c r="W73" s="29">
        <f>358000000+416000000</f>
        <v>774000000</v>
      </c>
    </row>
    <row r="74" spans="1:23">
      <c r="A74" s="14">
        <f>'法人一覧(25)'!A74</f>
        <v>71</v>
      </c>
      <c r="B74" s="2" t="str">
        <f>'法人一覧(25)'!B74</f>
        <v>経済産業省</v>
      </c>
      <c r="C74" s="2" t="str">
        <f>'法人一覧(25)'!C74</f>
        <v>産業技術総合研究所</v>
      </c>
      <c r="D74" s="29">
        <v>77451872305</v>
      </c>
      <c r="E74" s="29">
        <v>8123674878</v>
      </c>
      <c r="F74" s="29">
        <v>0</v>
      </c>
      <c r="G74" s="29">
        <f t="shared" si="17"/>
        <v>0</v>
      </c>
      <c r="H74" s="29">
        <v>85575547183</v>
      </c>
      <c r="I74" s="29">
        <v>60733422839</v>
      </c>
      <c r="J74" s="29">
        <f>34220572+3704926113</f>
        <v>3739146685</v>
      </c>
      <c r="K74" s="29">
        <v>11819596156</v>
      </c>
      <c r="L74" s="29">
        <v>0</v>
      </c>
      <c r="M74" s="29">
        <v>0</v>
      </c>
      <c r="N74" s="29">
        <f t="shared" si="18"/>
        <v>9033554247</v>
      </c>
      <c r="O74" s="29">
        <v>85325719927</v>
      </c>
      <c r="P74" s="29">
        <f t="shared" si="19"/>
        <v>-249827256</v>
      </c>
      <c r="Q74" s="29">
        <v>1447539481</v>
      </c>
      <c r="R74" s="29">
        <v>898269033</v>
      </c>
      <c r="S74" s="29">
        <v>0</v>
      </c>
      <c r="T74" s="29">
        <f t="shared" si="20"/>
        <v>-799097704</v>
      </c>
      <c r="U74" s="29">
        <v>1457443925</v>
      </c>
      <c r="V74" s="29">
        <v>658346221</v>
      </c>
      <c r="W74" s="29">
        <f>9942383369+231657791</f>
        <v>10174041160</v>
      </c>
    </row>
    <row r="75" spans="1:23">
      <c r="A75" s="14">
        <f>'法人一覧(25)'!A75</f>
        <v>72</v>
      </c>
      <c r="B75" s="2" t="str">
        <f>'法人一覧(25)'!B75</f>
        <v>経済産業省</v>
      </c>
      <c r="C75" s="2" t="str">
        <f>'法人一覧(25)'!C75</f>
        <v>製品評価技術基盤機構</v>
      </c>
      <c r="D75" s="29">
        <v>6048571021</v>
      </c>
      <c r="E75" s="29">
        <v>919708472</v>
      </c>
      <c r="F75" s="29">
        <v>11673988</v>
      </c>
      <c r="G75" s="29">
        <f t="shared" si="17"/>
        <v>53600</v>
      </c>
      <c r="H75" s="29">
        <v>6980007081</v>
      </c>
      <c r="I75" s="29">
        <v>6368206166</v>
      </c>
      <c r="J75" s="29">
        <v>0</v>
      </c>
      <c r="K75" s="29">
        <v>287021943</v>
      </c>
      <c r="L75" s="29">
        <v>0</v>
      </c>
      <c r="M75" s="29">
        <v>283216</v>
      </c>
      <c r="N75" s="29">
        <f t="shared" si="18"/>
        <v>313180361</v>
      </c>
      <c r="O75" s="29">
        <v>6968691686</v>
      </c>
      <c r="P75" s="29">
        <f t="shared" si="19"/>
        <v>-11315395</v>
      </c>
      <c r="Q75" s="29">
        <v>21071464</v>
      </c>
      <c r="R75" s="29">
        <v>21006397</v>
      </c>
      <c r="S75" s="29">
        <v>0</v>
      </c>
      <c r="T75" s="29">
        <f t="shared" si="20"/>
        <v>-11380462</v>
      </c>
      <c r="U75" s="29">
        <v>26167025</v>
      </c>
      <c r="V75" s="29">
        <v>14786563</v>
      </c>
      <c r="W75" s="29">
        <f>754121245+32539308</f>
        <v>786660553</v>
      </c>
    </row>
    <row r="76" spans="1:23">
      <c r="A76" s="14">
        <f>'法人一覧(25)'!A76</f>
        <v>73</v>
      </c>
      <c r="B76" s="2" t="str">
        <f>'法人一覧(25)'!B76</f>
        <v>経済産業省</v>
      </c>
      <c r="C76" s="2" t="str">
        <f>'法人一覧(25)'!C76</f>
        <v>新エネルギー・産業技術総合開発機構</v>
      </c>
      <c r="D76" s="52">
        <v>100345969790</v>
      </c>
      <c r="E76" s="52">
        <v>6377837909</v>
      </c>
      <c r="F76" s="52">
        <v>0</v>
      </c>
      <c r="G76" s="52">
        <f t="shared" ref="G76:G78" si="23">H76-SUM(D76:F76)</f>
        <v>740174586</v>
      </c>
      <c r="H76" s="52">
        <v>107463982285</v>
      </c>
      <c r="I76" s="52">
        <v>86558822318</v>
      </c>
      <c r="J76" s="52">
        <v>9466426613</v>
      </c>
      <c r="K76" s="52">
        <v>9201567227</v>
      </c>
      <c r="L76" s="52">
        <v>73019609</v>
      </c>
      <c r="M76" s="52">
        <v>115377696</v>
      </c>
      <c r="N76" s="52">
        <f t="shared" ref="N76:N78" si="24">O76-SUM(I76:M76)</f>
        <v>5678297635</v>
      </c>
      <c r="O76" s="52">
        <v>111093511098</v>
      </c>
      <c r="P76" s="52">
        <f t="shared" si="19"/>
        <v>3629528813</v>
      </c>
      <c r="Q76" s="52">
        <v>26477907</v>
      </c>
      <c r="R76" s="52">
        <v>145594621</v>
      </c>
      <c r="S76" s="52">
        <v>0</v>
      </c>
      <c r="T76" s="52">
        <f t="shared" si="20"/>
        <v>3748645527</v>
      </c>
      <c r="U76" s="52">
        <v>90306831</v>
      </c>
      <c r="V76" s="52">
        <v>3838952358</v>
      </c>
      <c r="W76" s="52">
        <v>279580748</v>
      </c>
    </row>
    <row r="77" spans="1:23">
      <c r="A77" s="14">
        <f>'法人一覧(25)'!A77</f>
        <v>74</v>
      </c>
      <c r="B77" s="2" t="str">
        <f>'法人一覧(25)'!B77</f>
        <v>経済産業省</v>
      </c>
      <c r="C77" s="2" t="str">
        <f>'法人一覧(25)'!C77</f>
        <v>日本貿易振興機構</v>
      </c>
      <c r="D77" s="52">
        <v>30111696061</v>
      </c>
      <c r="E77" s="52">
        <v>1637427447</v>
      </c>
      <c r="F77" s="52">
        <v>3954525</v>
      </c>
      <c r="G77" s="52">
        <f t="shared" si="23"/>
        <v>7100842</v>
      </c>
      <c r="H77" s="52">
        <v>31760178875</v>
      </c>
      <c r="I77" s="52">
        <v>24372704136</v>
      </c>
      <c r="J77" s="52">
        <v>2965103894</v>
      </c>
      <c r="K77" s="52">
        <v>1433611944</v>
      </c>
      <c r="L77" s="52">
        <v>296181582</v>
      </c>
      <c r="M77" s="52">
        <v>187142381</v>
      </c>
      <c r="N77" s="52">
        <f t="shared" si="24"/>
        <v>2964050613</v>
      </c>
      <c r="O77" s="52">
        <v>32218794550</v>
      </c>
      <c r="P77" s="52">
        <f t="shared" si="19"/>
        <v>458615675</v>
      </c>
      <c r="Q77" s="52">
        <v>48911290</v>
      </c>
      <c r="R77" s="52">
        <v>755903</v>
      </c>
      <c r="S77" s="52">
        <v>0</v>
      </c>
      <c r="T77" s="52">
        <f t="shared" si="20"/>
        <v>410460288</v>
      </c>
      <c r="U77" s="52">
        <v>7591064</v>
      </c>
      <c r="V77" s="52">
        <v>418051352</v>
      </c>
      <c r="W77" s="52">
        <v>2052741265</v>
      </c>
    </row>
    <row r="78" spans="1:23">
      <c r="A78" s="14">
        <f>'法人一覧(25)'!A78</f>
        <v>75</v>
      </c>
      <c r="B78" s="2" t="str">
        <f>'法人一覧(25)'!B78</f>
        <v>経済産業省</v>
      </c>
      <c r="C78" s="2" t="str">
        <f>'法人一覧(25)'!C78</f>
        <v>情報処理推進機構</v>
      </c>
      <c r="D78" s="52">
        <v>4903764198</v>
      </c>
      <c r="E78" s="52">
        <v>1458030108</v>
      </c>
      <c r="F78" s="52">
        <v>114618</v>
      </c>
      <c r="G78" s="52">
        <f t="shared" si="23"/>
        <v>63673160</v>
      </c>
      <c r="H78" s="52">
        <v>6425582084</v>
      </c>
      <c r="I78" s="52">
        <v>3344481239</v>
      </c>
      <c r="J78" s="52">
        <v>0</v>
      </c>
      <c r="K78" s="52">
        <v>2512063121</v>
      </c>
      <c r="L78" s="52">
        <v>202773694</v>
      </c>
      <c r="M78" s="52">
        <v>17063024</v>
      </c>
      <c r="N78" s="52">
        <f t="shared" si="24"/>
        <v>171485004</v>
      </c>
      <c r="O78" s="52">
        <v>6247866082</v>
      </c>
      <c r="P78" s="52">
        <f t="shared" si="19"/>
        <v>-177716002</v>
      </c>
      <c r="Q78" s="52">
        <v>3733087</v>
      </c>
      <c r="R78" s="52">
        <v>0</v>
      </c>
      <c r="S78" s="52">
        <v>3800000</v>
      </c>
      <c r="T78" s="52">
        <f t="shared" si="20"/>
        <v>-185249089</v>
      </c>
      <c r="U78" s="52">
        <v>239781610</v>
      </c>
      <c r="V78" s="52">
        <v>54532521</v>
      </c>
      <c r="W78" s="52">
        <v>1072839305</v>
      </c>
    </row>
    <row r="79" spans="1:23">
      <c r="A79" s="14">
        <f>'法人一覧(25)'!A79</f>
        <v>76</v>
      </c>
      <c r="B79" s="2" t="str">
        <f>'法人一覧(25)'!B79</f>
        <v>経済産業省</v>
      </c>
      <c r="C79" s="2" t="str">
        <f>'法人一覧(25)'!C79</f>
        <v>石油天然ガス・金属鉱物資源機構</v>
      </c>
      <c r="D79" s="29">
        <f>96866762918+119101073</f>
        <v>96985863991</v>
      </c>
      <c r="E79" s="29">
        <v>1433897845</v>
      </c>
      <c r="F79" s="29">
        <v>941753036</v>
      </c>
      <c r="G79" s="29">
        <f t="shared" ref="G79:G80" si="25">H79-SUM(D79:F79)</f>
        <v>29917138087</v>
      </c>
      <c r="H79" s="29">
        <v>129278652959</v>
      </c>
      <c r="I79" s="29">
        <v>14723090990</v>
      </c>
      <c r="J79" s="29">
        <v>7367861642</v>
      </c>
      <c r="K79" s="29">
        <v>29763010792</v>
      </c>
      <c r="L79" s="29">
        <f>786140230+133744069</f>
        <v>919884299</v>
      </c>
      <c r="M79" s="29">
        <v>767846886</v>
      </c>
      <c r="N79" s="29">
        <f t="shared" ref="N79:N80" si="26">O79-SUM(I79:M79)</f>
        <v>62136643876</v>
      </c>
      <c r="O79" s="29">
        <v>115678338485</v>
      </c>
      <c r="P79" s="29">
        <f t="shared" si="19"/>
        <v>-13600314474</v>
      </c>
      <c r="Q79" s="29">
        <v>15413596244</v>
      </c>
      <c r="R79" s="29">
        <v>550618749</v>
      </c>
      <c r="S79" s="29">
        <v>0</v>
      </c>
      <c r="T79" s="29">
        <f t="shared" si="20"/>
        <v>-28463291969</v>
      </c>
      <c r="U79" s="29">
        <v>0</v>
      </c>
      <c r="V79" s="29">
        <v>-28463291969</v>
      </c>
      <c r="W79" s="29">
        <f>1166094333+27072215</f>
        <v>1193166548</v>
      </c>
    </row>
    <row r="80" spans="1:23">
      <c r="A80" s="14">
        <f>'法人一覧(25)'!A80</f>
        <v>77</v>
      </c>
      <c r="B80" s="2" t="str">
        <f>'法人一覧(25)'!B80</f>
        <v>経済産業省</v>
      </c>
      <c r="C80" s="2" t="str">
        <f>'法人一覧(25)'!C80</f>
        <v>中小企業基盤整備機構</v>
      </c>
      <c r="D80" s="29">
        <f>7843881507+14913590902+33564067+13217276492+819887165708+5743753707</f>
        <v>861639232383</v>
      </c>
      <c r="E80" s="29">
        <v>4552757359</v>
      </c>
      <c r="F80" s="29">
        <v>31218751</v>
      </c>
      <c r="G80" s="29">
        <f t="shared" si="25"/>
        <v>1803580</v>
      </c>
      <c r="H80" s="29">
        <v>866225012073</v>
      </c>
      <c r="I80" s="29">
        <v>39356604127</v>
      </c>
      <c r="J80" s="29">
        <v>9088360196</v>
      </c>
      <c r="K80" s="29">
        <v>103127335</v>
      </c>
      <c r="L80" s="29">
        <f>128364060+451053568</f>
        <v>579417628</v>
      </c>
      <c r="M80" s="29">
        <v>2667614692</v>
      </c>
      <c r="N80" s="29">
        <f t="shared" si="26"/>
        <v>1098141129042</v>
      </c>
      <c r="O80" s="29">
        <v>1149936253020</v>
      </c>
      <c r="P80" s="29">
        <f t="shared" si="19"/>
        <v>283711240947</v>
      </c>
      <c r="Q80" s="29">
        <v>5617763742</v>
      </c>
      <c r="R80" s="29">
        <v>3165738066</v>
      </c>
      <c r="S80" s="29">
        <v>47512300</v>
      </c>
      <c r="T80" s="29">
        <f t="shared" si="20"/>
        <v>281211702971</v>
      </c>
      <c r="U80" s="29">
        <v>1104962239</v>
      </c>
      <c r="V80" s="29">
        <v>282316665210</v>
      </c>
      <c r="W80" s="29">
        <f>1416973734+410984046</f>
        <v>1827957780</v>
      </c>
    </row>
    <row r="81" spans="1:23">
      <c r="A81" s="14">
        <f>'法人一覧(25)'!A81</f>
        <v>78</v>
      </c>
      <c r="B81" s="2" t="str">
        <f>'法人一覧(25)'!B81</f>
        <v>国土交通省</v>
      </c>
      <c r="C81" s="2" t="str">
        <f>'法人一覧(25)'!C81</f>
        <v>土木研究所</v>
      </c>
      <c r="D81" s="52">
        <v>8429901502</v>
      </c>
      <c r="E81" s="52">
        <v>1531894516</v>
      </c>
      <c r="F81" s="52">
        <v>2697155</v>
      </c>
      <c r="G81" s="52">
        <f t="shared" ref="G81:G82" si="27">H81-SUM(D81:F81)</f>
        <v>22796551</v>
      </c>
      <c r="H81" s="52">
        <v>9987289724</v>
      </c>
      <c r="I81" s="52">
        <v>7751678288</v>
      </c>
      <c r="J81" s="52">
        <v>1324721520</v>
      </c>
      <c r="K81" s="52">
        <v>218532347</v>
      </c>
      <c r="L81" s="52">
        <v>281939695</v>
      </c>
      <c r="M81" s="52">
        <v>0</v>
      </c>
      <c r="N81" s="52">
        <f t="shared" ref="N81:N82" si="28">O81-SUM(I81:M81)</f>
        <v>451474480</v>
      </c>
      <c r="O81" s="52">
        <v>10028346330</v>
      </c>
      <c r="P81" s="52">
        <f t="shared" si="19"/>
        <v>41056606</v>
      </c>
      <c r="Q81" s="52">
        <v>5743584</v>
      </c>
      <c r="R81" s="52">
        <v>5814244</v>
      </c>
      <c r="S81" s="52">
        <v>0</v>
      </c>
      <c r="T81" s="52">
        <f t="shared" si="20"/>
        <v>41127266</v>
      </c>
      <c r="U81" s="52">
        <v>3815097</v>
      </c>
      <c r="V81" s="52">
        <v>44942363</v>
      </c>
      <c r="W81" s="52">
        <f>271134131+35216590</f>
        <v>306350721</v>
      </c>
    </row>
    <row r="82" spans="1:23">
      <c r="A82" s="14">
        <f>'法人一覧(25)'!A82</f>
        <v>79</v>
      </c>
      <c r="B82" s="2" t="str">
        <f>'法人一覧(25)'!B82</f>
        <v>国土交通省</v>
      </c>
      <c r="C82" s="2" t="str">
        <f>'法人一覧(25)'!C82</f>
        <v>建築研究所</v>
      </c>
      <c r="D82" s="52">
        <v>1284239432</v>
      </c>
      <c r="E82" s="52">
        <v>482867567</v>
      </c>
      <c r="F82" s="52">
        <v>430024</v>
      </c>
      <c r="G82" s="52">
        <f t="shared" si="27"/>
        <v>0</v>
      </c>
      <c r="H82" s="52">
        <v>1767537023</v>
      </c>
      <c r="I82" s="52">
        <v>1604415776</v>
      </c>
      <c r="J82" s="52">
        <v>8191835</v>
      </c>
      <c r="K82" s="52">
        <v>52023642</v>
      </c>
      <c r="L82" s="52">
        <v>49091476</v>
      </c>
      <c r="M82" s="52">
        <v>0</v>
      </c>
      <c r="N82" s="52">
        <f t="shared" si="28"/>
        <v>62304163</v>
      </c>
      <c r="O82" s="52">
        <v>1776026892</v>
      </c>
      <c r="P82" s="52">
        <f t="shared" si="19"/>
        <v>8489869</v>
      </c>
      <c r="Q82" s="52">
        <v>4627593</v>
      </c>
      <c r="R82" s="52">
        <v>4627593</v>
      </c>
      <c r="S82" s="52">
        <v>0</v>
      </c>
      <c r="T82" s="52">
        <f t="shared" si="20"/>
        <v>8489869</v>
      </c>
      <c r="U82" s="52">
        <v>0</v>
      </c>
      <c r="V82" s="52">
        <v>8489869</v>
      </c>
      <c r="W82" s="52">
        <f>54423779+856275</f>
        <v>55280054</v>
      </c>
    </row>
    <row r="83" spans="1:23">
      <c r="A83" s="14">
        <f>'法人一覧(25)'!A83</f>
        <v>80</v>
      </c>
      <c r="B83" s="2" t="str">
        <f>'法人一覧(25)'!B83</f>
        <v>国土交通省</v>
      </c>
      <c r="C83" s="2" t="str">
        <f>'法人一覧(25)'!C83</f>
        <v>交通安全環境研究所</v>
      </c>
      <c r="D83" s="52">
        <f>SUM(997088329,865601064)</f>
        <v>1862689393</v>
      </c>
      <c r="E83" s="52">
        <v>207369905</v>
      </c>
      <c r="F83" s="52">
        <v>927045</v>
      </c>
      <c r="G83" s="52">
        <f t="shared" ref="G83:G99" si="29">H83-SUM(D83:F83)</f>
        <v>188496</v>
      </c>
      <c r="H83" s="52">
        <v>2071174839</v>
      </c>
      <c r="I83" s="52">
        <v>1404628906</v>
      </c>
      <c r="J83" s="52">
        <v>13324500</v>
      </c>
      <c r="K83" s="52">
        <f>SUM(351472235,196711364)</f>
        <v>548183599</v>
      </c>
      <c r="L83" s="52">
        <v>106341410</v>
      </c>
      <c r="M83" s="52">
        <v>0</v>
      </c>
      <c r="N83" s="52">
        <f t="shared" ref="N83:N99" si="30">O83-SUM(I83:M83)</f>
        <v>31228111</v>
      </c>
      <c r="O83" s="52">
        <v>2103706526</v>
      </c>
      <c r="P83" s="52">
        <f t="shared" si="19"/>
        <v>32531687</v>
      </c>
      <c r="Q83" s="52">
        <v>14761</v>
      </c>
      <c r="R83" s="52">
        <v>4507646</v>
      </c>
      <c r="S83" s="52">
        <v>0</v>
      </c>
      <c r="T83" s="52">
        <f t="shared" si="20"/>
        <v>37024572</v>
      </c>
      <c r="U83" s="52">
        <v>47555680</v>
      </c>
      <c r="V83" s="52">
        <v>84580252</v>
      </c>
      <c r="W83" s="65">
        <v>227301729</v>
      </c>
    </row>
    <row r="84" spans="1:23">
      <c r="A84" s="14">
        <f>'法人一覧(25)'!A84</f>
        <v>81</v>
      </c>
      <c r="B84" s="2" t="str">
        <f>'法人一覧(25)'!B84</f>
        <v>国土交通省</v>
      </c>
      <c r="C84" s="2" t="str">
        <f>'法人一覧(25)'!C84</f>
        <v>海上技術安全研究所</v>
      </c>
      <c r="D84" s="52">
        <v>3380262687</v>
      </c>
      <c r="E84" s="52">
        <v>447210457</v>
      </c>
      <c r="F84" s="52">
        <v>661525</v>
      </c>
      <c r="G84" s="52">
        <f t="shared" si="29"/>
        <v>0</v>
      </c>
      <c r="H84" s="52">
        <v>3828134669</v>
      </c>
      <c r="I84" s="52">
        <v>2408946011</v>
      </c>
      <c r="J84" s="52">
        <v>18582881</v>
      </c>
      <c r="K84" s="52">
        <v>1318586858</v>
      </c>
      <c r="L84" s="52">
        <v>174284248</v>
      </c>
      <c r="M84" s="52">
        <v>0</v>
      </c>
      <c r="N84" s="52">
        <f t="shared" si="30"/>
        <v>101077522</v>
      </c>
      <c r="O84" s="52">
        <v>4021477520</v>
      </c>
      <c r="P84" s="52">
        <f t="shared" si="19"/>
        <v>193342851</v>
      </c>
      <c r="Q84" s="52">
        <v>42674665</v>
      </c>
      <c r="R84" s="52">
        <v>601880</v>
      </c>
      <c r="S84" s="52">
        <v>0</v>
      </c>
      <c r="T84" s="52">
        <f t="shared" si="20"/>
        <v>151270066</v>
      </c>
      <c r="U84" s="52">
        <v>17789532</v>
      </c>
      <c r="V84" s="52">
        <v>169059598</v>
      </c>
      <c r="W84" s="65">
        <f>SUM(225403607,12660)</f>
        <v>225416267</v>
      </c>
    </row>
    <row r="85" spans="1:23">
      <c r="A85" s="14">
        <f>'法人一覧(25)'!A85</f>
        <v>82</v>
      </c>
      <c r="B85" s="2" t="str">
        <f>'法人一覧(25)'!B85</f>
        <v>国土交通省</v>
      </c>
      <c r="C85" s="2" t="str">
        <f>'法人一覧(25)'!C85</f>
        <v>港湾空港技術研究所</v>
      </c>
      <c r="D85" s="52">
        <v>2536779283</v>
      </c>
      <c r="E85" s="52">
        <v>280498494</v>
      </c>
      <c r="F85" s="52">
        <v>570889</v>
      </c>
      <c r="G85" s="52">
        <f t="shared" si="29"/>
        <v>0</v>
      </c>
      <c r="H85" s="52">
        <v>2817848666</v>
      </c>
      <c r="I85" s="52">
        <v>1104025482</v>
      </c>
      <c r="J85" s="52">
        <v>2581453</v>
      </c>
      <c r="K85" s="52">
        <v>1606001038</v>
      </c>
      <c r="L85" s="52">
        <v>17860639</v>
      </c>
      <c r="M85" s="52">
        <v>0</v>
      </c>
      <c r="N85" s="52">
        <f t="shared" si="30"/>
        <v>118640589</v>
      </c>
      <c r="O85" s="52">
        <v>2849109201</v>
      </c>
      <c r="P85" s="52">
        <f t="shared" si="19"/>
        <v>31260535</v>
      </c>
      <c r="Q85" s="52">
        <v>921458</v>
      </c>
      <c r="R85" s="52">
        <v>889953</v>
      </c>
      <c r="S85" s="52">
        <v>0</v>
      </c>
      <c r="T85" s="52">
        <f t="shared" si="20"/>
        <v>31229030</v>
      </c>
      <c r="U85" s="52">
        <v>54175661</v>
      </c>
      <c r="V85" s="52">
        <v>85404691</v>
      </c>
      <c r="W85" s="65">
        <f>SUM(146007833,886897)</f>
        <v>146894730</v>
      </c>
    </row>
    <row r="86" spans="1:23">
      <c r="A86" s="14">
        <f>'法人一覧(25)'!A86</f>
        <v>83</v>
      </c>
      <c r="B86" s="2" t="str">
        <f>'法人一覧(25)'!B86</f>
        <v>国土交通省</v>
      </c>
      <c r="C86" s="2" t="str">
        <f>'法人一覧(25)'!C86</f>
        <v>電子航法研究所</v>
      </c>
      <c r="D86" s="52">
        <v>1254828629</v>
      </c>
      <c r="E86" s="52">
        <v>190386808</v>
      </c>
      <c r="F86" s="52">
        <v>426829</v>
      </c>
      <c r="G86" s="52">
        <f t="shared" si="29"/>
        <v>0</v>
      </c>
      <c r="H86" s="52">
        <v>1445642266</v>
      </c>
      <c r="I86" s="52">
        <v>1084573912</v>
      </c>
      <c r="J86" s="52">
        <v>0</v>
      </c>
      <c r="K86" s="52">
        <v>116522748</v>
      </c>
      <c r="L86" s="52">
        <v>236975001</v>
      </c>
      <c r="M86" s="52">
        <v>0</v>
      </c>
      <c r="N86" s="52">
        <f t="shared" si="30"/>
        <v>19890646</v>
      </c>
      <c r="O86" s="52">
        <v>1457962307</v>
      </c>
      <c r="P86" s="52">
        <f t="shared" si="19"/>
        <v>12320041</v>
      </c>
      <c r="Q86" s="52">
        <v>957509</v>
      </c>
      <c r="R86" s="52">
        <v>957509</v>
      </c>
      <c r="S86" s="52">
        <v>0</v>
      </c>
      <c r="T86" s="52">
        <v>12320041</v>
      </c>
      <c r="U86" s="52">
        <v>0</v>
      </c>
      <c r="V86" s="52">
        <v>12320041</v>
      </c>
      <c r="W86" s="65">
        <f>SUM(262255045,0)</f>
        <v>262255045</v>
      </c>
    </row>
    <row r="87" spans="1:23">
      <c r="A87" s="14">
        <f>'法人一覧(25)'!A87</f>
        <v>84</v>
      </c>
      <c r="B87" s="2" t="str">
        <f>'法人一覧(25)'!B87</f>
        <v>国土交通省</v>
      </c>
      <c r="C87" s="2" t="str">
        <f>'法人一覧(25)'!C87</f>
        <v>航海訓練所</v>
      </c>
      <c r="D87" s="52">
        <v>5306510371</v>
      </c>
      <c r="E87" s="52">
        <v>317622731</v>
      </c>
      <c r="F87" s="52">
        <v>0</v>
      </c>
      <c r="G87" s="52">
        <f t="shared" si="29"/>
        <v>141650</v>
      </c>
      <c r="H87" s="52">
        <v>5624274752</v>
      </c>
      <c r="I87" s="52">
        <v>4644135254</v>
      </c>
      <c r="J87" s="52">
        <v>0</v>
      </c>
      <c r="K87" s="52">
        <v>58893396</v>
      </c>
      <c r="L87" s="52">
        <v>603231162</v>
      </c>
      <c r="M87" s="52">
        <v>431168</v>
      </c>
      <c r="N87" s="52">
        <f t="shared" si="30"/>
        <v>275916608</v>
      </c>
      <c r="O87" s="52">
        <v>5582607588</v>
      </c>
      <c r="P87" s="52">
        <f t="shared" si="19"/>
        <v>-41667164</v>
      </c>
      <c r="Q87" s="52">
        <v>0</v>
      </c>
      <c r="R87" s="52">
        <v>42845223</v>
      </c>
      <c r="S87" s="52">
        <v>0</v>
      </c>
      <c r="T87" s="52">
        <f t="shared" si="20"/>
        <v>1178059</v>
      </c>
      <c r="U87" s="52">
        <v>0</v>
      </c>
      <c r="V87" s="52">
        <v>1178059</v>
      </c>
      <c r="W87" s="65">
        <f>32516385+724865</f>
        <v>33241250</v>
      </c>
    </row>
    <row r="88" spans="1:23">
      <c r="A88" s="14">
        <f>'法人一覧(25)'!A88</f>
        <v>85</v>
      </c>
      <c r="B88" s="2" t="str">
        <f>'法人一覧(25)'!B88</f>
        <v>国土交通省</v>
      </c>
      <c r="C88" s="2" t="str">
        <f>'法人一覧(25)'!C88</f>
        <v>海技教育機構</v>
      </c>
      <c r="D88" s="65">
        <v>1868480147</v>
      </c>
      <c r="E88" s="65">
        <v>557187226</v>
      </c>
      <c r="F88" s="65">
        <v>4602917</v>
      </c>
      <c r="G88" s="65">
        <f t="shared" si="29"/>
        <v>22858483</v>
      </c>
      <c r="H88" s="65">
        <v>2453128773</v>
      </c>
      <c r="I88" s="65">
        <v>2121679896</v>
      </c>
      <c r="J88" s="74">
        <v>0</v>
      </c>
      <c r="K88" s="65">
        <v>27091800</v>
      </c>
      <c r="L88" s="65">
        <v>74766355</v>
      </c>
      <c r="M88" s="65">
        <v>336</v>
      </c>
      <c r="N88" s="65">
        <f t="shared" si="30"/>
        <v>232616130</v>
      </c>
      <c r="O88" s="65">
        <v>2456154517</v>
      </c>
      <c r="P88" s="65">
        <f t="shared" si="19"/>
        <v>3025744</v>
      </c>
      <c r="Q88" s="65">
        <v>600143</v>
      </c>
      <c r="R88" s="65">
        <v>600143</v>
      </c>
      <c r="S88" s="65">
        <v>0</v>
      </c>
      <c r="T88" s="65">
        <f t="shared" si="20"/>
        <v>3025744</v>
      </c>
      <c r="U88" s="65">
        <v>540508</v>
      </c>
      <c r="V88" s="65">
        <v>3566252</v>
      </c>
      <c r="W88" s="65">
        <f>143630027+4035034</f>
        <v>147665061</v>
      </c>
    </row>
    <row r="89" spans="1:23">
      <c r="A89" s="14">
        <f>'法人一覧(25)'!A89</f>
        <v>86</v>
      </c>
      <c r="B89" s="2" t="str">
        <f>'法人一覧(25)'!B89</f>
        <v>国土交通省</v>
      </c>
      <c r="C89" s="2" t="str">
        <f>'法人一覧(25)'!C89</f>
        <v>航空大学校</v>
      </c>
      <c r="D89" s="29">
        <v>2181845561</v>
      </c>
      <c r="E89" s="29">
        <v>607998826</v>
      </c>
      <c r="F89" s="29">
        <v>81887766</v>
      </c>
      <c r="G89" s="29">
        <f t="shared" si="29"/>
        <v>0</v>
      </c>
      <c r="H89" s="29">
        <v>2871732153</v>
      </c>
      <c r="I89" s="29">
        <v>1889949553</v>
      </c>
      <c r="J89" s="29">
        <v>81023250</v>
      </c>
      <c r="K89" s="29">
        <v>31269289</v>
      </c>
      <c r="L89" s="29">
        <f>993011+31273844</f>
        <v>32266855</v>
      </c>
      <c r="M89" s="29">
        <v>0</v>
      </c>
      <c r="N89" s="29">
        <f t="shared" si="30"/>
        <v>819901106</v>
      </c>
      <c r="O89" s="29">
        <v>2854410053</v>
      </c>
      <c r="P89" s="29">
        <f t="shared" si="19"/>
        <v>-17322100</v>
      </c>
      <c r="Q89" s="29">
        <v>1248199</v>
      </c>
      <c r="R89" s="29">
        <v>1248199</v>
      </c>
      <c r="S89" s="29">
        <v>0</v>
      </c>
      <c r="T89" s="29">
        <f t="shared" si="20"/>
        <v>-17322100</v>
      </c>
      <c r="U89" s="29">
        <v>0</v>
      </c>
      <c r="V89" s="52">
        <v>-17322100</v>
      </c>
      <c r="W89" s="29">
        <f>147615150+731889</f>
        <v>148347039</v>
      </c>
    </row>
    <row r="90" spans="1:23">
      <c r="A90" s="14">
        <f>'法人一覧(25)'!A90</f>
        <v>87</v>
      </c>
      <c r="B90" s="2" t="str">
        <f>'法人一覧(25)'!B90</f>
        <v>国土交通省</v>
      </c>
      <c r="C90" s="2" t="str">
        <f>'法人一覧(25)'!C90</f>
        <v>自動車検査</v>
      </c>
      <c r="D90" s="52">
        <v>8755566787</v>
      </c>
      <c r="E90" s="52">
        <v>917465689</v>
      </c>
      <c r="F90" s="52">
        <v>22554</v>
      </c>
      <c r="G90" s="52">
        <f t="shared" si="29"/>
        <v>0</v>
      </c>
      <c r="H90" s="52">
        <v>9673055030</v>
      </c>
      <c r="I90" s="52">
        <v>6723780</v>
      </c>
      <c r="J90" s="52">
        <v>0</v>
      </c>
      <c r="K90" s="52">
        <v>10918954</v>
      </c>
      <c r="L90" s="52">
        <v>941839461</v>
      </c>
      <c r="M90" s="52">
        <v>2690486</v>
      </c>
      <c r="N90" s="52">
        <f t="shared" si="30"/>
        <v>8987403003</v>
      </c>
      <c r="O90" s="52">
        <v>9949575684</v>
      </c>
      <c r="P90" s="52">
        <f t="shared" si="19"/>
        <v>276520654</v>
      </c>
      <c r="Q90" s="52">
        <v>0</v>
      </c>
      <c r="R90" s="52">
        <v>0</v>
      </c>
      <c r="S90" s="52">
        <v>0</v>
      </c>
      <c r="T90" s="52">
        <f t="shared" si="20"/>
        <v>276520654</v>
      </c>
      <c r="U90" s="52">
        <v>198738856</v>
      </c>
      <c r="V90" s="52">
        <v>475259510</v>
      </c>
      <c r="W90" s="65">
        <f>SUM(1432457079,13405560)</f>
        <v>1445862639</v>
      </c>
    </row>
    <row r="91" spans="1:23">
      <c r="A91" s="14">
        <f>'法人一覧(25)'!A91</f>
        <v>88</v>
      </c>
      <c r="B91" s="2" t="str">
        <f>'法人一覧(25)'!B91</f>
        <v>国土交通省</v>
      </c>
      <c r="C91" s="2" t="str">
        <f>'法人一覧(25)'!C91</f>
        <v>鉄道建設・運輸施設整備支援機構</v>
      </c>
      <c r="D91" s="52">
        <v>816300633191</v>
      </c>
      <c r="E91" s="52">
        <v>6205668048</v>
      </c>
      <c r="F91" s="52">
        <v>60090405581</v>
      </c>
      <c r="G91" s="52">
        <f t="shared" si="29"/>
        <v>401061259</v>
      </c>
      <c r="H91" s="52">
        <v>882997768079</v>
      </c>
      <c r="I91" s="52">
        <v>201212396</v>
      </c>
      <c r="J91" s="52">
        <f>15071395419</f>
        <v>15071395419</v>
      </c>
      <c r="K91" s="52">
        <v>121968141708</v>
      </c>
      <c r="L91" s="68">
        <f>80067559591+189470927</f>
        <v>80257030518</v>
      </c>
      <c r="M91" s="52">
        <v>163184988</v>
      </c>
      <c r="N91" s="52">
        <f t="shared" si="30"/>
        <v>684051630786</v>
      </c>
      <c r="O91" s="52">
        <v>901712595815</v>
      </c>
      <c r="P91" s="52">
        <f t="shared" si="19"/>
        <v>18714827736</v>
      </c>
      <c r="Q91" s="52">
        <v>69054012</v>
      </c>
      <c r="R91" s="52">
        <v>0</v>
      </c>
      <c r="S91" s="52">
        <v>0</v>
      </c>
      <c r="T91" s="52">
        <f t="shared" si="20"/>
        <v>18645773724</v>
      </c>
      <c r="U91" s="52">
        <v>58627731031</v>
      </c>
      <c r="V91" s="52">
        <v>77273504755</v>
      </c>
      <c r="W91" s="65">
        <f>129342723795+6454478624</f>
        <v>135797202419</v>
      </c>
    </row>
    <row r="92" spans="1:23">
      <c r="A92" s="14">
        <f>'法人一覧(25)'!A92</f>
        <v>89</v>
      </c>
      <c r="B92" s="2" t="str">
        <f>'法人一覧(25)'!B92</f>
        <v>国土交通省</v>
      </c>
      <c r="C92" s="2" t="str">
        <f>'法人一覧(25)'!C92</f>
        <v>国際観光振興機構</v>
      </c>
      <c r="D92" s="52">
        <f>SUM(920922394,54524848)</f>
        <v>975447242</v>
      </c>
      <c r="E92" s="52">
        <v>1301283793</v>
      </c>
      <c r="F92" s="52">
        <v>0</v>
      </c>
      <c r="G92" s="52">
        <f t="shared" si="29"/>
        <v>501800</v>
      </c>
      <c r="H92" s="52">
        <v>2277232835</v>
      </c>
      <c r="I92" s="52">
        <v>1753971172</v>
      </c>
      <c r="J92" s="52">
        <v>0</v>
      </c>
      <c r="K92" s="52">
        <v>56386936</v>
      </c>
      <c r="L92" s="52">
        <f>SUM(14676669,246780,3111365)</f>
        <v>18034814</v>
      </c>
      <c r="M92" s="52">
        <v>1964879</v>
      </c>
      <c r="N92" s="52">
        <f t="shared" si="30"/>
        <v>436323691</v>
      </c>
      <c r="O92" s="52">
        <v>2266681492</v>
      </c>
      <c r="P92" s="52">
        <f t="shared" si="19"/>
        <v>-10551343</v>
      </c>
      <c r="Q92" s="52">
        <v>154859</v>
      </c>
      <c r="R92" s="52">
        <v>720249</v>
      </c>
      <c r="S92" s="52">
        <v>0</v>
      </c>
      <c r="T92" s="52">
        <f t="shared" si="20"/>
        <v>-9985953</v>
      </c>
      <c r="U92" s="52">
        <v>5876432</v>
      </c>
      <c r="V92" s="52">
        <v>-4109521</v>
      </c>
      <c r="W92" s="65">
        <f>SUM(14093695,3857455)</f>
        <v>17951150</v>
      </c>
    </row>
    <row r="93" spans="1:23">
      <c r="A93" s="14">
        <f>'法人一覧(25)'!A93</f>
        <v>90</v>
      </c>
      <c r="B93" s="2" t="str">
        <f>'法人一覧(25)'!B93</f>
        <v>国土交通省</v>
      </c>
      <c r="C93" s="2" t="str">
        <f>'法人一覧(25)'!C93</f>
        <v>水資源機構</v>
      </c>
      <c r="D93" s="52">
        <f>29977453008+684769274+8588087</f>
        <v>30670810369</v>
      </c>
      <c r="E93" s="52">
        <v>-906221443</v>
      </c>
      <c r="F93" s="52">
        <v>11982302598</v>
      </c>
      <c r="G93" s="52">
        <f t="shared" ref="G93" si="31">H93-SUM(D93:F93)</f>
        <v>75747104307</v>
      </c>
      <c r="H93" s="52">
        <v>117493995831</v>
      </c>
      <c r="I93" s="52">
        <v>0</v>
      </c>
      <c r="J93" s="52">
        <f>25941989452</f>
        <v>25941989452</v>
      </c>
      <c r="K93" s="52">
        <v>684769274</v>
      </c>
      <c r="L93" s="52">
        <f>75689610955+8588087</f>
        <v>75698199042</v>
      </c>
      <c r="M93" s="52">
        <v>14961398602</v>
      </c>
      <c r="N93" s="52">
        <f t="shared" ref="N93" si="32">O93-SUM(I93:M93)</f>
        <v>2203474910</v>
      </c>
      <c r="O93" s="52">
        <v>119489831280</v>
      </c>
      <c r="P93" s="52">
        <f t="shared" si="19"/>
        <v>1995835449</v>
      </c>
      <c r="Q93" s="52">
        <v>0</v>
      </c>
      <c r="R93" s="52">
        <v>0</v>
      </c>
      <c r="S93" s="52">
        <v>0</v>
      </c>
      <c r="T93" s="52">
        <f t="shared" si="20"/>
        <v>1995835449</v>
      </c>
      <c r="U93" s="52">
        <v>3982112061</v>
      </c>
      <c r="V93" s="52">
        <v>5977947510</v>
      </c>
      <c r="W93" s="65">
        <f>73562746219+28048441</f>
        <v>73590794660</v>
      </c>
    </row>
    <row r="94" spans="1:23">
      <c r="A94" s="14">
        <f>'法人一覧(25)'!A94</f>
        <v>91</v>
      </c>
      <c r="B94" s="2" t="str">
        <f>'法人一覧(25)'!B94</f>
        <v>国土交通省</v>
      </c>
      <c r="C94" s="2" t="str">
        <f>'法人一覧(25)'!C94</f>
        <v>自動車事故対策機構</v>
      </c>
      <c r="D94" s="52">
        <v>9894699532</v>
      </c>
      <c r="E94" s="52">
        <v>1927720203</v>
      </c>
      <c r="F94" s="52">
        <v>4112655</v>
      </c>
      <c r="G94" s="52">
        <f t="shared" si="29"/>
        <v>0</v>
      </c>
      <c r="H94" s="52">
        <v>11826532390</v>
      </c>
      <c r="I94" s="52">
        <v>5981365620</v>
      </c>
      <c r="J94" s="52">
        <v>3137547804</v>
      </c>
      <c r="K94" s="52">
        <v>0</v>
      </c>
      <c r="L94" s="52">
        <v>303897487</v>
      </c>
      <c r="M94" s="52">
        <v>12339372</v>
      </c>
      <c r="N94" s="52">
        <f t="shared" si="30"/>
        <v>2399404631</v>
      </c>
      <c r="O94" s="52">
        <v>11834554914</v>
      </c>
      <c r="P94" s="52">
        <f t="shared" si="19"/>
        <v>8022524</v>
      </c>
      <c r="Q94" s="52">
        <v>13204468</v>
      </c>
      <c r="R94" s="52">
        <v>513870</v>
      </c>
      <c r="S94" s="52">
        <v>0</v>
      </c>
      <c r="T94" s="52">
        <f t="shared" si="20"/>
        <v>-4668074</v>
      </c>
      <c r="U94" s="52">
        <v>433473</v>
      </c>
      <c r="V94" s="52">
        <v>-4234601</v>
      </c>
      <c r="W94" s="65">
        <f>249730991+69173107</f>
        <v>318904098</v>
      </c>
    </row>
    <row r="95" spans="1:23">
      <c r="A95" s="14">
        <f>'法人一覧(25)'!A95</f>
        <v>92</v>
      </c>
      <c r="B95" s="2" t="str">
        <f>'法人一覧(25)'!B95</f>
        <v>国土交通省</v>
      </c>
      <c r="C95" s="2" t="str">
        <f>'法人一覧(25)'!C95</f>
        <v>空港周辺整備機構</v>
      </c>
      <c r="D95" s="52">
        <v>2027240962</v>
      </c>
      <c r="E95" s="52">
        <v>180803366</v>
      </c>
      <c r="F95" s="52">
        <v>7942198</v>
      </c>
      <c r="G95" s="52">
        <f t="shared" si="29"/>
        <v>1</v>
      </c>
      <c r="H95" s="52">
        <v>2215986527</v>
      </c>
      <c r="I95" s="69" t="s">
        <v>311</v>
      </c>
      <c r="J95" s="52">
        <v>130566976</v>
      </c>
      <c r="K95" s="52">
        <v>1589552854</v>
      </c>
      <c r="L95" s="52">
        <v>13589156</v>
      </c>
      <c r="M95" s="52">
        <v>654863</v>
      </c>
      <c r="N95" s="52">
        <f t="shared" si="30"/>
        <v>632507770</v>
      </c>
      <c r="O95" s="52">
        <v>2366871619</v>
      </c>
      <c r="P95" s="52">
        <f t="shared" si="19"/>
        <v>150885092</v>
      </c>
      <c r="Q95" s="52">
        <v>0</v>
      </c>
      <c r="R95" s="52">
        <v>0</v>
      </c>
      <c r="S95" s="52">
        <v>0</v>
      </c>
      <c r="T95" s="52">
        <f t="shared" si="20"/>
        <v>150885092</v>
      </c>
      <c r="U95" s="52">
        <v>0</v>
      </c>
      <c r="V95" s="52">
        <v>150885092</v>
      </c>
      <c r="W95" s="65">
        <f>112837479+112959</f>
        <v>112950438</v>
      </c>
    </row>
    <row r="96" spans="1:23">
      <c r="A96" s="14">
        <f>'法人一覧(25)'!A96</f>
        <v>93</v>
      </c>
      <c r="B96" s="2" t="str">
        <f>'法人一覧(25)'!B96</f>
        <v>国土交通省</v>
      </c>
      <c r="C96" s="2" t="str">
        <f>'法人一覧(25)'!C96</f>
        <v>海上災害防止センター</v>
      </c>
      <c r="D96" s="65">
        <v>725656608</v>
      </c>
      <c r="E96" s="65">
        <v>83468731</v>
      </c>
      <c r="F96" s="65">
        <v>145716</v>
      </c>
      <c r="G96" s="65">
        <f t="shared" si="29"/>
        <v>0</v>
      </c>
      <c r="H96" s="65">
        <v>809271055</v>
      </c>
      <c r="I96" s="65">
        <v>0</v>
      </c>
      <c r="J96" s="65">
        <v>0</v>
      </c>
      <c r="K96" s="65">
        <v>36961587</v>
      </c>
      <c r="L96" s="65">
        <v>46237162</v>
      </c>
      <c r="M96" s="65">
        <v>20513150</v>
      </c>
      <c r="N96" s="65">
        <f t="shared" si="30"/>
        <v>667977317</v>
      </c>
      <c r="O96" s="65">
        <v>771689216</v>
      </c>
      <c r="P96" s="65">
        <f t="shared" si="19"/>
        <v>-37581839</v>
      </c>
      <c r="Q96" s="65">
        <v>0</v>
      </c>
      <c r="R96" s="65">
        <v>10659889</v>
      </c>
      <c r="S96" s="65">
        <v>1248800</v>
      </c>
      <c r="T96" s="65">
        <f t="shared" si="20"/>
        <v>-28170750</v>
      </c>
      <c r="U96" s="65">
        <v>0</v>
      </c>
      <c r="V96" s="65">
        <v>-28170750</v>
      </c>
      <c r="W96" s="65">
        <f>118518451+5728950</f>
        <v>124247401</v>
      </c>
    </row>
    <row r="97" spans="1:23">
      <c r="A97" s="14">
        <f>'法人一覧(25)'!A97</f>
        <v>94</v>
      </c>
      <c r="B97" s="2" t="str">
        <f>'法人一覧(25)'!B97</f>
        <v>国土交通省</v>
      </c>
      <c r="C97" s="2" t="str">
        <f>'法人一覧(25)'!C97</f>
        <v>都市再生機構</v>
      </c>
      <c r="D97" s="52">
        <v>733823884008</v>
      </c>
      <c r="E97" s="52">
        <v>16378603764</v>
      </c>
      <c r="F97" s="52">
        <v>193144000151</v>
      </c>
      <c r="G97" s="52">
        <f t="shared" si="29"/>
        <v>60760507408</v>
      </c>
      <c r="H97" s="52">
        <v>1004106995331</v>
      </c>
      <c r="I97" s="52">
        <v>0</v>
      </c>
      <c r="J97" s="52">
        <v>54902846203</v>
      </c>
      <c r="K97" s="52">
        <v>67504697486</v>
      </c>
      <c r="L97" s="52">
        <v>0</v>
      </c>
      <c r="M97" s="52">
        <v>21031166611</v>
      </c>
      <c r="N97" s="52">
        <f t="shared" si="30"/>
        <v>974945476481</v>
      </c>
      <c r="O97" s="52">
        <v>1118384186781</v>
      </c>
      <c r="P97" s="52">
        <f t="shared" si="19"/>
        <v>114277191450</v>
      </c>
      <c r="Q97" s="52">
        <v>69104924676</v>
      </c>
      <c r="R97" s="52">
        <v>7298581586</v>
      </c>
      <c r="S97" s="52">
        <v>0</v>
      </c>
      <c r="T97" s="52">
        <f t="shared" si="20"/>
        <v>52470848360</v>
      </c>
      <c r="U97" s="52">
        <v>0</v>
      </c>
      <c r="V97" s="52">
        <v>52470848360</v>
      </c>
      <c r="W97" s="52">
        <f>SUM(88066000339,47792186)</f>
        <v>88113792525</v>
      </c>
    </row>
    <row r="98" spans="1:23">
      <c r="A98" s="14">
        <f>'法人一覧(25)'!A98</f>
        <v>95</v>
      </c>
      <c r="B98" s="2" t="str">
        <f>'法人一覧(25)'!B98</f>
        <v>国土交通省</v>
      </c>
      <c r="C98" s="2" t="str">
        <f>'法人一覧(25)'!C98</f>
        <v>奄美群島振興開発基金</v>
      </c>
      <c r="D98" s="29">
        <v>0</v>
      </c>
      <c r="E98" s="29">
        <v>178887288</v>
      </c>
      <c r="F98" s="29">
        <v>1090035</v>
      </c>
      <c r="G98" s="29">
        <f t="shared" si="29"/>
        <v>50285367</v>
      </c>
      <c r="H98" s="29">
        <v>230262690</v>
      </c>
      <c r="I98" s="29">
        <v>0</v>
      </c>
      <c r="J98" s="29">
        <v>0</v>
      </c>
      <c r="K98" s="29">
        <v>0</v>
      </c>
      <c r="L98" s="29">
        <v>0</v>
      </c>
      <c r="M98" s="29">
        <v>27721242</v>
      </c>
      <c r="N98" s="29">
        <f t="shared" si="30"/>
        <v>236851150</v>
      </c>
      <c r="O98" s="29">
        <v>264572392</v>
      </c>
      <c r="P98" s="29">
        <f t="shared" si="19"/>
        <v>34309702</v>
      </c>
      <c r="Q98" s="29">
        <v>0</v>
      </c>
      <c r="R98" s="29">
        <v>0</v>
      </c>
      <c r="S98" s="29">
        <v>0</v>
      </c>
      <c r="T98" s="29">
        <f t="shared" si="20"/>
        <v>34309702</v>
      </c>
      <c r="U98" s="29">
        <v>0</v>
      </c>
      <c r="V98" s="29">
        <v>34309702</v>
      </c>
      <c r="W98" s="29">
        <v>3257900</v>
      </c>
    </row>
    <row r="99" spans="1:23">
      <c r="A99" s="14">
        <f>'法人一覧(25)'!A99</f>
        <v>96</v>
      </c>
      <c r="B99" s="2" t="str">
        <f>'法人一覧(25)'!B99</f>
        <v>国土交通省</v>
      </c>
      <c r="C99" s="2" t="str">
        <f>'法人一覧(25)'!C99</f>
        <v>日本高速道路保有・債務返済機構</v>
      </c>
      <c r="D99" s="52">
        <f>970552656539+721121300+8688876173</f>
        <v>979962654012</v>
      </c>
      <c r="E99" s="52">
        <v>1351462794</v>
      </c>
      <c r="F99" s="52">
        <v>459024130740</v>
      </c>
      <c r="G99" s="52">
        <f t="shared" si="29"/>
        <v>27911550193</v>
      </c>
      <c r="H99" s="52">
        <v>1468249797739</v>
      </c>
      <c r="I99" s="52">
        <v>0</v>
      </c>
      <c r="J99" s="52">
        <v>62027925000</v>
      </c>
      <c r="K99" s="52">
        <v>0</v>
      </c>
      <c r="L99" s="52">
        <f>6035057350+8018598679</f>
        <v>14053656029</v>
      </c>
      <c r="M99" s="52">
        <v>1069957460</v>
      </c>
      <c r="N99" s="52">
        <f t="shared" si="30"/>
        <v>1627746818166</v>
      </c>
      <c r="O99" s="52">
        <v>1704898356655</v>
      </c>
      <c r="P99" s="52">
        <f t="shared" si="19"/>
        <v>236648558916</v>
      </c>
      <c r="Q99" s="52">
        <v>36178375656</v>
      </c>
      <c r="R99" s="52">
        <v>391691899804</v>
      </c>
      <c r="S99" s="52">
        <v>0</v>
      </c>
      <c r="T99" s="52">
        <f t="shared" si="20"/>
        <v>592162083064</v>
      </c>
      <c r="U99" s="52">
        <v>116843702</v>
      </c>
      <c r="V99" s="52">
        <v>592278926766</v>
      </c>
      <c r="W99" s="52">
        <f>938417834586+449382308</f>
        <v>938867216894</v>
      </c>
    </row>
    <row r="100" spans="1:23">
      <c r="A100" s="14">
        <f>'法人一覧(25)'!A100</f>
        <v>97</v>
      </c>
      <c r="B100" s="2" t="str">
        <f>'法人一覧(25)'!B100</f>
        <v>国土交通省</v>
      </c>
      <c r="C100" s="2" t="str">
        <f>'法人一覧(25)'!C100</f>
        <v>住宅金融支援機構</v>
      </c>
      <c r="D100" s="29">
        <f>600200959274+103088813246+25104735993+9903073417</f>
        <v>738297581930</v>
      </c>
      <c r="E100" s="29">
        <v>24136549544</v>
      </c>
      <c r="F100" s="29">
        <v>0</v>
      </c>
      <c r="G100" s="29">
        <f t="shared" ref="G100" si="33">H100-SUM(D100:F100)</f>
        <v>2011852613</v>
      </c>
      <c r="H100" s="29">
        <v>764445984087</v>
      </c>
      <c r="I100" s="29">
        <v>0</v>
      </c>
      <c r="J100" s="29">
        <v>76522253031</v>
      </c>
      <c r="K100" s="29">
        <v>0</v>
      </c>
      <c r="L100" s="29">
        <v>0</v>
      </c>
      <c r="M100" s="29">
        <v>0</v>
      </c>
      <c r="N100" s="29">
        <f t="shared" ref="N100" si="34">O100-SUM(I100:M100)</f>
        <v>924374595639</v>
      </c>
      <c r="O100" s="29">
        <v>1000896848670</v>
      </c>
      <c r="P100" s="29">
        <f t="shared" si="19"/>
        <v>236450864583</v>
      </c>
      <c r="Q100" s="29">
        <v>62965016</v>
      </c>
      <c r="R100" s="29">
        <v>336483076</v>
      </c>
      <c r="S100" s="29">
        <v>0</v>
      </c>
      <c r="T100" s="29">
        <f t="shared" si="20"/>
        <v>236724382643</v>
      </c>
      <c r="U100" s="29">
        <v>9181258170</v>
      </c>
      <c r="V100" s="29">
        <v>245905640813</v>
      </c>
      <c r="W100" s="29">
        <v>1126719869</v>
      </c>
    </row>
    <row r="101" spans="1:23">
      <c r="A101" s="14">
        <f>'法人一覧(25)'!A101</f>
        <v>98</v>
      </c>
      <c r="B101" s="2" t="str">
        <f>'法人一覧(25)'!B101</f>
        <v>環境省</v>
      </c>
      <c r="C101" s="2" t="str">
        <f>'法人一覧(25)'!C101</f>
        <v>国立環境研究所</v>
      </c>
      <c r="D101" s="29">
        <v>13814502209</v>
      </c>
      <c r="E101" s="29">
        <v>1051167138</v>
      </c>
      <c r="F101" s="29">
        <v>31627695</v>
      </c>
      <c r="G101" s="29">
        <f>H101-SUM(D101:F101)</f>
        <v>34166</v>
      </c>
      <c r="H101" s="29">
        <v>14897331208</v>
      </c>
      <c r="I101" s="29">
        <v>10426700884</v>
      </c>
      <c r="J101" s="29">
        <f>7867976+12128000</f>
        <v>19995976</v>
      </c>
      <c r="K101" s="29">
        <v>3386810417</v>
      </c>
      <c r="L101" s="29">
        <f>665415736+138031462</f>
        <v>803447198</v>
      </c>
      <c r="M101" s="29">
        <v>52</v>
      </c>
      <c r="N101" s="29">
        <f t="shared" ref="N101" si="35">O101-SUM(I101:M101)</f>
        <v>216870135</v>
      </c>
      <c r="O101" s="29">
        <v>14853824662</v>
      </c>
      <c r="P101" s="29">
        <f t="shared" si="19"/>
        <v>-43506546</v>
      </c>
      <c r="Q101" s="29">
        <v>14406316</v>
      </c>
      <c r="R101" s="29">
        <v>90183621</v>
      </c>
      <c r="S101" s="29">
        <v>0</v>
      </c>
      <c r="T101" s="29">
        <f t="shared" si="20"/>
        <v>32270759</v>
      </c>
      <c r="U101" s="29">
        <v>15477334</v>
      </c>
      <c r="V101" s="29">
        <v>47748093</v>
      </c>
      <c r="W101" s="29">
        <f>1432329128+23053590</f>
        <v>1455382718</v>
      </c>
    </row>
    <row r="102" spans="1:23">
      <c r="A102" s="14">
        <f>'法人一覧(25)'!A102</f>
        <v>99</v>
      </c>
      <c r="B102" s="2" t="str">
        <f>'法人一覧(25)'!B102</f>
        <v>環境省</v>
      </c>
      <c r="C102" s="2" t="str">
        <f>'法人一覧(25)'!C102</f>
        <v>環境再生保全機構</v>
      </c>
      <c r="D102" s="29">
        <f>44207912580+1086623699+3621287437+848011078+2379895109+293460672+11165808269</f>
        <v>63602998844</v>
      </c>
      <c r="E102" s="29">
        <v>773653340</v>
      </c>
      <c r="F102" s="29">
        <v>276339656</v>
      </c>
      <c r="G102" s="29">
        <f t="shared" ref="G102" si="36">H102-SUM(D102:F102)</f>
        <v>39079777</v>
      </c>
      <c r="H102" s="29">
        <v>64692071617</v>
      </c>
      <c r="I102" s="29">
        <v>3372242585</v>
      </c>
      <c r="J102" s="29">
        <f>2844234653+2292297821+9445690127</f>
        <v>14582222601</v>
      </c>
      <c r="K102" s="29">
        <v>2608117</v>
      </c>
      <c r="L102" s="29">
        <f>15587033+29821153</f>
        <v>45408186</v>
      </c>
      <c r="M102" s="29">
        <v>2399296578</v>
      </c>
      <c r="N102" s="29">
        <f t="shared" ref="N102" si="37">O102-SUM(I102:M102)</f>
        <v>48180858811</v>
      </c>
      <c r="O102" s="29">
        <v>68582636878</v>
      </c>
      <c r="P102" s="29">
        <f t="shared" si="19"/>
        <v>3890565261</v>
      </c>
      <c r="Q102" s="29">
        <v>2124878</v>
      </c>
      <c r="R102" s="29">
        <v>130143282</v>
      </c>
      <c r="S102" s="29">
        <v>0</v>
      </c>
      <c r="T102" s="29">
        <f t="shared" si="20"/>
        <v>4018583665</v>
      </c>
      <c r="U102" s="29">
        <v>20871472</v>
      </c>
      <c r="V102" s="29">
        <v>4039455137</v>
      </c>
      <c r="W102" s="29">
        <f>14943925+41500860</f>
        <v>56444785</v>
      </c>
    </row>
    <row r="103" spans="1:23">
      <c r="A103" s="14">
        <f>'法人一覧(25)'!A103</f>
        <v>100</v>
      </c>
      <c r="B103" s="2" t="str">
        <f>'法人一覧(25)'!B103</f>
        <v>原子力規制委員会</v>
      </c>
      <c r="C103" s="2" t="str">
        <f>'法人一覧(25)'!C103</f>
        <v>原子力安全基盤機構</v>
      </c>
      <c r="D103" s="29">
        <v>11616518077</v>
      </c>
      <c r="E103" s="29">
        <v>2094094002</v>
      </c>
      <c r="F103" s="29">
        <v>20850774</v>
      </c>
      <c r="G103" s="29">
        <f t="shared" ref="G103:G104" si="38">H103-SUM(D103:F103)</f>
        <v>0</v>
      </c>
      <c r="H103" s="29">
        <v>13731462853</v>
      </c>
      <c r="I103" s="29">
        <v>13807140530</v>
      </c>
      <c r="J103" s="29">
        <v>0</v>
      </c>
      <c r="K103" s="29">
        <v>0</v>
      </c>
      <c r="L103" s="29">
        <v>1458263493</v>
      </c>
      <c r="M103" s="29">
        <v>4860863</v>
      </c>
      <c r="N103" s="29">
        <f t="shared" ref="N103:N104" si="39">O103-SUM(I103:M103)</f>
        <v>338387851</v>
      </c>
      <c r="O103" s="29">
        <v>15608652737</v>
      </c>
      <c r="P103" s="29">
        <f t="shared" si="19"/>
        <v>1877189884</v>
      </c>
      <c r="Q103" s="29">
        <v>625502383</v>
      </c>
      <c r="R103" s="29">
        <v>0</v>
      </c>
      <c r="S103" s="29">
        <v>0</v>
      </c>
      <c r="T103" s="29">
        <f t="shared" si="20"/>
        <v>1251687501</v>
      </c>
      <c r="U103" s="29">
        <v>61646044</v>
      </c>
      <c r="V103" s="29">
        <v>1313333545</v>
      </c>
      <c r="W103" s="29">
        <v>94404744</v>
      </c>
    </row>
    <row r="104" spans="1:23" ht="13.8" thickBot="1">
      <c r="A104" s="116">
        <f>'法人一覧(25)'!A104</f>
        <v>101</v>
      </c>
      <c r="B104" s="117" t="str">
        <f>'法人一覧(25)'!B104</f>
        <v>防衛省</v>
      </c>
      <c r="C104" s="117" t="str">
        <f>'法人一覧(25)'!C104</f>
        <v>駐留軍等労働者労務管理機構</v>
      </c>
      <c r="D104" s="118">
        <v>2425723480</v>
      </c>
      <c r="E104" s="118">
        <v>540733707</v>
      </c>
      <c r="F104" s="118">
        <v>2759594</v>
      </c>
      <c r="G104" s="118">
        <f t="shared" si="38"/>
        <v>0</v>
      </c>
      <c r="H104" s="118">
        <v>2969216781</v>
      </c>
      <c r="I104" s="118">
        <v>3054728016</v>
      </c>
      <c r="J104" s="118">
        <v>0</v>
      </c>
      <c r="K104" s="118">
        <v>0</v>
      </c>
      <c r="L104" s="118">
        <f>69678774</f>
        <v>69678774</v>
      </c>
      <c r="M104" s="118">
        <v>211903</v>
      </c>
      <c r="N104" s="118">
        <f t="shared" si="39"/>
        <v>865469</v>
      </c>
      <c r="O104" s="118">
        <v>3125484162</v>
      </c>
      <c r="P104" s="118">
        <f t="shared" si="19"/>
        <v>156267381</v>
      </c>
      <c r="Q104" s="118">
        <v>34155953</v>
      </c>
      <c r="R104" s="118">
        <v>274753</v>
      </c>
      <c r="S104" s="118">
        <v>0</v>
      </c>
      <c r="T104" s="118">
        <f t="shared" si="20"/>
        <v>122386181</v>
      </c>
      <c r="U104" s="118">
        <v>0</v>
      </c>
      <c r="V104" s="118">
        <v>122386181</v>
      </c>
      <c r="W104" s="118">
        <f>39229069+21575691</f>
        <v>60804760</v>
      </c>
    </row>
    <row r="105" spans="1:23" s="37" customFormat="1" ht="13.8" thickTop="1">
      <c r="A105" s="167" t="s">
        <v>583</v>
      </c>
      <c r="B105" s="168"/>
      <c r="C105" s="169"/>
      <c r="D105" s="115">
        <f>SUM(D4:D104)</f>
        <v>21243000284890</v>
      </c>
      <c r="E105" s="115">
        <f t="shared" ref="E105:W105" si="40">SUM(E4:E104)</f>
        <v>221207212039</v>
      </c>
      <c r="F105" s="115">
        <f t="shared" si="40"/>
        <v>746537665268</v>
      </c>
      <c r="G105" s="115">
        <f t="shared" si="40"/>
        <v>251427558103</v>
      </c>
      <c r="H105" s="115">
        <f t="shared" si="40"/>
        <v>22462172720300</v>
      </c>
      <c r="I105" s="115">
        <f t="shared" si="40"/>
        <v>1288764014856</v>
      </c>
      <c r="J105" s="115">
        <f t="shared" si="40"/>
        <v>1044000504914</v>
      </c>
      <c r="K105" s="115">
        <f t="shared" si="40"/>
        <v>353199897682</v>
      </c>
      <c r="L105" s="115">
        <f t="shared" si="40"/>
        <v>369410094376</v>
      </c>
      <c r="M105" s="115">
        <f t="shared" si="40"/>
        <v>84390156340</v>
      </c>
      <c r="N105" s="115">
        <f t="shared" si="40"/>
        <v>30768649030759</v>
      </c>
      <c r="O105" s="115">
        <f t="shared" si="40"/>
        <v>33908413698927</v>
      </c>
      <c r="P105" s="115">
        <f t="shared" si="40"/>
        <v>11446240978627</v>
      </c>
      <c r="Q105" s="115">
        <f t="shared" si="40"/>
        <v>207545845949</v>
      </c>
      <c r="R105" s="115">
        <f t="shared" si="40"/>
        <v>602121485360</v>
      </c>
      <c r="S105" s="115">
        <f t="shared" si="40"/>
        <v>308725136</v>
      </c>
      <c r="T105" s="115">
        <f t="shared" si="40"/>
        <v>11840508892902</v>
      </c>
      <c r="U105" s="115">
        <f t="shared" si="40"/>
        <v>92103046438</v>
      </c>
      <c r="V105" s="115">
        <f t="shared" si="40"/>
        <v>11932611939340</v>
      </c>
      <c r="W105" s="115">
        <f t="shared" si="40"/>
        <v>1524887652143</v>
      </c>
    </row>
    <row r="107" spans="1:23">
      <c r="B107" s="171" t="s">
        <v>667</v>
      </c>
      <c r="C107" s="171"/>
      <c r="D107" s="171"/>
      <c r="E107" s="171"/>
      <c r="F107" s="171"/>
      <c r="G107" s="171"/>
      <c r="H107" s="171"/>
      <c r="I107" s="171"/>
      <c r="J107" s="171"/>
      <c r="K107" s="171"/>
      <c r="L107" s="171"/>
      <c r="M107" s="171"/>
      <c r="N107" s="171"/>
    </row>
    <row r="108" spans="1:23">
      <c r="B108" s="171"/>
      <c r="C108" s="171"/>
      <c r="D108" s="171"/>
      <c r="E108" s="171"/>
      <c r="F108" s="171"/>
      <c r="G108" s="171"/>
      <c r="H108" s="171"/>
      <c r="I108" s="171"/>
      <c r="J108" s="171"/>
      <c r="K108" s="171"/>
      <c r="L108" s="171"/>
      <c r="M108" s="171"/>
      <c r="N108" s="171"/>
    </row>
    <row r="109" spans="1:23">
      <c r="B109" s="171"/>
      <c r="C109" s="171"/>
      <c r="D109" s="171"/>
      <c r="E109" s="171"/>
      <c r="F109" s="171"/>
      <c r="G109" s="171"/>
      <c r="H109" s="171"/>
      <c r="I109" s="171"/>
      <c r="J109" s="171"/>
      <c r="K109" s="171"/>
      <c r="L109" s="171"/>
      <c r="M109" s="171"/>
      <c r="N109" s="171"/>
    </row>
  </sheetData>
  <mergeCells count="15">
    <mergeCell ref="B107:N109"/>
    <mergeCell ref="A2:A3"/>
    <mergeCell ref="B2:B3"/>
    <mergeCell ref="C2:C3"/>
    <mergeCell ref="W2:W3"/>
    <mergeCell ref="Q2:Q3"/>
    <mergeCell ref="R2:R3"/>
    <mergeCell ref="V2:V3"/>
    <mergeCell ref="I2:O2"/>
    <mergeCell ref="D2:H2"/>
    <mergeCell ref="P2:P3"/>
    <mergeCell ref="S2:S3"/>
    <mergeCell ref="T2:T3"/>
    <mergeCell ref="U2:U3"/>
    <mergeCell ref="A105:C10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6"/>
  <sheetViews>
    <sheetView zoomScaleNormal="100" workbookViewId="0">
      <pane xSplit="3" ySplit="3" topLeftCell="P88" activePane="bottomRight" state="frozen"/>
      <selection activeCell="B2" sqref="B2:B3"/>
      <selection pane="topRight" activeCell="B2" sqref="B2:B3"/>
      <selection pane="bottomLeft" activeCell="B2" sqref="B2:B3"/>
      <selection pane="bottomRight" activeCell="B107" sqref="B107"/>
    </sheetView>
  </sheetViews>
  <sheetFormatPr defaultColWidth="8.88671875" defaultRowHeight="13.2"/>
  <cols>
    <col min="1" max="1" width="5" style="1" customWidth="1"/>
    <col min="2" max="2" width="19" style="1" customWidth="1"/>
    <col min="3" max="3" width="40.21875" style="1" customWidth="1"/>
    <col min="4" max="4" width="15.44140625" style="1" bestFit="1" customWidth="1"/>
    <col min="5" max="7" width="12" style="1" customWidth="1"/>
    <col min="8" max="8" width="15.44140625" style="1" bestFit="1" customWidth="1"/>
    <col min="9" max="13" width="12" style="1" customWidth="1"/>
    <col min="14" max="14" width="15" style="1" customWidth="1"/>
    <col min="15" max="16" width="15.44140625" style="1" bestFit="1" customWidth="1"/>
    <col min="17" max="19" width="12" style="1" customWidth="1"/>
    <col min="20" max="20" width="15.44140625" style="1" bestFit="1" customWidth="1"/>
    <col min="21" max="21" width="12" style="1" customWidth="1"/>
    <col min="22" max="22" width="14.21875" style="1" customWidth="1"/>
    <col min="23" max="23" width="12.88671875" style="1" bestFit="1" customWidth="1"/>
    <col min="24" max="16384" width="8.88671875" style="1"/>
  </cols>
  <sheetData>
    <row r="1" spans="1:26" ht="19.95" customHeight="1">
      <c r="B1" s="144" t="s">
        <v>221</v>
      </c>
      <c r="V1" s="30" t="s">
        <v>204</v>
      </c>
    </row>
    <row r="2" spans="1:26" ht="13.2" customHeight="1">
      <c r="A2" s="161" t="s">
        <v>195</v>
      </c>
      <c r="B2" s="161" t="s">
        <v>0</v>
      </c>
      <c r="C2" s="161" t="s">
        <v>1</v>
      </c>
      <c r="D2" s="164" t="s">
        <v>33</v>
      </c>
      <c r="E2" s="165"/>
      <c r="F2" s="165"/>
      <c r="G2" s="165"/>
      <c r="H2" s="166"/>
      <c r="I2" s="175" t="s">
        <v>35</v>
      </c>
      <c r="J2" s="176"/>
      <c r="K2" s="176"/>
      <c r="L2" s="176"/>
      <c r="M2" s="176"/>
      <c r="N2" s="176"/>
      <c r="O2" s="177"/>
      <c r="P2" s="172" t="s">
        <v>248</v>
      </c>
      <c r="Q2" s="174" t="s">
        <v>38</v>
      </c>
      <c r="R2" s="174" t="s">
        <v>39</v>
      </c>
      <c r="S2" s="174" t="s">
        <v>40</v>
      </c>
      <c r="T2" s="172" t="s">
        <v>249</v>
      </c>
      <c r="U2" s="172" t="s">
        <v>437</v>
      </c>
      <c r="V2" s="172" t="s">
        <v>250</v>
      </c>
      <c r="W2" s="172" t="s">
        <v>247</v>
      </c>
      <c r="X2" s="37"/>
      <c r="Y2" s="37"/>
      <c r="Z2" s="37"/>
    </row>
    <row r="3" spans="1:26" ht="17.399999999999999" customHeight="1">
      <c r="A3" s="162"/>
      <c r="B3" s="162"/>
      <c r="C3" s="162"/>
      <c r="D3" s="5" t="s">
        <v>34</v>
      </c>
      <c r="E3" s="5" t="s">
        <v>12</v>
      </c>
      <c r="F3" s="5" t="s">
        <v>215</v>
      </c>
      <c r="G3" s="5" t="s">
        <v>6</v>
      </c>
      <c r="H3" s="5" t="s">
        <v>210</v>
      </c>
      <c r="I3" s="5" t="s">
        <v>36</v>
      </c>
      <c r="J3" s="5" t="s">
        <v>211</v>
      </c>
      <c r="K3" s="5" t="s">
        <v>5</v>
      </c>
      <c r="L3" s="31" t="s">
        <v>213</v>
      </c>
      <c r="M3" s="31" t="s">
        <v>37</v>
      </c>
      <c r="N3" s="5" t="s">
        <v>212</v>
      </c>
      <c r="O3" s="5" t="s">
        <v>214</v>
      </c>
      <c r="P3" s="173"/>
      <c r="Q3" s="173"/>
      <c r="R3" s="173"/>
      <c r="S3" s="173"/>
      <c r="T3" s="173"/>
      <c r="U3" s="173"/>
      <c r="V3" s="173"/>
      <c r="W3" s="173"/>
      <c r="X3" s="37"/>
      <c r="Y3" s="37"/>
      <c r="Z3" s="37"/>
    </row>
    <row r="4" spans="1:26">
      <c r="A4" s="14">
        <f>'法人一覧(26)'!A4</f>
        <v>1</v>
      </c>
      <c r="B4" s="2" t="str">
        <f>'法人一覧(26)'!B4</f>
        <v>内閣府</v>
      </c>
      <c r="C4" s="2" t="str">
        <f>'法人一覧(26)'!C4</f>
        <v>国立公文書館</v>
      </c>
      <c r="D4" s="29">
        <v>1918273915</v>
      </c>
      <c r="E4" s="29">
        <v>309895523</v>
      </c>
      <c r="F4" s="29">
        <v>6982046</v>
      </c>
      <c r="G4" s="29">
        <f>H4-SUM(D4:F4)</f>
        <v>0</v>
      </c>
      <c r="H4" s="29">
        <v>2235151484</v>
      </c>
      <c r="I4" s="29">
        <v>2190078046</v>
      </c>
      <c r="J4" s="29">
        <v>661176</v>
      </c>
      <c r="K4" s="29">
        <v>0</v>
      </c>
      <c r="L4" s="29">
        <v>27075505</v>
      </c>
      <c r="M4" s="29">
        <v>138517</v>
      </c>
      <c r="N4" s="29">
        <f>O4-SUM(I4:M4)</f>
        <v>48876158</v>
      </c>
      <c r="O4" s="29">
        <v>2266829402</v>
      </c>
      <c r="P4" s="29">
        <f t="shared" ref="P4:P5" si="0">O4-H4</f>
        <v>31677918</v>
      </c>
      <c r="Q4" s="29">
        <v>1241563</v>
      </c>
      <c r="R4" s="29">
        <v>0</v>
      </c>
      <c r="S4" s="29">
        <v>0</v>
      </c>
      <c r="T4" s="29">
        <f t="shared" ref="T4:T5" si="1">P4-Q4+R4-S4</f>
        <v>30436355</v>
      </c>
      <c r="U4" s="29">
        <v>0</v>
      </c>
      <c r="V4" s="29">
        <v>30436355</v>
      </c>
      <c r="W4" s="29">
        <v>25820012</v>
      </c>
    </row>
    <row r="5" spans="1:26">
      <c r="A5" s="14">
        <f>'法人一覧(26)'!A5</f>
        <v>2</v>
      </c>
      <c r="B5" s="2" t="str">
        <f>'法人一覧(26)'!B5</f>
        <v>内閣府</v>
      </c>
      <c r="C5" s="2" t="str">
        <f>'法人一覧(26)'!C5</f>
        <v>北方領土問題対策協会</v>
      </c>
      <c r="D5" s="29">
        <f>982904004+1296+71741430+19572263</f>
        <v>1074218993</v>
      </c>
      <c r="E5" s="29">
        <v>278466892</v>
      </c>
      <c r="F5" s="29">
        <v>52385746</v>
      </c>
      <c r="G5" s="29">
        <f t="shared" ref="G5" si="2">H5-SUM(D5:F5)</f>
        <v>0</v>
      </c>
      <c r="H5" s="29">
        <v>1405071631</v>
      </c>
      <c r="I5" s="29">
        <v>1139016099</v>
      </c>
      <c r="J5" s="29">
        <f>SUM(1296,108701476)</f>
        <v>108702772</v>
      </c>
      <c r="K5" s="29">
        <v>71751928</v>
      </c>
      <c r="L5" s="29">
        <v>22212165</v>
      </c>
      <c r="M5" s="29">
        <v>340391</v>
      </c>
      <c r="N5" s="29">
        <f t="shared" ref="N5" si="3">O5-SUM(I5:M5)</f>
        <v>63079377</v>
      </c>
      <c r="O5" s="29">
        <v>1405102732</v>
      </c>
      <c r="P5" s="29">
        <f t="shared" si="0"/>
        <v>31101</v>
      </c>
      <c r="Q5" s="29">
        <v>1404559</v>
      </c>
      <c r="R5" s="29">
        <v>1377657</v>
      </c>
      <c r="S5" s="29">
        <v>0</v>
      </c>
      <c r="T5" s="29">
        <f t="shared" si="1"/>
        <v>4199</v>
      </c>
      <c r="U5" s="29">
        <v>0</v>
      </c>
      <c r="V5" s="29">
        <v>4199</v>
      </c>
      <c r="W5" s="29">
        <f>SUM(27916677,2967231)</f>
        <v>30883908</v>
      </c>
    </row>
    <row r="6" spans="1:26">
      <c r="A6" s="14">
        <f>'法人一覧(26)'!A6</f>
        <v>3</v>
      </c>
      <c r="B6" s="2" t="str">
        <f>'法人一覧(26)'!B6</f>
        <v>消費者庁</v>
      </c>
      <c r="C6" s="2" t="str">
        <f>'法人一覧(26)'!C6</f>
        <v>国民生活センター</v>
      </c>
      <c r="D6" s="29">
        <v>2428932224</v>
      </c>
      <c r="E6" s="29">
        <v>490468549</v>
      </c>
      <c r="F6" s="29">
        <v>1642297</v>
      </c>
      <c r="G6" s="29">
        <f t="shared" ref="G6:G67" si="4">H6-SUM(D6:F6)</f>
        <v>0</v>
      </c>
      <c r="H6" s="29">
        <v>2921043070</v>
      </c>
      <c r="I6" s="29">
        <v>2653412523</v>
      </c>
      <c r="J6" s="29">
        <v>0</v>
      </c>
      <c r="K6" s="29">
        <v>0</v>
      </c>
      <c r="L6" s="29">
        <v>189955091</v>
      </c>
      <c r="M6" s="29">
        <v>929035</v>
      </c>
      <c r="N6" s="29">
        <f t="shared" ref="N6:N68" si="5">O6-SUM(I6:M6)</f>
        <v>83364150</v>
      </c>
      <c r="O6" s="29">
        <v>2927660799</v>
      </c>
      <c r="P6" s="29">
        <f t="shared" ref="P6:P10" si="6">O6-H6</f>
        <v>6617729</v>
      </c>
      <c r="Q6" s="29">
        <v>873891</v>
      </c>
      <c r="R6" s="29">
        <v>0</v>
      </c>
      <c r="S6" s="29">
        <v>0</v>
      </c>
      <c r="T6" s="29">
        <f t="shared" ref="T6:T10" si="7">P6-Q6+R6-S6</f>
        <v>5743838</v>
      </c>
      <c r="U6" s="29">
        <v>0</v>
      </c>
      <c r="V6" s="29">
        <v>5743838</v>
      </c>
      <c r="W6" s="29">
        <v>337323500</v>
      </c>
    </row>
    <row r="7" spans="1:26">
      <c r="A7" s="14">
        <f>'法人一覧(26)'!A7</f>
        <v>4</v>
      </c>
      <c r="B7" s="2" t="str">
        <f>'法人一覧(26)'!B7</f>
        <v>総務省</v>
      </c>
      <c r="C7" s="2" t="str">
        <f>'法人一覧(26)'!C7</f>
        <v>情報通信研究機構</v>
      </c>
      <c r="D7" s="52">
        <f>28707748626+468843082+45063931+2690798528+10031162222</f>
        <v>41943616389</v>
      </c>
      <c r="E7" s="52">
        <v>2080714283</v>
      </c>
      <c r="F7" s="52">
        <v>6166040</v>
      </c>
      <c r="G7" s="52">
        <f t="shared" ref="G7:G9" si="8">H7-SUM(D7:F7)</f>
        <v>1962285</v>
      </c>
      <c r="H7" s="52">
        <v>44032458997</v>
      </c>
      <c r="I7" s="52">
        <v>24692738061</v>
      </c>
      <c r="J7" s="52">
        <v>432243235</v>
      </c>
      <c r="K7" s="52">
        <v>12931706184</v>
      </c>
      <c r="L7" s="52">
        <v>5748112596</v>
      </c>
      <c r="M7" s="52">
        <v>57814566</v>
      </c>
      <c r="N7" s="52">
        <f t="shared" ref="N7:N9" si="9">O7-SUM(I7:M7)</f>
        <v>410524731</v>
      </c>
      <c r="O7" s="52">
        <v>44273139373</v>
      </c>
      <c r="P7" s="52">
        <f t="shared" si="6"/>
        <v>240680376</v>
      </c>
      <c r="Q7" s="52">
        <v>46822893</v>
      </c>
      <c r="R7" s="52">
        <v>52027274</v>
      </c>
      <c r="S7" s="52">
        <v>24335000</v>
      </c>
      <c r="T7" s="52">
        <f t="shared" si="7"/>
        <v>221549757</v>
      </c>
      <c r="U7" s="52">
        <v>43648935</v>
      </c>
      <c r="V7" s="52">
        <v>265198692</v>
      </c>
      <c r="W7" s="52">
        <f>4813300836+1138186522</f>
        <v>5951487358</v>
      </c>
    </row>
    <row r="8" spans="1:26">
      <c r="A8" s="14">
        <f>'法人一覧(26)'!A8</f>
        <v>5</v>
      </c>
      <c r="B8" s="2" t="str">
        <f>'法人一覧(26)'!B8</f>
        <v>総務省</v>
      </c>
      <c r="C8" s="2" t="str">
        <f>'法人一覧(26)'!C8</f>
        <v>統計センター</v>
      </c>
      <c r="D8" s="52">
        <v>7933990691</v>
      </c>
      <c r="E8" s="52">
        <v>734297099</v>
      </c>
      <c r="F8" s="52">
        <v>13949286</v>
      </c>
      <c r="G8" s="52">
        <f t="shared" si="8"/>
        <v>3911268</v>
      </c>
      <c r="H8" s="52">
        <v>8686148344</v>
      </c>
      <c r="I8" s="52">
        <v>8838482092</v>
      </c>
      <c r="J8" s="52">
        <v>0</v>
      </c>
      <c r="K8" s="52">
        <v>21892567</v>
      </c>
      <c r="L8" s="52">
        <v>65776065</v>
      </c>
      <c r="M8" s="52">
        <v>71100</v>
      </c>
      <c r="N8" s="52">
        <f t="shared" si="9"/>
        <v>999053233</v>
      </c>
      <c r="O8" s="52">
        <v>9925275057</v>
      </c>
      <c r="P8" s="52">
        <f t="shared" si="6"/>
        <v>1239126713</v>
      </c>
      <c r="Q8" s="52">
        <v>449730</v>
      </c>
      <c r="R8" s="52">
        <v>449730</v>
      </c>
      <c r="S8" s="52">
        <v>0</v>
      </c>
      <c r="T8" s="52">
        <f t="shared" si="7"/>
        <v>1239126713</v>
      </c>
      <c r="U8" s="52">
        <v>44855966</v>
      </c>
      <c r="V8" s="52">
        <v>1283982679</v>
      </c>
      <c r="W8" s="52">
        <f>42590912+86002636</f>
        <v>128593548</v>
      </c>
    </row>
    <row r="9" spans="1:26">
      <c r="A9" s="14">
        <f>'法人一覧(26)'!A9</f>
        <v>6</v>
      </c>
      <c r="B9" s="2" t="str">
        <f>'法人一覧(26)'!B9</f>
        <v>総務省</v>
      </c>
      <c r="C9" s="2" t="str">
        <f>'法人一覧(26)'!C9</f>
        <v>郵便貯金・簡易生命保険管理機構</v>
      </c>
      <c r="D9" s="52">
        <f>9912800420054+311472654026+14167393+614872777</f>
        <v>10224902114250</v>
      </c>
      <c r="E9" s="52">
        <v>257179694</v>
      </c>
      <c r="F9" s="52">
        <v>0</v>
      </c>
      <c r="G9" s="52">
        <f t="shared" si="8"/>
        <v>9255353729</v>
      </c>
      <c r="H9" s="52">
        <v>10234414647673</v>
      </c>
      <c r="I9" s="52">
        <v>0</v>
      </c>
      <c r="J9" s="52">
        <v>0</v>
      </c>
      <c r="K9" s="52">
        <v>0</v>
      </c>
      <c r="L9" s="52">
        <v>0</v>
      </c>
      <c r="M9" s="52">
        <v>0</v>
      </c>
      <c r="N9" s="52">
        <f t="shared" si="9"/>
        <v>10263573951740</v>
      </c>
      <c r="O9" s="52">
        <v>10263573951740</v>
      </c>
      <c r="P9" s="52">
        <f t="shared" si="6"/>
        <v>29159304067</v>
      </c>
      <c r="Q9" s="52">
        <v>0</v>
      </c>
      <c r="R9" s="52">
        <v>0</v>
      </c>
      <c r="S9" s="52">
        <v>0</v>
      </c>
      <c r="T9" s="52">
        <f t="shared" si="7"/>
        <v>29159304067</v>
      </c>
      <c r="U9" s="52">
        <v>0</v>
      </c>
      <c r="V9" s="52">
        <v>29159304067</v>
      </c>
      <c r="W9" s="52">
        <f>11449356+6739008</f>
        <v>18188364</v>
      </c>
    </row>
    <row r="10" spans="1:26">
      <c r="A10" s="14">
        <f>'法人一覧(26)'!A10</f>
        <v>7</v>
      </c>
      <c r="B10" s="2" t="str">
        <f>'法人一覧(26)'!B10</f>
        <v>外務省</v>
      </c>
      <c r="C10" s="2" t="str">
        <f>'法人一覧(26)'!C10</f>
        <v>国際協力機構</v>
      </c>
      <c r="D10" s="29">
        <v>339019053921</v>
      </c>
      <c r="E10" s="29">
        <v>8842943130</v>
      </c>
      <c r="F10" s="29">
        <v>22888573</v>
      </c>
      <c r="G10" s="29">
        <f t="shared" si="4"/>
        <v>121802189</v>
      </c>
      <c r="H10" s="29">
        <v>348006687813</v>
      </c>
      <c r="I10" s="29">
        <v>144188719346</v>
      </c>
      <c r="J10" s="41">
        <v>7023830</v>
      </c>
      <c r="K10" s="29">
        <v>402699742</v>
      </c>
      <c r="L10" s="29">
        <v>458295548</v>
      </c>
      <c r="M10" s="29">
        <v>68639237</v>
      </c>
      <c r="N10" s="29">
        <f t="shared" si="5"/>
        <v>318358247399</v>
      </c>
      <c r="O10" s="29">
        <v>463483625102</v>
      </c>
      <c r="P10" s="29">
        <f t="shared" si="6"/>
        <v>115476937289</v>
      </c>
      <c r="Q10" s="29">
        <v>107881077</v>
      </c>
      <c r="R10" s="29">
        <v>40702974</v>
      </c>
      <c r="S10" s="29">
        <v>0</v>
      </c>
      <c r="T10" s="29">
        <f t="shared" si="7"/>
        <v>115409759186</v>
      </c>
      <c r="U10" s="29">
        <v>464631438</v>
      </c>
      <c r="V10" s="29">
        <v>115874390624</v>
      </c>
      <c r="W10" s="29">
        <v>470490348</v>
      </c>
    </row>
    <row r="11" spans="1:26">
      <c r="A11" s="14">
        <f>'法人一覧(26)'!A11</f>
        <v>8</v>
      </c>
      <c r="B11" s="2" t="str">
        <f>'法人一覧(26)'!B11</f>
        <v>外務省</v>
      </c>
      <c r="C11" s="2" t="str">
        <f>'法人一覧(26)'!C11</f>
        <v>国際交流基金</v>
      </c>
      <c r="D11" s="29">
        <f>1974686993+5320286100+3132727388+500611225+1228296910+4261635971</f>
        <v>16418244587</v>
      </c>
      <c r="E11" s="29">
        <v>1272700424</v>
      </c>
      <c r="F11" s="29">
        <v>423841</v>
      </c>
      <c r="G11" s="29">
        <f t="shared" si="4"/>
        <v>0</v>
      </c>
      <c r="H11" s="29">
        <v>17691368852</v>
      </c>
      <c r="I11" s="29">
        <v>12148402489</v>
      </c>
      <c r="J11" s="29">
        <v>1226872361</v>
      </c>
      <c r="K11" s="29">
        <v>0</v>
      </c>
      <c r="L11" s="29">
        <v>209793488</v>
      </c>
      <c r="M11" s="29">
        <v>812756</v>
      </c>
      <c r="N11" s="29">
        <f>O11-SUM(I11:M11)</f>
        <v>5565654635</v>
      </c>
      <c r="O11" s="29">
        <v>19151535729</v>
      </c>
      <c r="P11" s="29">
        <f>O11-H11</f>
        <v>1460166877</v>
      </c>
      <c r="Q11" s="29">
        <v>6423971</v>
      </c>
      <c r="R11" s="29">
        <v>6446982</v>
      </c>
      <c r="S11" s="29">
        <v>0</v>
      </c>
      <c r="T11" s="29">
        <f>P11-Q11+R11-S11</f>
        <v>1460189888</v>
      </c>
      <c r="U11" s="29">
        <v>0</v>
      </c>
      <c r="V11" s="29">
        <v>1460189888</v>
      </c>
      <c r="W11" s="29">
        <f>182959308+502862988</f>
        <v>685822296</v>
      </c>
    </row>
    <row r="12" spans="1:26">
      <c r="A12" s="14">
        <f>'法人一覧(26)'!A12</f>
        <v>9</v>
      </c>
      <c r="B12" s="2" t="str">
        <f>'法人一覧(26)'!B12</f>
        <v>財務省</v>
      </c>
      <c r="C12" s="2" t="str">
        <f>'法人一覧(26)'!C12</f>
        <v>酒類総合研究所</v>
      </c>
      <c r="D12" s="29">
        <v>792509227</v>
      </c>
      <c r="E12" s="29">
        <v>217671363</v>
      </c>
      <c r="F12" s="29">
        <v>0</v>
      </c>
      <c r="G12" s="29">
        <f t="shared" si="4"/>
        <v>28233543</v>
      </c>
      <c r="H12" s="29">
        <v>1038414133</v>
      </c>
      <c r="I12" s="29">
        <v>827547518</v>
      </c>
      <c r="J12" s="29">
        <v>0</v>
      </c>
      <c r="K12" s="29">
        <v>17317793</v>
      </c>
      <c r="L12" s="29">
        <v>139705079</v>
      </c>
      <c r="M12" s="29">
        <v>70850</v>
      </c>
      <c r="N12" s="29">
        <f t="shared" ref="N12:N14" si="10">O12-SUM(I12:M12)</f>
        <v>57032046</v>
      </c>
      <c r="O12" s="29">
        <v>1041673286</v>
      </c>
      <c r="P12" s="29">
        <f t="shared" ref="P12:P56" si="11">O12-H12</f>
        <v>3259153</v>
      </c>
      <c r="Q12" s="29">
        <v>3183272</v>
      </c>
      <c r="R12" s="29">
        <v>0</v>
      </c>
      <c r="S12" s="29">
        <v>0</v>
      </c>
      <c r="T12" s="29">
        <f t="shared" ref="T12:T56" si="12">P12-Q12+R12-S12</f>
        <v>75881</v>
      </c>
      <c r="U12" s="29">
        <v>53791</v>
      </c>
      <c r="V12" s="29">
        <v>129672</v>
      </c>
      <c r="W12" s="29">
        <f>116235985+1684252</f>
        <v>117920237</v>
      </c>
    </row>
    <row r="13" spans="1:26">
      <c r="A13" s="14">
        <f>'法人一覧(26)'!A13</f>
        <v>10</v>
      </c>
      <c r="B13" s="2" t="str">
        <f>'法人一覧(26)'!B13</f>
        <v>財務省</v>
      </c>
      <c r="C13" s="2" t="str">
        <f>'法人一覧(26)'!C13</f>
        <v>造幣局</v>
      </c>
      <c r="D13" s="29">
        <v>26304752695</v>
      </c>
      <c r="E13" s="29">
        <v>5274706386</v>
      </c>
      <c r="F13" s="29">
        <v>0</v>
      </c>
      <c r="G13" s="29">
        <f t="shared" si="4"/>
        <v>15320340</v>
      </c>
      <c r="H13" s="29">
        <f>26304752695+5274706386+15320340</f>
        <v>31594779421</v>
      </c>
      <c r="I13" s="29">
        <v>0</v>
      </c>
      <c r="J13" s="29">
        <v>0</v>
      </c>
      <c r="K13" s="29">
        <v>0</v>
      </c>
      <c r="L13" s="29">
        <f>35521170+54851005</f>
        <v>90372175</v>
      </c>
      <c r="M13" s="29">
        <v>0</v>
      </c>
      <c r="N13" s="29">
        <f t="shared" si="10"/>
        <v>32742058105</v>
      </c>
      <c r="O13" s="29">
        <f>32512788429+319641851</f>
        <v>32832430280</v>
      </c>
      <c r="P13" s="29">
        <f t="shared" si="11"/>
        <v>1237650859</v>
      </c>
      <c r="Q13" s="29">
        <v>6894501</v>
      </c>
      <c r="R13" s="29">
        <v>2786378</v>
      </c>
      <c r="S13" s="29">
        <v>0</v>
      </c>
      <c r="T13" s="29">
        <f t="shared" si="12"/>
        <v>1233542736</v>
      </c>
      <c r="U13" s="29">
        <v>0</v>
      </c>
      <c r="V13" s="29">
        <v>1233542736</v>
      </c>
      <c r="W13" s="29">
        <f>2524804788+44884678</f>
        <v>2569689466</v>
      </c>
    </row>
    <row r="14" spans="1:26">
      <c r="A14" s="14">
        <f>'法人一覧(26)'!A14</f>
        <v>11</v>
      </c>
      <c r="B14" s="2" t="str">
        <f>'法人一覧(26)'!B14</f>
        <v>財務省</v>
      </c>
      <c r="C14" s="2" t="str">
        <f>'法人一覧(26)'!C14</f>
        <v>国立印刷局</v>
      </c>
      <c r="D14" s="29">
        <v>52111432708</v>
      </c>
      <c r="E14" s="29">
        <v>9141533219</v>
      </c>
      <c r="F14" s="29">
        <v>0</v>
      </c>
      <c r="G14" s="29">
        <f t="shared" si="4"/>
        <v>253534625</v>
      </c>
      <c r="H14" s="29">
        <f>52111432708+9141533219+253534625</f>
        <v>61506500552</v>
      </c>
      <c r="I14" s="29">
        <v>0</v>
      </c>
      <c r="J14" s="29">
        <v>0</v>
      </c>
      <c r="K14" s="29">
        <v>0</v>
      </c>
      <c r="L14" s="29">
        <v>0</v>
      </c>
      <c r="M14" s="29">
        <v>0</v>
      </c>
      <c r="N14" s="29">
        <f t="shared" si="10"/>
        <v>67569512201</v>
      </c>
      <c r="O14" s="29">
        <f>67006380977+563131224</f>
        <v>67569512201</v>
      </c>
      <c r="P14" s="29">
        <f t="shared" si="11"/>
        <v>6063011649</v>
      </c>
      <c r="Q14" s="29">
        <v>871123198</v>
      </c>
      <c r="R14" s="29">
        <v>2906196437</v>
      </c>
      <c r="S14" s="29">
        <v>0</v>
      </c>
      <c r="T14" s="29">
        <f t="shared" si="12"/>
        <v>8098084888</v>
      </c>
      <c r="U14" s="29">
        <v>0</v>
      </c>
      <c r="V14" s="29">
        <v>8098084888</v>
      </c>
      <c r="W14" s="29">
        <f>8744952018+684120371</f>
        <v>9429072389</v>
      </c>
    </row>
    <row r="15" spans="1:26">
      <c r="A15" s="14">
        <f>'法人一覧(26)'!A15</f>
        <v>12</v>
      </c>
      <c r="B15" s="2" t="str">
        <f>'法人一覧(26)'!B15</f>
        <v>文部科学省</v>
      </c>
      <c r="C15" s="2" t="str">
        <f>'法人一覧(26)'!C15</f>
        <v>国立特別支援教育総合研究所</v>
      </c>
      <c r="D15" s="29">
        <v>788730404</v>
      </c>
      <c r="E15" s="29">
        <v>214463244</v>
      </c>
      <c r="F15" s="29">
        <v>1239994</v>
      </c>
      <c r="G15" s="29">
        <f t="shared" ref="G15:G56" si="13">H15-SUM(D15:F15)</f>
        <v>0</v>
      </c>
      <c r="H15" s="29">
        <v>1004433642</v>
      </c>
      <c r="I15" s="29">
        <v>958360042</v>
      </c>
      <c r="J15" s="29">
        <v>0</v>
      </c>
      <c r="K15" s="29">
        <v>0</v>
      </c>
      <c r="L15" s="29">
        <v>23339815</v>
      </c>
      <c r="M15" s="29">
        <v>0</v>
      </c>
      <c r="N15" s="29">
        <f t="shared" ref="N15:N56" si="14">O15-SUM(I15:M15)</f>
        <v>23835059</v>
      </c>
      <c r="O15" s="29">
        <v>1005534916</v>
      </c>
      <c r="P15" s="29">
        <f t="shared" si="11"/>
        <v>1101274</v>
      </c>
      <c r="Q15" s="29">
        <v>468073</v>
      </c>
      <c r="R15" s="29">
        <v>0</v>
      </c>
      <c r="S15" s="29">
        <v>0</v>
      </c>
      <c r="T15" s="29">
        <f t="shared" si="12"/>
        <v>633201</v>
      </c>
      <c r="U15" s="29">
        <v>0</v>
      </c>
      <c r="V15" s="29">
        <v>633201</v>
      </c>
      <c r="W15" s="52">
        <f>40175276+3203179</f>
        <v>43378455</v>
      </c>
    </row>
    <row r="16" spans="1:26">
      <c r="A16" s="14">
        <f>'法人一覧(26)'!A16</f>
        <v>13</v>
      </c>
      <c r="B16" s="2" t="str">
        <f>'法人一覧(26)'!B16</f>
        <v>文部科学省</v>
      </c>
      <c r="C16" s="2" t="str">
        <f>'法人一覧(26)'!C16</f>
        <v>大学入試センター</v>
      </c>
      <c r="D16" s="52">
        <v>11006446536</v>
      </c>
      <c r="E16" s="52">
        <v>349928247</v>
      </c>
      <c r="F16" s="52">
        <v>0</v>
      </c>
      <c r="G16" s="52">
        <f t="shared" si="13"/>
        <v>0</v>
      </c>
      <c r="H16" s="52">
        <v>11356374783</v>
      </c>
      <c r="I16" s="52">
        <v>0</v>
      </c>
      <c r="J16" s="52">
        <v>0</v>
      </c>
      <c r="K16" s="52">
        <v>0</v>
      </c>
      <c r="L16" s="52">
        <v>45620616</v>
      </c>
      <c r="M16" s="52">
        <v>5848708</v>
      </c>
      <c r="N16" s="52">
        <f t="shared" si="14"/>
        <v>11154719775</v>
      </c>
      <c r="O16" s="52">
        <v>11206189099</v>
      </c>
      <c r="P16" s="52">
        <f t="shared" si="11"/>
        <v>-150185684</v>
      </c>
      <c r="Q16" s="52">
        <v>33972645</v>
      </c>
      <c r="R16" s="52">
        <v>10699103</v>
      </c>
      <c r="S16" s="52">
        <v>0</v>
      </c>
      <c r="T16" s="52">
        <f t="shared" si="12"/>
        <v>-173459226</v>
      </c>
      <c r="U16" s="52">
        <v>387665952</v>
      </c>
      <c r="V16" s="52">
        <v>214206726</v>
      </c>
      <c r="W16" s="52">
        <v>99222235</v>
      </c>
    </row>
    <row r="17" spans="1:23">
      <c r="A17" s="14">
        <f>'法人一覧(26)'!A17</f>
        <v>14</v>
      </c>
      <c r="B17" s="2" t="str">
        <f>'法人一覧(26)'!B17</f>
        <v>文部科学省</v>
      </c>
      <c r="C17" s="2" t="str">
        <f>'法人一覧(26)'!C17</f>
        <v>国立青少年教育振興機構</v>
      </c>
      <c r="D17" s="52">
        <v>8018291325</v>
      </c>
      <c r="E17" s="52">
        <v>3350546774</v>
      </c>
      <c r="F17" s="52">
        <v>8266923</v>
      </c>
      <c r="G17" s="52">
        <f t="shared" si="13"/>
        <v>0</v>
      </c>
      <c r="H17" s="52">
        <v>11377105022</v>
      </c>
      <c r="I17" s="52">
        <v>9290034553</v>
      </c>
      <c r="J17" s="52">
        <f>100000+74795353</f>
        <v>74895353</v>
      </c>
      <c r="K17" s="52">
        <v>89709372</v>
      </c>
      <c r="L17" s="52">
        <v>123258795</v>
      </c>
      <c r="M17" s="52">
        <v>2387</v>
      </c>
      <c r="N17" s="52">
        <f t="shared" si="14"/>
        <v>1799113549</v>
      </c>
      <c r="O17" s="52">
        <v>11377014009</v>
      </c>
      <c r="P17" s="52">
        <f t="shared" si="11"/>
        <v>-91013</v>
      </c>
      <c r="Q17" s="52">
        <v>0</v>
      </c>
      <c r="R17" s="52">
        <v>0</v>
      </c>
      <c r="S17" s="52">
        <v>0</v>
      </c>
      <c r="T17" s="52">
        <f t="shared" si="12"/>
        <v>-91013</v>
      </c>
      <c r="U17" s="52">
        <v>102880</v>
      </c>
      <c r="V17" s="52">
        <v>11867</v>
      </c>
      <c r="W17" s="52">
        <f>223234046+26626989</f>
        <v>249861035</v>
      </c>
    </row>
    <row r="18" spans="1:23">
      <c r="A18" s="14">
        <f>'法人一覧(26)'!A18</f>
        <v>15</v>
      </c>
      <c r="B18" s="2" t="str">
        <f>'法人一覧(26)'!B18</f>
        <v>文部科学省</v>
      </c>
      <c r="C18" s="2" t="str">
        <f>'法人一覧(26)'!C18</f>
        <v>国立女性教育会館</v>
      </c>
      <c r="D18" s="52">
        <f>346305562+53661937+95219228+4925161</f>
        <v>500111888</v>
      </c>
      <c r="E18" s="52">
        <v>107763347</v>
      </c>
      <c r="F18" s="52">
        <v>2617801</v>
      </c>
      <c r="G18" s="52">
        <f t="shared" si="13"/>
        <v>0</v>
      </c>
      <c r="H18" s="52">
        <v>610493036</v>
      </c>
      <c r="I18" s="52">
        <v>524045983</v>
      </c>
      <c r="J18" s="52">
        <v>0</v>
      </c>
      <c r="K18" s="52">
        <v>4925161</v>
      </c>
      <c r="L18" s="52">
        <v>8016295</v>
      </c>
      <c r="M18" s="52">
        <v>256</v>
      </c>
      <c r="N18" s="52">
        <f t="shared" si="14"/>
        <v>107369022</v>
      </c>
      <c r="O18" s="52">
        <v>644356717</v>
      </c>
      <c r="P18" s="52">
        <f t="shared" si="11"/>
        <v>33863681</v>
      </c>
      <c r="Q18" s="52">
        <v>0</v>
      </c>
      <c r="R18" s="52">
        <v>2255142</v>
      </c>
      <c r="S18" s="52">
        <v>0</v>
      </c>
      <c r="T18" s="52">
        <f t="shared" si="12"/>
        <v>36118823</v>
      </c>
      <c r="U18" s="52">
        <v>0</v>
      </c>
      <c r="V18" s="52">
        <v>36118823</v>
      </c>
      <c r="W18" s="52">
        <f>11355522+499639</f>
        <v>11855161</v>
      </c>
    </row>
    <row r="19" spans="1:23">
      <c r="A19" s="14">
        <f>'法人一覧(26)'!A19</f>
        <v>16</v>
      </c>
      <c r="B19" s="2" t="str">
        <f>'法人一覧(26)'!B19</f>
        <v>文部科学省</v>
      </c>
      <c r="C19" s="2" t="str">
        <f>'法人一覧(26)'!C19</f>
        <v>国立科学博物館</v>
      </c>
      <c r="D19" s="52">
        <f>3423361556+32827950</f>
        <v>3456189506</v>
      </c>
      <c r="E19" s="52">
        <v>471091553</v>
      </c>
      <c r="F19" s="52">
        <v>0</v>
      </c>
      <c r="G19" s="52">
        <f t="shared" si="13"/>
        <v>0</v>
      </c>
      <c r="H19" s="52">
        <v>3927281059</v>
      </c>
      <c r="I19" s="52">
        <v>2469046273</v>
      </c>
      <c r="J19" s="52">
        <f>430990368+25220000</f>
        <v>456210368</v>
      </c>
      <c r="K19" s="52">
        <v>33337608</v>
      </c>
      <c r="L19" s="52">
        <v>326542470</v>
      </c>
      <c r="M19" s="52">
        <v>18858</v>
      </c>
      <c r="N19" s="52">
        <f t="shared" si="14"/>
        <v>664237080</v>
      </c>
      <c r="O19" s="52">
        <v>3949392657</v>
      </c>
      <c r="P19" s="52">
        <f t="shared" si="11"/>
        <v>22111598</v>
      </c>
      <c r="Q19" s="52">
        <v>10222483</v>
      </c>
      <c r="R19" s="52">
        <v>9063443</v>
      </c>
      <c r="S19" s="52">
        <v>0</v>
      </c>
      <c r="T19" s="52">
        <f t="shared" si="12"/>
        <v>20952558</v>
      </c>
      <c r="U19" s="52">
        <v>104000</v>
      </c>
      <c r="V19" s="52">
        <v>21056558</v>
      </c>
      <c r="W19" s="52">
        <f>327640996+40062859</f>
        <v>367703855</v>
      </c>
    </row>
    <row r="20" spans="1:23">
      <c r="A20" s="14">
        <f>'法人一覧(26)'!A20</f>
        <v>17</v>
      </c>
      <c r="B20" s="2" t="str">
        <f>'法人一覧(26)'!B20</f>
        <v>文部科学省</v>
      </c>
      <c r="C20" s="2" t="str">
        <f>'法人一覧(26)'!C20</f>
        <v>物質・材料研究機構</v>
      </c>
      <c r="D20" s="52">
        <v>19266177636</v>
      </c>
      <c r="E20" s="52">
        <v>2139069526</v>
      </c>
      <c r="F20" s="52">
        <v>13556080</v>
      </c>
      <c r="G20" s="52">
        <f t="shared" si="13"/>
        <v>0</v>
      </c>
      <c r="H20" s="52">
        <v>21418803242</v>
      </c>
      <c r="I20" s="52">
        <v>10578963051</v>
      </c>
      <c r="J20" s="52">
        <f>1333443259+21528130</f>
        <v>1354971389</v>
      </c>
      <c r="K20" s="52">
        <f>1684474842+2316851794</f>
        <v>4001326636</v>
      </c>
      <c r="L20" s="52">
        <f>2123680757+524056628+257789599+285472</f>
        <v>2905812456</v>
      </c>
      <c r="M20" s="52">
        <v>1197636</v>
      </c>
      <c r="N20" s="52">
        <f t="shared" si="14"/>
        <v>2000623790</v>
      </c>
      <c r="O20" s="52">
        <v>20842894958</v>
      </c>
      <c r="P20" s="52">
        <f t="shared" si="11"/>
        <v>-575908284</v>
      </c>
      <c r="Q20" s="52">
        <v>591385804</v>
      </c>
      <c r="R20" s="52">
        <v>13686996</v>
      </c>
      <c r="S20" s="52">
        <v>0</v>
      </c>
      <c r="T20" s="52">
        <f t="shared" si="12"/>
        <v>-1153607092</v>
      </c>
      <c r="U20" s="52">
        <f>3445062+114013679</f>
        <v>117458741</v>
      </c>
      <c r="V20" s="52">
        <v>-1036148351</v>
      </c>
      <c r="W20" s="52">
        <f>3531328929+206579059</f>
        <v>3737907988</v>
      </c>
    </row>
    <row r="21" spans="1:23">
      <c r="A21" s="14">
        <f>'法人一覧(26)'!A21</f>
        <v>18</v>
      </c>
      <c r="B21" s="2" t="str">
        <f>'法人一覧(26)'!B21</f>
        <v>文部科学省</v>
      </c>
      <c r="C21" s="2" t="str">
        <f>'法人一覧(26)'!C21</f>
        <v>防災科学技術研究所</v>
      </c>
      <c r="D21" s="52">
        <v>10279013155</v>
      </c>
      <c r="E21" s="52">
        <v>700647189</v>
      </c>
      <c r="F21" s="52">
        <v>14867153</v>
      </c>
      <c r="G21" s="52">
        <f t="shared" si="13"/>
        <v>11190</v>
      </c>
      <c r="H21" s="52">
        <v>10994538687</v>
      </c>
      <c r="I21" s="52">
        <v>6372870891</v>
      </c>
      <c r="J21" s="52">
        <f>2676300009+239842569</f>
        <v>2916142578</v>
      </c>
      <c r="K21" s="52">
        <f>107280602+611507009</f>
        <v>718787611</v>
      </c>
      <c r="L21" s="52">
        <v>778983616</v>
      </c>
      <c r="M21" s="52">
        <v>317223</v>
      </c>
      <c r="N21" s="52">
        <f t="shared" si="14"/>
        <v>274876173</v>
      </c>
      <c r="O21" s="52">
        <v>11061978092</v>
      </c>
      <c r="P21" s="52">
        <f t="shared" si="11"/>
        <v>67439405</v>
      </c>
      <c r="Q21" s="52">
        <v>0</v>
      </c>
      <c r="R21" s="52">
        <v>0</v>
      </c>
      <c r="S21" s="52">
        <v>0</v>
      </c>
      <c r="T21" s="52">
        <f t="shared" si="12"/>
        <v>67439405</v>
      </c>
      <c r="U21" s="52">
        <v>2917657</v>
      </c>
      <c r="V21" s="52">
        <v>70357062</v>
      </c>
      <c r="W21" s="52">
        <f>1008989437+5146791</f>
        <v>1014136228</v>
      </c>
    </row>
    <row r="22" spans="1:23">
      <c r="A22" s="14">
        <f>'法人一覧(26)'!A22</f>
        <v>19</v>
      </c>
      <c r="B22" s="2" t="str">
        <f>'法人一覧(26)'!B22</f>
        <v>文部科学省</v>
      </c>
      <c r="C22" s="2" t="str">
        <f>'法人一覧(26)'!C22</f>
        <v>放射線医学総合研究所</v>
      </c>
      <c r="D22" s="52">
        <v>13897977556</v>
      </c>
      <c r="E22" s="52">
        <v>748755313</v>
      </c>
      <c r="F22" s="52">
        <v>2125338</v>
      </c>
      <c r="G22" s="52">
        <f t="shared" si="13"/>
        <v>590635</v>
      </c>
      <c r="H22" s="52">
        <v>14649448842</v>
      </c>
      <c r="I22" s="52">
        <v>8917099188</v>
      </c>
      <c r="J22" s="52">
        <v>103176502</v>
      </c>
      <c r="K22" s="52">
        <v>776231223</v>
      </c>
      <c r="L22" s="52">
        <v>1617144516</v>
      </c>
      <c r="M22" s="52">
        <v>0</v>
      </c>
      <c r="N22" s="52">
        <f t="shared" si="14"/>
        <v>3285060810</v>
      </c>
      <c r="O22" s="52">
        <v>14698712239</v>
      </c>
      <c r="P22" s="52">
        <f t="shared" si="11"/>
        <v>49263397</v>
      </c>
      <c r="Q22" s="52">
        <v>101085076</v>
      </c>
      <c r="R22" s="52">
        <v>101102075</v>
      </c>
      <c r="S22" s="52">
        <v>0</v>
      </c>
      <c r="T22" s="52">
        <f t="shared" si="12"/>
        <v>49280396</v>
      </c>
      <c r="U22" s="52">
        <v>214687</v>
      </c>
      <c r="V22" s="52">
        <v>49495083</v>
      </c>
      <c r="W22" s="52">
        <f>2163345317+16889428</f>
        <v>2180234745</v>
      </c>
    </row>
    <row r="23" spans="1:23">
      <c r="A23" s="14">
        <f>'法人一覧(26)'!A23</f>
        <v>20</v>
      </c>
      <c r="B23" s="2" t="str">
        <f>'法人一覧(26)'!B23</f>
        <v>文部科学省</v>
      </c>
      <c r="C23" s="2" t="str">
        <f>'法人一覧(26)'!C23</f>
        <v>国立美術館</v>
      </c>
      <c r="D23" s="52">
        <f>490460449+1815112409+370495698+1137525074</f>
        <v>3813593630</v>
      </c>
      <c r="E23" s="52">
        <v>1907412733</v>
      </c>
      <c r="F23" s="52">
        <v>0</v>
      </c>
      <c r="G23" s="52">
        <f t="shared" si="13"/>
        <v>0</v>
      </c>
      <c r="H23" s="52">
        <v>5721006363</v>
      </c>
      <c r="I23" s="52">
        <v>3903184605</v>
      </c>
      <c r="J23" s="52">
        <f>93606517+297524939</f>
        <v>391131456</v>
      </c>
      <c r="K23" s="52">
        <v>0</v>
      </c>
      <c r="L23" s="52">
        <f>167549894+3184468+10544665+459531</f>
        <v>181738558</v>
      </c>
      <c r="M23" s="52">
        <v>1878</v>
      </c>
      <c r="N23" s="52">
        <f t="shared" si="14"/>
        <v>1278850771</v>
      </c>
      <c r="O23" s="52">
        <v>5754907268</v>
      </c>
      <c r="P23" s="52">
        <f t="shared" si="11"/>
        <v>33900905</v>
      </c>
      <c r="Q23" s="52">
        <v>11</v>
      </c>
      <c r="R23" s="52">
        <v>0</v>
      </c>
      <c r="S23" s="52">
        <v>0</v>
      </c>
      <c r="T23" s="52">
        <f t="shared" si="12"/>
        <v>33900894</v>
      </c>
      <c r="U23" s="52">
        <v>1611791</v>
      </c>
      <c r="V23" s="52">
        <v>35512685</v>
      </c>
      <c r="W23" s="52">
        <f>180415456+3024797</f>
        <v>183440253</v>
      </c>
    </row>
    <row r="24" spans="1:23">
      <c r="A24" s="14">
        <f>'法人一覧(26)'!A24</f>
        <v>21</v>
      </c>
      <c r="B24" s="2" t="str">
        <f>'法人一覧(26)'!B24</f>
        <v>文部科学省</v>
      </c>
      <c r="C24" s="2" t="str">
        <f>'法人一覧(26)'!C24</f>
        <v>国立文化財機構</v>
      </c>
      <c r="D24" s="52">
        <v>8102714324</v>
      </c>
      <c r="E24" s="52">
        <v>2049489980</v>
      </c>
      <c r="F24" s="52">
        <v>1173919</v>
      </c>
      <c r="G24" s="52">
        <f t="shared" si="13"/>
        <v>952308</v>
      </c>
      <c r="H24" s="52">
        <v>10154330531</v>
      </c>
      <c r="I24" s="52">
        <v>6725221054</v>
      </c>
      <c r="J24" s="52">
        <f>336722490+133698015</f>
        <v>470420505</v>
      </c>
      <c r="K24" s="52">
        <v>540664832</v>
      </c>
      <c r="L24" s="52">
        <v>753840358</v>
      </c>
      <c r="M24" s="52">
        <f>587691+2529</f>
        <v>590220</v>
      </c>
      <c r="N24" s="52">
        <f t="shared" si="14"/>
        <v>1886056058</v>
      </c>
      <c r="O24" s="52">
        <v>10376793027</v>
      </c>
      <c r="P24" s="52">
        <f t="shared" si="11"/>
        <v>222462496</v>
      </c>
      <c r="Q24" s="52">
        <v>2636752</v>
      </c>
      <c r="R24" s="52">
        <v>2405073</v>
      </c>
      <c r="S24" s="52">
        <v>0</v>
      </c>
      <c r="T24" s="52">
        <f t="shared" si="12"/>
        <v>222230817</v>
      </c>
      <c r="U24" s="52">
        <v>2453200</v>
      </c>
      <c r="V24" s="52">
        <v>224684017</v>
      </c>
      <c r="W24" s="52">
        <f>672259555+41204021</f>
        <v>713463576</v>
      </c>
    </row>
    <row r="25" spans="1:23">
      <c r="A25" s="14">
        <f>'法人一覧(26)'!A25</f>
        <v>22</v>
      </c>
      <c r="B25" s="2" t="str">
        <f>'法人一覧(26)'!B25</f>
        <v>文部科学省</v>
      </c>
      <c r="C25" s="2" t="str">
        <f>'法人一覧(26)'!C25</f>
        <v>教員研修センター</v>
      </c>
      <c r="D25" s="29">
        <v>682223856</v>
      </c>
      <c r="E25" s="29">
        <v>343901373</v>
      </c>
      <c r="F25" s="29">
        <v>0</v>
      </c>
      <c r="G25" s="29">
        <f t="shared" si="13"/>
        <v>1934474</v>
      </c>
      <c r="H25" s="29">
        <v>1028059703</v>
      </c>
      <c r="I25" s="29">
        <v>825503397</v>
      </c>
      <c r="J25" s="29">
        <v>0</v>
      </c>
      <c r="K25" s="29">
        <v>0</v>
      </c>
      <c r="L25" s="29">
        <v>45951982</v>
      </c>
      <c r="M25" s="29">
        <v>92809</v>
      </c>
      <c r="N25" s="29">
        <f t="shared" si="14"/>
        <v>163308151</v>
      </c>
      <c r="O25" s="29">
        <v>1034856339</v>
      </c>
      <c r="P25" s="29">
        <f t="shared" si="11"/>
        <v>6796636</v>
      </c>
      <c r="Q25" s="29">
        <v>2528855</v>
      </c>
      <c r="R25" s="29">
        <v>0</v>
      </c>
      <c r="S25" s="29">
        <v>0</v>
      </c>
      <c r="T25" s="29">
        <f t="shared" si="12"/>
        <v>4267781</v>
      </c>
      <c r="U25" s="29">
        <v>0</v>
      </c>
      <c r="V25" s="29">
        <v>4267781</v>
      </c>
      <c r="W25" s="52">
        <f>47076229+5707501</f>
        <v>52783730</v>
      </c>
    </row>
    <row r="26" spans="1:23">
      <c r="A26" s="14">
        <f>'法人一覧(26)'!A26</f>
        <v>23</v>
      </c>
      <c r="B26" s="2" t="str">
        <f>'法人一覧(26)'!B26</f>
        <v>文部科学省</v>
      </c>
      <c r="C26" s="2" t="str">
        <f>'法人一覧(26)'!C26</f>
        <v>科学技術振興機構</v>
      </c>
      <c r="D26" s="52">
        <v>147564595496</v>
      </c>
      <c r="E26" s="52">
        <v>3083161121</v>
      </c>
      <c r="F26" s="52">
        <v>23372</v>
      </c>
      <c r="G26" s="52">
        <f t="shared" si="13"/>
        <v>0</v>
      </c>
      <c r="H26" s="52">
        <v>150647779989</v>
      </c>
      <c r="I26" s="52">
        <v>133048538706</v>
      </c>
      <c r="J26" s="52">
        <f>68594131+4808164710</f>
        <v>4876758841</v>
      </c>
      <c r="K26" s="52">
        <v>2483061350</v>
      </c>
      <c r="L26" s="52">
        <f>4004451447+3579860304+7540954</f>
        <v>7591852705</v>
      </c>
      <c r="M26" s="52">
        <v>271324277</v>
      </c>
      <c r="N26" s="52">
        <f t="shared" si="14"/>
        <v>3345023169</v>
      </c>
      <c r="O26" s="52">
        <v>151616559048</v>
      </c>
      <c r="P26" s="52">
        <f t="shared" si="11"/>
        <v>968779059</v>
      </c>
      <c r="Q26" s="52">
        <v>1570983822</v>
      </c>
      <c r="R26" s="52">
        <v>1136123863</v>
      </c>
      <c r="S26" s="52">
        <v>27689700</v>
      </c>
      <c r="T26" s="52">
        <f t="shared" si="12"/>
        <v>506229400</v>
      </c>
      <c r="U26" s="52">
        <v>267518</v>
      </c>
      <c r="V26" s="52">
        <v>506496918</v>
      </c>
      <c r="W26" s="52">
        <f>6275909807+1997810659</f>
        <v>8273720466</v>
      </c>
    </row>
    <row r="27" spans="1:23">
      <c r="A27" s="14">
        <f>'法人一覧(26)'!A27</f>
        <v>24</v>
      </c>
      <c r="B27" s="2" t="str">
        <f>'法人一覧(26)'!B27</f>
        <v>文部科学省</v>
      </c>
      <c r="C27" s="2" t="str">
        <f>'法人一覧(26)'!C27</f>
        <v>日本学術振興会</v>
      </c>
      <c r="D27" s="52">
        <v>259635279716</v>
      </c>
      <c r="E27" s="52">
        <v>929426118</v>
      </c>
      <c r="F27" s="52">
        <v>0</v>
      </c>
      <c r="G27" s="52">
        <f t="shared" si="13"/>
        <v>9041565</v>
      </c>
      <c r="H27" s="52">
        <v>260573747399</v>
      </c>
      <c r="I27" s="52">
        <v>27996502955</v>
      </c>
      <c r="J27" s="52">
        <v>231623781056</v>
      </c>
      <c r="K27" s="52">
        <v>169434776</v>
      </c>
      <c r="L27" s="52">
        <f>27399354+3415268</f>
        <v>30814622</v>
      </c>
      <c r="M27" s="52">
        <v>101263806</v>
      </c>
      <c r="N27" s="52">
        <f t="shared" si="14"/>
        <v>737840530</v>
      </c>
      <c r="O27" s="52">
        <v>260659637745</v>
      </c>
      <c r="P27" s="52">
        <f t="shared" si="11"/>
        <v>85890346</v>
      </c>
      <c r="Q27" s="52">
        <v>4</v>
      </c>
      <c r="R27" s="52">
        <v>0</v>
      </c>
      <c r="S27" s="52">
        <v>70000</v>
      </c>
      <c r="T27" s="52">
        <f t="shared" si="12"/>
        <v>85820342</v>
      </c>
      <c r="U27" s="52">
        <v>457687</v>
      </c>
      <c r="V27" s="52">
        <v>86278029</v>
      </c>
      <c r="W27" s="52">
        <f>32967531+0</f>
        <v>32967531</v>
      </c>
    </row>
    <row r="28" spans="1:23">
      <c r="A28" s="14">
        <f>'法人一覧(26)'!A28</f>
        <v>25</v>
      </c>
      <c r="B28" s="2" t="str">
        <f>'法人一覧(26)'!B28</f>
        <v>文部科学省</v>
      </c>
      <c r="C28" s="2" t="str">
        <f>'法人一覧(26)'!C28</f>
        <v>理化学研究所</v>
      </c>
      <c r="D28" s="52">
        <v>119526952500</v>
      </c>
      <c r="E28" s="52">
        <v>4438312040</v>
      </c>
      <c r="F28" s="52">
        <v>16479834</v>
      </c>
      <c r="G28" s="52">
        <f t="shared" si="13"/>
        <v>191435287</v>
      </c>
      <c r="H28" s="52">
        <v>124173179661</v>
      </c>
      <c r="I28" s="52">
        <v>48073441732</v>
      </c>
      <c r="J28" s="52">
        <f>23316562151+1017879411+3536229464</f>
        <v>27870671026</v>
      </c>
      <c r="K28" s="52">
        <f>8094606258+5840955180+1692597791</f>
        <v>15628159229</v>
      </c>
      <c r="L28" s="52">
        <f>7570652335+23018264371+1759161586</f>
        <v>32348078292</v>
      </c>
      <c r="M28" s="52">
        <v>2830502</v>
      </c>
      <c r="N28" s="52">
        <f t="shared" si="14"/>
        <v>1004877957</v>
      </c>
      <c r="O28" s="52">
        <v>124928058738</v>
      </c>
      <c r="P28" s="52">
        <f t="shared" si="11"/>
        <v>754879077</v>
      </c>
      <c r="Q28" s="52">
        <v>144466947</v>
      </c>
      <c r="R28" s="52">
        <v>140175577</v>
      </c>
      <c r="S28" s="52">
        <v>28659500</v>
      </c>
      <c r="T28" s="52">
        <f t="shared" si="12"/>
        <v>721928207</v>
      </c>
      <c r="U28" s="52">
        <v>909727701</v>
      </c>
      <c r="V28" s="52">
        <v>1631655908</v>
      </c>
      <c r="W28" s="52">
        <f>33801650821+269206442</f>
        <v>34070857263</v>
      </c>
    </row>
    <row r="29" spans="1:23">
      <c r="A29" s="14">
        <f>'法人一覧(26)'!A29</f>
        <v>26</v>
      </c>
      <c r="B29" s="2" t="str">
        <f>'法人一覧(26)'!B29</f>
        <v>文部科学省</v>
      </c>
      <c r="C29" s="2" t="str">
        <f>'法人一覧(26)'!C29</f>
        <v>宇宙航空研究開発機構</v>
      </c>
      <c r="D29" s="52">
        <f>160868284441+62322517834</f>
        <v>223190802275</v>
      </c>
      <c r="E29" s="52">
        <v>6019584920</v>
      </c>
      <c r="F29" s="52">
        <v>62068199</v>
      </c>
      <c r="G29" s="52">
        <f t="shared" si="13"/>
        <v>18842539</v>
      </c>
      <c r="H29" s="52">
        <v>229291297933</v>
      </c>
      <c r="I29" s="52">
        <v>71852518277</v>
      </c>
      <c r="J29" s="52">
        <f>41134431113+401475290</f>
        <v>41535906403</v>
      </c>
      <c r="K29" s="52">
        <v>58064507274</v>
      </c>
      <c r="L29" s="52">
        <v>47616839331</v>
      </c>
      <c r="M29" s="52">
        <v>35313446</v>
      </c>
      <c r="N29" s="52">
        <f t="shared" si="14"/>
        <v>786080606</v>
      </c>
      <c r="O29" s="52">
        <v>219891165337</v>
      </c>
      <c r="P29" s="52">
        <f t="shared" si="11"/>
        <v>-9400132596</v>
      </c>
      <c r="Q29" s="52">
        <v>91045344</v>
      </c>
      <c r="R29" s="52">
        <v>86337743</v>
      </c>
      <c r="S29" s="52">
        <v>25233700</v>
      </c>
      <c r="T29" s="52">
        <f t="shared" si="12"/>
        <v>-9430073897</v>
      </c>
      <c r="U29" s="52">
        <v>0</v>
      </c>
      <c r="V29" s="52">
        <v>-9430073897</v>
      </c>
      <c r="W29" s="52">
        <f>48883144814+2240479171</f>
        <v>51123623985</v>
      </c>
    </row>
    <row r="30" spans="1:23">
      <c r="A30" s="14">
        <f>'法人一覧(26)'!A30</f>
        <v>27</v>
      </c>
      <c r="B30" s="2" t="str">
        <f>'法人一覧(26)'!B30</f>
        <v>文部科学省</v>
      </c>
      <c r="C30" s="2" t="str">
        <f>'法人一覧(26)'!C30</f>
        <v>日本スポーツ振興センター</v>
      </c>
      <c r="D30" s="52">
        <v>132221565959</v>
      </c>
      <c r="E30" s="52">
        <v>875462028</v>
      </c>
      <c r="F30" s="52">
        <v>79353623</v>
      </c>
      <c r="G30" s="52">
        <f t="shared" si="13"/>
        <v>2264314</v>
      </c>
      <c r="H30" s="52">
        <v>133178645924</v>
      </c>
      <c r="I30" s="52">
        <v>6169497622</v>
      </c>
      <c r="J30" s="52">
        <f>2378511870+106275233</f>
        <v>2484787103</v>
      </c>
      <c r="K30" s="52">
        <v>2001658373</v>
      </c>
      <c r="L30" s="52">
        <v>756752396</v>
      </c>
      <c r="M30" s="52">
        <v>148992646</v>
      </c>
      <c r="N30" s="52">
        <f t="shared" si="14"/>
        <v>132560169545</v>
      </c>
      <c r="O30" s="52">
        <v>144121857685</v>
      </c>
      <c r="P30" s="52">
        <f t="shared" si="11"/>
        <v>10943211761</v>
      </c>
      <c r="Q30" s="52">
        <v>25141425857</v>
      </c>
      <c r="R30" s="52">
        <v>15502142526</v>
      </c>
      <c r="S30" s="52">
        <v>0</v>
      </c>
      <c r="T30" s="52">
        <f t="shared" si="12"/>
        <v>1303928430</v>
      </c>
      <c r="U30" s="52">
        <v>1812690</v>
      </c>
      <c r="V30" s="52">
        <v>1305741120</v>
      </c>
      <c r="W30" s="52">
        <f>1755845850+815351824</f>
        <v>2571197674</v>
      </c>
    </row>
    <row r="31" spans="1:23">
      <c r="A31" s="14">
        <f>'法人一覧(26)'!A31</f>
        <v>28</v>
      </c>
      <c r="B31" s="2" t="str">
        <f>'法人一覧(26)'!B31</f>
        <v>文部科学省</v>
      </c>
      <c r="C31" s="2" t="str">
        <f>'法人一覧(26)'!C31</f>
        <v>日本芸術文化振興会</v>
      </c>
      <c r="D31" s="52">
        <f>7266028592+4141059532+4938404186</f>
        <v>16345492310</v>
      </c>
      <c r="E31" s="52">
        <v>1186824929</v>
      </c>
      <c r="F31" s="52">
        <v>11396713</v>
      </c>
      <c r="G31" s="52">
        <f t="shared" si="13"/>
        <v>4635946</v>
      </c>
      <c r="H31" s="52">
        <v>17548349898</v>
      </c>
      <c r="I31" s="52">
        <v>9031554798</v>
      </c>
      <c r="J31" s="52">
        <f>3575648347+31930308</f>
        <v>3607578655</v>
      </c>
      <c r="K31" s="52">
        <v>30111876</v>
      </c>
      <c r="L31" s="52">
        <v>655521339</v>
      </c>
      <c r="M31" s="52">
        <v>165963687</v>
      </c>
      <c r="N31" s="52">
        <f t="shared" si="14"/>
        <v>4153908833</v>
      </c>
      <c r="O31" s="52">
        <v>17644639188</v>
      </c>
      <c r="P31" s="52">
        <f t="shared" si="11"/>
        <v>96289290</v>
      </c>
      <c r="Q31" s="52">
        <v>526299</v>
      </c>
      <c r="R31" s="52">
        <v>1405243</v>
      </c>
      <c r="S31" s="52">
        <v>190000</v>
      </c>
      <c r="T31" s="52">
        <f t="shared" si="12"/>
        <v>96978234</v>
      </c>
      <c r="U31" s="52">
        <v>0</v>
      </c>
      <c r="V31" s="52">
        <v>96978234</v>
      </c>
      <c r="W31" s="52">
        <f>907480164+85995831</f>
        <v>993475995</v>
      </c>
    </row>
    <row r="32" spans="1:23">
      <c r="A32" s="14">
        <f>'法人一覧(26)'!A32</f>
        <v>29</v>
      </c>
      <c r="B32" s="2" t="str">
        <f>'法人一覧(26)'!B32</f>
        <v>文部科学省</v>
      </c>
      <c r="C32" s="2" t="str">
        <f>'法人一覧(26)'!C32</f>
        <v>日本学生支援機構</v>
      </c>
      <c r="D32" s="52">
        <v>104980771571</v>
      </c>
      <c r="E32" s="52">
        <v>2308094893</v>
      </c>
      <c r="F32" s="52">
        <v>0</v>
      </c>
      <c r="G32" s="52">
        <f t="shared" si="13"/>
        <v>0</v>
      </c>
      <c r="H32" s="52">
        <v>107288866464</v>
      </c>
      <c r="I32" s="52">
        <v>12627293821</v>
      </c>
      <c r="J32" s="52">
        <v>18670597001</v>
      </c>
      <c r="K32" s="52">
        <v>6302434</v>
      </c>
      <c r="L32" s="52">
        <v>808049955</v>
      </c>
      <c r="M32" s="52">
        <v>327736898</v>
      </c>
      <c r="N32" s="52">
        <f t="shared" si="14"/>
        <v>80256871770</v>
      </c>
      <c r="O32" s="52">
        <v>112696851879</v>
      </c>
      <c r="P32" s="52">
        <f t="shared" si="11"/>
        <v>5407985415</v>
      </c>
      <c r="Q32" s="52">
        <v>1884740</v>
      </c>
      <c r="R32" s="52">
        <v>0</v>
      </c>
      <c r="S32" s="52">
        <v>0</v>
      </c>
      <c r="T32" s="52">
        <f t="shared" si="12"/>
        <v>5406100675</v>
      </c>
      <c r="U32" s="52">
        <v>0</v>
      </c>
      <c r="V32" s="52">
        <v>5406100675</v>
      </c>
      <c r="W32" s="52">
        <f>729651661+665997593</f>
        <v>1395649254</v>
      </c>
    </row>
    <row r="33" spans="1:23">
      <c r="A33" s="14">
        <f>'法人一覧(26)'!A33</f>
        <v>30</v>
      </c>
      <c r="B33" s="2" t="str">
        <f>'法人一覧(26)'!B33</f>
        <v>文部科学省</v>
      </c>
      <c r="C33" s="2" t="str">
        <f>'法人一覧(26)'!C33</f>
        <v>海洋研究開発機構</v>
      </c>
      <c r="D33" s="52">
        <v>44240662015</v>
      </c>
      <c r="E33" s="52">
        <v>959684146</v>
      </c>
      <c r="F33" s="52">
        <v>34413143</v>
      </c>
      <c r="G33" s="52">
        <f t="shared" si="13"/>
        <v>1727736</v>
      </c>
      <c r="H33" s="52">
        <v>45236487040</v>
      </c>
      <c r="I33" s="52">
        <v>32771122617</v>
      </c>
      <c r="J33" s="52">
        <f>1098094568+155442510</f>
        <v>1253537078</v>
      </c>
      <c r="K33" s="52">
        <v>4541586168</v>
      </c>
      <c r="L33" s="52">
        <f>3093149322+1959603037+283499951</f>
        <v>5336252310</v>
      </c>
      <c r="M33" s="52">
        <v>9133656</v>
      </c>
      <c r="N33" s="52">
        <f t="shared" si="14"/>
        <v>707312238</v>
      </c>
      <c r="O33" s="52">
        <v>44618944067</v>
      </c>
      <c r="P33" s="52">
        <f t="shared" si="11"/>
        <v>-617542973</v>
      </c>
      <c r="Q33" s="52">
        <v>87952524</v>
      </c>
      <c r="R33" s="52">
        <v>72192425</v>
      </c>
      <c r="S33" s="52">
        <v>13364500</v>
      </c>
      <c r="T33" s="52">
        <f t="shared" si="12"/>
        <v>-646667572</v>
      </c>
      <c r="U33" s="52">
        <v>1114210423</v>
      </c>
      <c r="V33" s="52">
        <v>467542851</v>
      </c>
      <c r="W33" s="52">
        <f>7064641029+296862265</f>
        <v>7361503294</v>
      </c>
    </row>
    <row r="34" spans="1:23">
      <c r="A34" s="14">
        <f>'法人一覧(26)'!A34</f>
        <v>31</v>
      </c>
      <c r="B34" s="2" t="str">
        <f>'法人一覧(26)'!B34</f>
        <v>文部科学省</v>
      </c>
      <c r="C34" s="2" t="str">
        <f>'法人一覧(26)'!C34</f>
        <v>国立高等専門学校機構</v>
      </c>
      <c r="D34" s="52">
        <v>75630133239</v>
      </c>
      <c r="E34" s="52">
        <v>5203875365</v>
      </c>
      <c r="F34" s="52">
        <v>28386337</v>
      </c>
      <c r="G34" s="52">
        <f t="shared" si="13"/>
        <v>56623</v>
      </c>
      <c r="H34" s="52">
        <v>80862451564</v>
      </c>
      <c r="I34" s="52">
        <v>60234213370</v>
      </c>
      <c r="J34" s="52">
        <f>552464468+358478781</f>
        <v>910943249</v>
      </c>
      <c r="K34" s="68">
        <f>913953571+192021977</f>
        <v>1105975548</v>
      </c>
      <c r="L34" s="52">
        <f>4367822532</f>
        <v>4367822532</v>
      </c>
      <c r="M34" s="52">
        <v>10216609</v>
      </c>
      <c r="N34" s="52">
        <f t="shared" si="14"/>
        <v>14486320445</v>
      </c>
      <c r="O34" s="52">
        <v>81115491753</v>
      </c>
      <c r="P34" s="52">
        <f t="shared" si="11"/>
        <v>253040189</v>
      </c>
      <c r="Q34" s="52">
        <v>599813025</v>
      </c>
      <c r="R34" s="52">
        <v>532006365</v>
      </c>
      <c r="S34" s="52">
        <v>0</v>
      </c>
      <c r="T34" s="52">
        <f t="shared" si="12"/>
        <v>185233529</v>
      </c>
      <c r="U34" s="52">
        <v>364534600</v>
      </c>
      <c r="V34" s="52">
        <v>549768129</v>
      </c>
      <c r="W34" s="52">
        <f>4975019310+61048206</f>
        <v>5036067516</v>
      </c>
    </row>
    <row r="35" spans="1:23">
      <c r="A35" s="14">
        <f>'法人一覧(26)'!A35</f>
        <v>32</v>
      </c>
      <c r="B35" s="2" t="str">
        <f>'法人一覧(26)'!B35</f>
        <v>文部科学省</v>
      </c>
      <c r="C35" s="2" t="str">
        <f>'法人一覧(26)'!C35</f>
        <v>大学評価・学位授与機構</v>
      </c>
      <c r="D35" s="52">
        <f>412373936+345190263+415467643+299232194</f>
        <v>1472264036</v>
      </c>
      <c r="E35" s="52">
        <v>354483661</v>
      </c>
      <c r="F35" s="52">
        <v>0</v>
      </c>
      <c r="G35" s="52">
        <f t="shared" si="13"/>
        <v>0</v>
      </c>
      <c r="H35" s="52">
        <v>1826747697</v>
      </c>
      <c r="I35" s="52">
        <v>1199670244</v>
      </c>
      <c r="J35" s="52">
        <v>28592102</v>
      </c>
      <c r="K35" s="52">
        <f>5359593+49500000</f>
        <v>54859593</v>
      </c>
      <c r="L35" s="52">
        <v>108280097</v>
      </c>
      <c r="M35" s="52">
        <v>10474</v>
      </c>
      <c r="N35" s="52">
        <f t="shared" si="14"/>
        <v>518883737</v>
      </c>
      <c r="O35" s="52">
        <v>1910296247</v>
      </c>
      <c r="P35" s="52">
        <f t="shared" si="11"/>
        <v>83548550</v>
      </c>
      <c r="Q35" s="52">
        <v>10274283</v>
      </c>
      <c r="R35" s="52">
        <v>10274283</v>
      </c>
      <c r="S35" s="52">
        <v>0</v>
      </c>
      <c r="T35" s="52">
        <f t="shared" si="12"/>
        <v>83548550</v>
      </c>
      <c r="U35" s="52">
        <v>0</v>
      </c>
      <c r="V35" s="52">
        <v>83548550</v>
      </c>
      <c r="W35" s="52">
        <f>42838014+77742419</f>
        <v>120580433</v>
      </c>
    </row>
    <row r="36" spans="1:23">
      <c r="A36" s="14">
        <f>'法人一覧(26)'!A36</f>
        <v>33</v>
      </c>
      <c r="B36" s="2" t="str">
        <f>'法人一覧(26)'!B36</f>
        <v>文部科学省</v>
      </c>
      <c r="C36" s="2" t="str">
        <f>'法人一覧(26)'!C36</f>
        <v>国立大学財務・経営センター</v>
      </c>
      <c r="D36" s="52">
        <v>18902026360</v>
      </c>
      <c r="E36" s="52">
        <v>148106444</v>
      </c>
      <c r="F36" s="52">
        <v>13805532</v>
      </c>
      <c r="G36" s="52">
        <f t="shared" si="13"/>
        <v>0</v>
      </c>
      <c r="H36" s="52">
        <v>19063938336</v>
      </c>
      <c r="I36" s="52">
        <v>264565742</v>
      </c>
      <c r="J36" s="52">
        <v>746860056</v>
      </c>
      <c r="K36" s="52">
        <v>0</v>
      </c>
      <c r="L36" s="52">
        <v>1798039</v>
      </c>
      <c r="M36" s="52">
        <f>11639487+12427988779</f>
        <v>12439628266</v>
      </c>
      <c r="N36" s="52">
        <f t="shared" si="14"/>
        <v>3239987133</v>
      </c>
      <c r="O36" s="52">
        <v>16692839236</v>
      </c>
      <c r="P36" s="52">
        <f t="shared" si="11"/>
        <v>-2371099100</v>
      </c>
      <c r="Q36" s="52">
        <v>0</v>
      </c>
      <c r="R36" s="52">
        <v>0</v>
      </c>
      <c r="S36" s="52">
        <v>0</v>
      </c>
      <c r="T36" s="52">
        <f t="shared" si="12"/>
        <v>-2371099100</v>
      </c>
      <c r="U36" s="52">
        <v>2371102892</v>
      </c>
      <c r="V36" s="52">
        <v>3792</v>
      </c>
      <c r="W36" s="52">
        <f>1430875+367164</f>
        <v>1798039</v>
      </c>
    </row>
    <row r="37" spans="1:23">
      <c r="A37" s="14">
        <f>'法人一覧(26)'!A37</f>
        <v>34</v>
      </c>
      <c r="B37" s="2" t="str">
        <f>'法人一覧(26)'!B37</f>
        <v>文部科学省</v>
      </c>
      <c r="C37" s="2" t="str">
        <f>'法人一覧(26)'!C37</f>
        <v>日本原子力研究開発機構</v>
      </c>
      <c r="D37" s="52">
        <f>168191909350+14104037605</f>
        <v>182295946955</v>
      </c>
      <c r="E37" s="52">
        <v>3987783879</v>
      </c>
      <c r="F37" s="52">
        <v>66892153</v>
      </c>
      <c r="G37" s="52">
        <f t="shared" si="13"/>
        <v>43642831</v>
      </c>
      <c r="H37" s="52">
        <v>186394265818</v>
      </c>
      <c r="I37" s="52">
        <v>139371338563</v>
      </c>
      <c r="J37" s="52">
        <f>134127287+15362749370</f>
        <v>15496876657</v>
      </c>
      <c r="K37" s="52">
        <f>12303267339+1607746228</f>
        <v>13911013567</v>
      </c>
      <c r="L37" s="52">
        <v>13495416066</v>
      </c>
      <c r="M37" s="52">
        <v>558839752</v>
      </c>
      <c r="N37" s="52">
        <f t="shared" si="14"/>
        <v>6414082002</v>
      </c>
      <c r="O37" s="52">
        <v>189247566607</v>
      </c>
      <c r="P37" s="52">
        <f t="shared" si="11"/>
        <v>2853300789</v>
      </c>
      <c r="Q37" s="52">
        <v>870339330</v>
      </c>
      <c r="R37" s="52">
        <v>769730785</v>
      </c>
      <c r="S37" s="52">
        <v>65634000</v>
      </c>
      <c r="T37" s="52">
        <f t="shared" si="12"/>
        <v>2687058244</v>
      </c>
      <c r="U37" s="52">
        <v>149297286</v>
      </c>
      <c r="V37" s="52">
        <v>2836355530</v>
      </c>
      <c r="W37" s="52">
        <f>13360088357+760092575</f>
        <v>14120180932</v>
      </c>
    </row>
    <row r="38" spans="1:23">
      <c r="A38" s="14">
        <f>'法人一覧(26)'!A38</f>
        <v>35</v>
      </c>
      <c r="B38" s="2" t="str">
        <f>'法人一覧(26)'!B38</f>
        <v>厚生労働省</v>
      </c>
      <c r="C38" s="2" t="str">
        <f>'法人一覧(26)'!C38</f>
        <v>国立健康・栄養研究所</v>
      </c>
      <c r="D38" s="52">
        <v>558845753</v>
      </c>
      <c r="E38" s="52">
        <v>173807153</v>
      </c>
      <c r="F38" s="52">
        <v>0</v>
      </c>
      <c r="G38" s="52">
        <f t="shared" si="13"/>
        <v>48463</v>
      </c>
      <c r="H38" s="52">
        <v>732701369</v>
      </c>
      <c r="I38" s="52">
        <v>649998313</v>
      </c>
      <c r="J38" s="52">
        <v>0</v>
      </c>
      <c r="K38" s="52">
        <v>82737914</v>
      </c>
      <c r="L38" s="52">
        <v>9757802</v>
      </c>
      <c r="M38" s="52">
        <v>53255</v>
      </c>
      <c r="N38" s="52">
        <f t="shared" si="14"/>
        <v>37405368</v>
      </c>
      <c r="O38" s="52">
        <v>779952652</v>
      </c>
      <c r="P38" s="52">
        <f t="shared" si="11"/>
        <v>47251283</v>
      </c>
      <c r="Q38" s="52">
        <v>0</v>
      </c>
      <c r="R38" s="52">
        <v>0</v>
      </c>
      <c r="S38" s="52">
        <v>0</v>
      </c>
      <c r="T38" s="52">
        <f t="shared" si="12"/>
        <v>47251283</v>
      </c>
      <c r="U38" s="52">
        <v>0</v>
      </c>
      <c r="V38" s="52">
        <v>47251283</v>
      </c>
      <c r="W38" s="52">
        <f>11050633</f>
        <v>11050633</v>
      </c>
    </row>
    <row r="39" spans="1:23">
      <c r="A39" s="14">
        <f>'法人一覧(26)'!A39</f>
        <v>36</v>
      </c>
      <c r="B39" s="2" t="str">
        <f>'法人一覧(26)'!B39</f>
        <v>厚生労働省</v>
      </c>
      <c r="C39" s="2" t="str">
        <f>'法人一覧(26)'!C39</f>
        <v>労働安全衛生総合研究所</v>
      </c>
      <c r="D39" s="52">
        <v>1559467899</v>
      </c>
      <c r="E39" s="52">
        <v>332216998</v>
      </c>
      <c r="F39" s="52">
        <v>1054924</v>
      </c>
      <c r="G39" s="52">
        <f t="shared" si="13"/>
        <v>0</v>
      </c>
      <c r="H39" s="52">
        <v>1892739821</v>
      </c>
      <c r="I39" s="52">
        <v>1728298980</v>
      </c>
      <c r="J39" s="52">
        <v>2462400</v>
      </c>
      <c r="K39" s="52">
        <v>32077403</v>
      </c>
      <c r="L39" s="52">
        <f>269184+5473791+113932900</f>
        <v>119675875</v>
      </c>
      <c r="M39" s="52">
        <v>0</v>
      </c>
      <c r="N39" s="52">
        <f t="shared" si="14"/>
        <v>22122686</v>
      </c>
      <c r="O39" s="52">
        <v>1904637344</v>
      </c>
      <c r="P39" s="52">
        <f t="shared" si="11"/>
        <v>11897523</v>
      </c>
      <c r="Q39" s="52">
        <v>9523279</v>
      </c>
      <c r="R39" s="52">
        <v>9452229</v>
      </c>
      <c r="S39" s="52">
        <v>0</v>
      </c>
      <c r="T39" s="52">
        <f t="shared" si="12"/>
        <v>11826473</v>
      </c>
      <c r="U39" s="52">
        <v>0</v>
      </c>
      <c r="V39" s="52">
        <v>11826473</v>
      </c>
      <c r="W39" s="52">
        <f>151694260+9225921</f>
        <v>160920181</v>
      </c>
    </row>
    <row r="40" spans="1:23">
      <c r="A40" s="14">
        <f>'法人一覧(26)'!A40</f>
        <v>37</v>
      </c>
      <c r="B40" s="2" t="str">
        <f>'法人一覧(26)'!B40</f>
        <v>厚生労働省</v>
      </c>
      <c r="C40" s="2" t="str">
        <f>'法人一覧(26)'!C40</f>
        <v>勤労者退職金共済機構</v>
      </c>
      <c r="D40" s="52">
        <v>559003223708</v>
      </c>
      <c r="E40" s="52">
        <v>1064425709</v>
      </c>
      <c r="F40" s="52">
        <v>3718684826</v>
      </c>
      <c r="G40" s="52">
        <f t="shared" si="13"/>
        <v>0</v>
      </c>
      <c r="H40" s="52">
        <v>563786334243</v>
      </c>
      <c r="I40" s="52">
        <v>28825173</v>
      </c>
      <c r="J40" s="52">
        <v>7831442833</v>
      </c>
      <c r="K40" s="52">
        <v>0</v>
      </c>
      <c r="L40" s="52">
        <f>2095566+11135551</f>
        <v>13231117</v>
      </c>
      <c r="M40" s="52">
        <v>8647979</v>
      </c>
      <c r="N40" s="52">
        <f t="shared" si="14"/>
        <v>746876573534</v>
      </c>
      <c r="O40" s="52">
        <v>754758720636</v>
      </c>
      <c r="P40" s="52">
        <f t="shared" si="11"/>
        <v>190972386393</v>
      </c>
      <c r="Q40" s="52">
        <v>2723647</v>
      </c>
      <c r="R40" s="52">
        <v>388675947</v>
      </c>
      <c r="S40" s="52">
        <v>0</v>
      </c>
      <c r="T40" s="52">
        <f t="shared" si="12"/>
        <v>191358338693</v>
      </c>
      <c r="U40" s="52">
        <v>16141255</v>
      </c>
      <c r="V40" s="52">
        <v>191374479948</v>
      </c>
      <c r="W40" s="52">
        <f>164518138+117805372</f>
        <v>282323510</v>
      </c>
    </row>
    <row r="41" spans="1:23">
      <c r="A41" s="14">
        <f>'法人一覧(26)'!A41</f>
        <v>38</v>
      </c>
      <c r="B41" s="2" t="str">
        <f>'法人一覧(26)'!B41</f>
        <v>厚生労働省</v>
      </c>
      <c r="C41" s="2" t="str">
        <f>'法人一覧(26)'!C41</f>
        <v>高齢・障害・求職者雇用支援機構</v>
      </c>
      <c r="D41" s="52">
        <v>99832535405</v>
      </c>
      <c r="E41" s="52">
        <v>4808991607</v>
      </c>
      <c r="F41" s="52">
        <v>93656338</v>
      </c>
      <c r="G41" s="52">
        <f t="shared" si="13"/>
        <v>0</v>
      </c>
      <c r="H41" s="52">
        <v>104735183350</v>
      </c>
      <c r="I41" s="52">
        <v>58987113649</v>
      </c>
      <c r="J41" s="52">
        <f>823446903+734303508</f>
        <v>1557750411</v>
      </c>
      <c r="K41" s="52">
        <v>29516780</v>
      </c>
      <c r="L41" s="52">
        <f>2338350+2755304237+6485910</f>
        <v>2764128497</v>
      </c>
      <c r="M41" s="52">
        <v>25424949</v>
      </c>
      <c r="N41" s="52">
        <f t="shared" si="14"/>
        <v>49128063568</v>
      </c>
      <c r="O41" s="52">
        <v>112491997854</v>
      </c>
      <c r="P41" s="52">
        <f t="shared" si="11"/>
        <v>7756814504</v>
      </c>
      <c r="Q41" s="52">
        <v>4423690463</v>
      </c>
      <c r="R41" s="52">
        <v>5982373</v>
      </c>
      <c r="S41" s="52">
        <v>0</v>
      </c>
      <c r="T41" s="52">
        <f t="shared" si="12"/>
        <v>3339106414</v>
      </c>
      <c r="U41" s="52">
        <v>0</v>
      </c>
      <c r="V41" s="52">
        <v>3339106414</v>
      </c>
      <c r="W41" s="52">
        <v>5230970604</v>
      </c>
    </row>
    <row r="42" spans="1:23">
      <c r="A42" s="14">
        <f>'法人一覧(26)'!A42</f>
        <v>39</v>
      </c>
      <c r="B42" s="2" t="str">
        <f>'法人一覧(26)'!B42</f>
        <v>厚生労働省</v>
      </c>
      <c r="C42" s="2" t="str">
        <f>'法人一覧(26)'!C42</f>
        <v>福祉医療機構</v>
      </c>
      <c r="D42" s="52">
        <f>52354575647+248098320+325975341+1418370248+96170304152+20978022633+2030121220+30852309+3305776504</f>
        <v>176862096374</v>
      </c>
      <c r="E42" s="52">
        <v>1165331854</v>
      </c>
      <c r="F42" s="52">
        <v>0</v>
      </c>
      <c r="G42" s="52">
        <f t="shared" si="13"/>
        <v>273459368</v>
      </c>
      <c r="H42" s="52">
        <v>178300887596</v>
      </c>
      <c r="I42" s="52">
        <v>3312705151</v>
      </c>
      <c r="J42" s="52">
        <v>52516892531</v>
      </c>
      <c r="K42" s="52">
        <v>0</v>
      </c>
      <c r="L42" s="52">
        <v>199730920</v>
      </c>
      <c r="M42" s="52">
        <v>185054164</v>
      </c>
      <c r="N42" s="52">
        <f t="shared" si="14"/>
        <v>163274043826</v>
      </c>
      <c r="O42" s="52">
        <v>219488426592</v>
      </c>
      <c r="P42" s="52">
        <f t="shared" si="11"/>
        <v>41187538996</v>
      </c>
      <c r="Q42" s="52">
        <v>5541169014</v>
      </c>
      <c r="R42" s="52">
        <v>1494005650</v>
      </c>
      <c r="S42" s="52">
        <v>0</v>
      </c>
      <c r="T42" s="52">
        <f t="shared" si="12"/>
        <v>37140375632</v>
      </c>
      <c r="U42" s="52">
        <v>19820771</v>
      </c>
      <c r="V42" s="52">
        <v>37160196403</v>
      </c>
      <c r="W42" s="52">
        <f>53467093+224068791</f>
        <v>277535884</v>
      </c>
    </row>
    <row r="43" spans="1:23">
      <c r="A43" s="14">
        <f>'法人一覧(26)'!A43</f>
        <v>40</v>
      </c>
      <c r="B43" s="2" t="str">
        <f>'法人一覧(26)'!B43</f>
        <v>厚生労働省</v>
      </c>
      <c r="C43" s="2" t="str">
        <f>'法人一覧(26)'!C43</f>
        <v>国立重度知的障害者総合施設のぞみの園</v>
      </c>
      <c r="D43" s="52">
        <v>3128374454</v>
      </c>
      <c r="E43" s="52">
        <v>250675260</v>
      </c>
      <c r="F43" s="52">
        <v>237394</v>
      </c>
      <c r="G43" s="52">
        <f t="shared" si="13"/>
        <v>0</v>
      </c>
      <c r="H43" s="52">
        <v>3379287108</v>
      </c>
      <c r="I43" s="52">
        <v>1522053512</v>
      </c>
      <c r="J43" s="52">
        <v>10058000</v>
      </c>
      <c r="K43" s="52">
        <v>3878200</v>
      </c>
      <c r="L43" s="52">
        <v>90196540</v>
      </c>
      <c r="M43" s="52">
        <v>32171</v>
      </c>
      <c r="N43" s="52">
        <f t="shared" si="14"/>
        <v>1753068685</v>
      </c>
      <c r="O43" s="52">
        <v>3379287108</v>
      </c>
      <c r="P43" s="52">
        <f t="shared" si="11"/>
        <v>0</v>
      </c>
      <c r="Q43" s="52">
        <v>0</v>
      </c>
      <c r="R43" s="52">
        <v>0</v>
      </c>
      <c r="S43" s="52">
        <v>0</v>
      </c>
      <c r="T43" s="52">
        <f t="shared" si="12"/>
        <v>0</v>
      </c>
      <c r="U43" s="52">
        <v>0</v>
      </c>
      <c r="V43" s="52">
        <v>0</v>
      </c>
      <c r="W43" s="52">
        <f>89921784+739200</f>
        <v>90660984</v>
      </c>
    </row>
    <row r="44" spans="1:23">
      <c r="A44" s="14">
        <f>'法人一覧(26)'!A44</f>
        <v>41</v>
      </c>
      <c r="B44" s="2" t="str">
        <f>'法人一覧(26)'!B44</f>
        <v>厚生労働省</v>
      </c>
      <c r="C44" s="2" t="str">
        <f>'法人一覧(26)'!C44</f>
        <v>労働政策研究・研修機構</v>
      </c>
      <c r="D44" s="52">
        <v>1704971232</v>
      </c>
      <c r="E44" s="52">
        <v>645951826</v>
      </c>
      <c r="F44" s="52">
        <v>2430636</v>
      </c>
      <c r="G44" s="52">
        <f t="shared" si="13"/>
        <v>3296551</v>
      </c>
      <c r="H44" s="52">
        <v>2356650245</v>
      </c>
      <c r="I44" s="52">
        <v>2288294942</v>
      </c>
      <c r="J44" s="52">
        <v>0</v>
      </c>
      <c r="K44" s="52">
        <v>0</v>
      </c>
      <c r="L44" s="52">
        <v>22214629</v>
      </c>
      <c r="M44" s="52">
        <v>351765</v>
      </c>
      <c r="N44" s="52">
        <f t="shared" si="14"/>
        <v>48768309</v>
      </c>
      <c r="O44" s="52">
        <v>2359629645</v>
      </c>
      <c r="P44" s="52">
        <f t="shared" si="11"/>
        <v>2979400</v>
      </c>
      <c r="Q44" s="52">
        <v>119809</v>
      </c>
      <c r="R44" s="52">
        <v>0</v>
      </c>
      <c r="S44" s="52">
        <v>0</v>
      </c>
      <c r="T44" s="52">
        <f t="shared" si="12"/>
        <v>2859591</v>
      </c>
      <c r="U44" s="52">
        <v>0</v>
      </c>
      <c r="V44" s="52">
        <v>2859591</v>
      </c>
      <c r="W44" s="52">
        <v>54293770</v>
      </c>
    </row>
    <row r="45" spans="1:23">
      <c r="A45" s="14">
        <f>'法人一覧(26)'!A45</f>
        <v>42</v>
      </c>
      <c r="B45" s="2" t="str">
        <f>'法人一覧(26)'!B45</f>
        <v>厚生労働省</v>
      </c>
      <c r="C45" s="2" t="str">
        <f>'法人一覧(26)'!C45</f>
        <v>労働者健康福祉機構</v>
      </c>
      <c r="D45" s="52">
        <f>301901603744+10128902085+53621181</f>
        <v>312084127010</v>
      </c>
      <c r="E45" s="52">
        <v>3005472416</v>
      </c>
      <c r="F45" s="52">
        <v>102654306</v>
      </c>
      <c r="G45" s="52">
        <f t="shared" si="13"/>
        <v>9059991</v>
      </c>
      <c r="H45" s="52">
        <v>315201313723</v>
      </c>
      <c r="I45" s="52">
        <v>6524546848</v>
      </c>
      <c r="J45" s="52">
        <f>78493103+3594584933</f>
        <v>3673078036</v>
      </c>
      <c r="K45" s="52">
        <v>53900601</v>
      </c>
      <c r="L45" s="52">
        <f>162225744+10319522372+10061009</f>
        <v>10491809125</v>
      </c>
      <c r="M45" s="52">
        <v>173809707</v>
      </c>
      <c r="N45" s="52">
        <f t="shared" si="14"/>
        <v>287770373693</v>
      </c>
      <c r="O45" s="52">
        <v>308687518010</v>
      </c>
      <c r="P45" s="52">
        <f t="shared" si="11"/>
        <v>-6513795713</v>
      </c>
      <c r="Q45" s="52">
        <v>1777332191</v>
      </c>
      <c r="R45" s="52">
        <v>92709000</v>
      </c>
      <c r="S45" s="52">
        <v>0</v>
      </c>
      <c r="T45" s="52">
        <f t="shared" si="12"/>
        <v>-8198418904</v>
      </c>
      <c r="U45" s="52">
        <v>0</v>
      </c>
      <c r="V45" s="52">
        <v>-8198418904</v>
      </c>
      <c r="W45" s="52">
        <f>19050951534+20748879</f>
        <v>19071700413</v>
      </c>
    </row>
    <row r="46" spans="1:23">
      <c r="A46" s="14">
        <f>'法人一覧(26)'!A46</f>
        <v>43</v>
      </c>
      <c r="B46" s="2" t="str">
        <f>'法人一覧(26)'!B46</f>
        <v>厚生労働省</v>
      </c>
      <c r="C46" s="2" t="str">
        <f>'法人一覧(26)'!C46</f>
        <v>国立病院機構</v>
      </c>
      <c r="D46" s="52">
        <f>866193052687+7820271824+13330878485</f>
        <v>887344202996</v>
      </c>
      <c r="E46" s="52">
        <v>27665447837</v>
      </c>
      <c r="F46" s="52">
        <v>6897450729</v>
      </c>
      <c r="G46" s="52">
        <f t="shared" si="13"/>
        <v>2568131237</v>
      </c>
      <c r="H46" s="52">
        <v>924475232799</v>
      </c>
      <c r="I46" s="52">
        <f>634317530+2987112747+14287611764</f>
        <v>17909042041</v>
      </c>
      <c r="J46" s="52">
        <f>1943130081+28742350+299213800+11968446</f>
        <v>2283054677</v>
      </c>
      <c r="K46" s="52">
        <v>809505759</v>
      </c>
      <c r="L46" s="52">
        <f>426795830+1862552487+2134989+15035453+218866189+46862908+17287491</f>
        <v>2589535347</v>
      </c>
      <c r="M46" s="52">
        <v>49922253</v>
      </c>
      <c r="N46" s="52">
        <f t="shared" si="14"/>
        <v>915778733359</v>
      </c>
      <c r="O46" s="52">
        <v>939419793436</v>
      </c>
      <c r="P46" s="52">
        <f t="shared" si="11"/>
        <v>14944560637</v>
      </c>
      <c r="Q46" s="52">
        <v>6603978553</v>
      </c>
      <c r="R46" s="52">
        <v>3370775995</v>
      </c>
      <c r="S46" s="52">
        <v>0</v>
      </c>
      <c r="T46" s="52">
        <f t="shared" si="12"/>
        <v>11711358079</v>
      </c>
      <c r="U46" s="52">
        <v>0</v>
      </c>
      <c r="V46" s="52">
        <v>11711358079</v>
      </c>
      <c r="W46" s="52">
        <f>59936014448+7491869701</f>
        <v>67427884149</v>
      </c>
    </row>
    <row r="47" spans="1:23">
      <c r="A47" s="14">
        <f>'法人一覧(26)'!A47</f>
        <v>44</v>
      </c>
      <c r="B47" s="2" t="str">
        <f>'法人一覧(26)'!B47</f>
        <v>厚生労働省</v>
      </c>
      <c r="C47" s="2" t="str">
        <f>'法人一覧(26)'!C47</f>
        <v>医薬品医療機器総合機構</v>
      </c>
      <c r="D47" s="52">
        <f>2113286412+3238831+127425120+3177760590+1623621196+2100000000+1082991904+203589600+288735800+1184206725+9326450250</f>
        <v>21231306428</v>
      </c>
      <c r="E47" s="52">
        <v>2147054728</v>
      </c>
      <c r="F47" s="52">
        <v>6088775</v>
      </c>
      <c r="G47" s="52">
        <f t="shared" si="13"/>
        <v>2521600</v>
      </c>
      <c r="H47" s="52">
        <v>23386971531</v>
      </c>
      <c r="I47" s="52">
        <v>1148620621</v>
      </c>
      <c r="J47" s="52">
        <v>656914254</v>
      </c>
      <c r="K47" s="52">
        <f>69801190+1754282390</f>
        <v>1824083580</v>
      </c>
      <c r="L47" s="52">
        <f>10793944+142231240+36220</f>
        <v>153061404</v>
      </c>
      <c r="M47" s="52">
        <v>442297876</v>
      </c>
      <c r="N47" s="52">
        <f t="shared" si="14"/>
        <v>19114192061</v>
      </c>
      <c r="O47" s="52">
        <v>23339169796</v>
      </c>
      <c r="P47" s="52">
        <f t="shared" si="11"/>
        <v>-47801735</v>
      </c>
      <c r="Q47" s="52">
        <v>1015346130</v>
      </c>
      <c r="R47" s="52">
        <v>0</v>
      </c>
      <c r="S47" s="52">
        <v>0</v>
      </c>
      <c r="T47" s="52">
        <f t="shared" si="12"/>
        <v>-1063147865</v>
      </c>
      <c r="U47" s="52">
        <v>1342439372</v>
      </c>
      <c r="V47" s="52">
        <v>279291507</v>
      </c>
      <c r="W47" s="52">
        <f>399296861+1243265159</f>
        <v>1642562020</v>
      </c>
    </row>
    <row r="48" spans="1:23">
      <c r="A48" s="14">
        <f>'法人一覧(26)'!A48</f>
        <v>45</v>
      </c>
      <c r="B48" s="2" t="str">
        <f>'法人一覧(26)'!B48</f>
        <v>厚生労働省</v>
      </c>
      <c r="C48" s="2" t="str">
        <f>'法人一覧(26)'!C48</f>
        <v>医薬基盤研究所</v>
      </c>
      <c r="D48" s="52">
        <f>6652133168+1404220</f>
        <v>6653537388</v>
      </c>
      <c r="E48" s="52">
        <v>591173391</v>
      </c>
      <c r="F48" s="52">
        <v>4208762</v>
      </c>
      <c r="G48" s="52">
        <f t="shared" si="13"/>
        <v>1691307090</v>
      </c>
      <c r="H48" s="52">
        <v>8940226631</v>
      </c>
      <c r="I48" s="52">
        <v>6595978119</v>
      </c>
      <c r="J48" s="52">
        <v>68000000</v>
      </c>
      <c r="K48" s="52">
        <f>81417424+1606385000</f>
        <v>1687802424</v>
      </c>
      <c r="L48" s="52">
        <v>576326964</v>
      </c>
      <c r="M48" s="52">
        <v>40281803</v>
      </c>
      <c r="N48" s="52">
        <f t="shared" si="14"/>
        <v>869001230</v>
      </c>
      <c r="O48" s="52">
        <v>9837390540</v>
      </c>
      <c r="P48" s="52">
        <f t="shared" si="11"/>
        <v>897163909</v>
      </c>
      <c r="Q48" s="52">
        <v>26485786</v>
      </c>
      <c r="R48" s="52">
        <v>1680107491</v>
      </c>
      <c r="S48" s="52">
        <v>0</v>
      </c>
      <c r="T48" s="52">
        <f t="shared" si="12"/>
        <v>2550785614</v>
      </c>
      <c r="U48" s="52">
        <v>18921018</v>
      </c>
      <c r="V48" s="52">
        <v>2569706632</v>
      </c>
      <c r="W48" s="52">
        <f>784881589+119064</f>
        <v>785000653</v>
      </c>
    </row>
    <row r="49" spans="1:23">
      <c r="A49" s="14">
        <f>'法人一覧(26)'!A49</f>
        <v>46</v>
      </c>
      <c r="B49" s="2" t="str">
        <f>'法人一覧(26)'!B49</f>
        <v>厚生労働省</v>
      </c>
      <c r="C49" s="2" t="str">
        <f>'法人一覧(26)'!C49</f>
        <v>地域医療機能推進機構</v>
      </c>
      <c r="D49" s="52">
        <f>336583472721+12912250016+1304238560</f>
        <v>350799961297</v>
      </c>
      <c r="E49" s="52">
        <v>2111552967</v>
      </c>
      <c r="F49" s="52">
        <v>194142379</v>
      </c>
      <c r="G49" s="52">
        <f t="shared" si="13"/>
        <v>474892275</v>
      </c>
      <c r="H49" s="52">
        <v>353580548918</v>
      </c>
      <c r="I49" s="52">
        <v>0</v>
      </c>
      <c r="J49" s="52">
        <f>916590369+5169078+7162204+19809000</f>
        <v>948730651</v>
      </c>
      <c r="K49" s="52">
        <v>0</v>
      </c>
      <c r="L49" s="52">
        <v>0</v>
      </c>
      <c r="M49" s="52">
        <v>52970712</v>
      </c>
      <c r="N49" s="52">
        <f t="shared" si="14"/>
        <v>357639218264</v>
      </c>
      <c r="O49" s="52">
        <v>358640919627</v>
      </c>
      <c r="P49" s="52">
        <f t="shared" si="11"/>
        <v>5060370709</v>
      </c>
      <c r="Q49" s="52">
        <v>11185597884</v>
      </c>
      <c r="R49" s="52">
        <v>109113887</v>
      </c>
      <c r="S49" s="52">
        <v>0</v>
      </c>
      <c r="T49" s="52">
        <f t="shared" si="12"/>
        <v>-6016113288</v>
      </c>
      <c r="U49" s="52">
        <v>0</v>
      </c>
      <c r="V49" s="52">
        <v>-6016113288</v>
      </c>
      <c r="W49" s="52">
        <f>24197874102+2002609115</f>
        <v>26200483217</v>
      </c>
    </row>
    <row r="50" spans="1:23">
      <c r="A50" s="14">
        <f>'法人一覧(26)'!A50</f>
        <v>47</v>
      </c>
      <c r="B50" s="2" t="str">
        <f>'法人一覧(26)'!B50</f>
        <v>厚生労働省</v>
      </c>
      <c r="C50" s="2" t="str">
        <f>'法人一覧(26)'!C50</f>
        <v>年金積立金管理運用</v>
      </c>
      <c r="D50" s="52">
        <v>30959550530</v>
      </c>
      <c r="E50" s="52">
        <v>413029656</v>
      </c>
      <c r="F50" s="52">
        <v>2149036</v>
      </c>
      <c r="G50" s="52">
        <f t="shared" si="13"/>
        <v>0</v>
      </c>
      <c r="H50" s="52">
        <v>31374729222</v>
      </c>
      <c r="I50" s="52">
        <v>0</v>
      </c>
      <c r="J50" s="52">
        <v>0</v>
      </c>
      <c r="K50" s="52">
        <v>0</v>
      </c>
      <c r="L50" s="52">
        <v>0</v>
      </c>
      <c r="M50" s="52">
        <v>0</v>
      </c>
      <c r="N50" s="52">
        <f t="shared" si="14"/>
        <v>15293270957274</v>
      </c>
      <c r="O50" s="52">
        <v>15293270957274</v>
      </c>
      <c r="P50" s="52">
        <f t="shared" si="11"/>
        <v>15261896228052</v>
      </c>
      <c r="Q50" s="52">
        <v>0</v>
      </c>
      <c r="R50" s="52">
        <v>0</v>
      </c>
      <c r="S50" s="52">
        <v>0</v>
      </c>
      <c r="T50" s="52">
        <f t="shared" si="12"/>
        <v>15261896228052</v>
      </c>
      <c r="U50" s="52">
        <v>0</v>
      </c>
      <c r="V50" s="52">
        <v>15261896228052</v>
      </c>
      <c r="W50" s="52">
        <f>68547131+131787487</f>
        <v>200334618</v>
      </c>
    </row>
    <row r="51" spans="1:23">
      <c r="A51" s="14">
        <f>'法人一覧(26)'!A51</f>
        <v>48</v>
      </c>
      <c r="B51" s="2" t="str">
        <f>'法人一覧(26)'!B51</f>
        <v>厚生労働省</v>
      </c>
      <c r="C51" s="2" t="str">
        <f>'法人一覧(26)'!C51</f>
        <v>国立がん研究センター</v>
      </c>
      <c r="D51" s="52">
        <v>55622651221</v>
      </c>
      <c r="E51" s="52">
        <v>1178280920</v>
      </c>
      <c r="F51" s="52">
        <v>284390417</v>
      </c>
      <c r="G51" s="52">
        <f t="shared" si="13"/>
        <v>110258711</v>
      </c>
      <c r="H51" s="52">
        <v>57195581269</v>
      </c>
      <c r="I51" s="52">
        <v>6734158691</v>
      </c>
      <c r="J51" s="52">
        <f>504355420+4196160</f>
        <v>508551580</v>
      </c>
      <c r="K51" s="52">
        <v>0</v>
      </c>
      <c r="L51" s="52">
        <v>628682186</v>
      </c>
      <c r="M51" s="52">
        <v>31675908</v>
      </c>
      <c r="N51" s="52">
        <f t="shared" si="14"/>
        <v>47884890909</v>
      </c>
      <c r="O51" s="52">
        <v>55787959274</v>
      </c>
      <c r="P51" s="52">
        <f t="shared" si="11"/>
        <v>-1407621995</v>
      </c>
      <c r="Q51" s="52">
        <v>641135129</v>
      </c>
      <c r="R51" s="52">
        <v>22899770</v>
      </c>
      <c r="S51" s="52">
        <v>0</v>
      </c>
      <c r="T51" s="52">
        <f t="shared" si="12"/>
        <v>-2025857354</v>
      </c>
      <c r="U51" s="52">
        <v>0</v>
      </c>
      <c r="V51" s="52">
        <v>-2025857354</v>
      </c>
      <c r="W51" s="52">
        <f>4959495505+586998958</f>
        <v>5546494463</v>
      </c>
    </row>
    <row r="52" spans="1:23">
      <c r="A52" s="14">
        <f>'法人一覧(26)'!A52</f>
        <v>49</v>
      </c>
      <c r="B52" s="2" t="str">
        <f>'法人一覧(26)'!B52</f>
        <v>厚生労働省</v>
      </c>
      <c r="C52" s="2" t="str">
        <f>'法人一覧(26)'!C52</f>
        <v>国立循環器病研究センター</v>
      </c>
      <c r="D52" s="52">
        <v>28792757452</v>
      </c>
      <c r="E52" s="52">
        <v>1162833987</v>
      </c>
      <c r="F52" s="52">
        <v>14560968</v>
      </c>
      <c r="G52" s="52">
        <f t="shared" si="13"/>
        <v>43517323</v>
      </c>
      <c r="H52" s="52">
        <v>30013669730</v>
      </c>
      <c r="I52" s="52">
        <v>4519439554</v>
      </c>
      <c r="J52" s="52">
        <v>421886457</v>
      </c>
      <c r="K52" s="52">
        <v>0</v>
      </c>
      <c r="L52" s="52">
        <v>685493193</v>
      </c>
      <c r="M52" s="52">
        <v>32135999</v>
      </c>
      <c r="N52" s="52">
        <f t="shared" si="14"/>
        <v>24042864232</v>
      </c>
      <c r="O52" s="52">
        <v>29701819435</v>
      </c>
      <c r="P52" s="52">
        <f t="shared" si="11"/>
        <v>-311850295</v>
      </c>
      <c r="Q52" s="52">
        <v>8770738</v>
      </c>
      <c r="R52" s="52">
        <v>1773481</v>
      </c>
      <c r="S52" s="52">
        <v>0</v>
      </c>
      <c r="T52" s="52">
        <f t="shared" si="12"/>
        <v>-318847552</v>
      </c>
      <c r="U52" s="52">
        <v>0</v>
      </c>
      <c r="V52" s="52">
        <v>-318847552</v>
      </c>
      <c r="W52" s="52">
        <f>2307772217+110648945</f>
        <v>2418421162</v>
      </c>
    </row>
    <row r="53" spans="1:23">
      <c r="A53" s="14">
        <f>'法人一覧(26)'!A53</f>
        <v>50</v>
      </c>
      <c r="B53" s="2" t="str">
        <f>'法人一覧(26)'!B53</f>
        <v>厚生労働省</v>
      </c>
      <c r="C53" s="2" t="str">
        <f>'法人一覧(26)'!C53</f>
        <v>国立精神・神経医療研究センター</v>
      </c>
      <c r="D53" s="52">
        <v>14964401567</v>
      </c>
      <c r="E53" s="52">
        <v>834780283</v>
      </c>
      <c r="F53" s="52">
        <v>38860581</v>
      </c>
      <c r="G53" s="52">
        <f t="shared" si="13"/>
        <v>17338036</v>
      </c>
      <c r="H53" s="52">
        <v>15855380467</v>
      </c>
      <c r="I53" s="52">
        <v>4246208973</v>
      </c>
      <c r="J53" s="52">
        <f>50058965+134791704</f>
        <v>184850669</v>
      </c>
      <c r="K53" s="52">
        <v>0</v>
      </c>
      <c r="L53" s="52">
        <v>531522505</v>
      </c>
      <c r="M53" s="52">
        <v>1255</v>
      </c>
      <c r="N53" s="52">
        <f t="shared" si="14"/>
        <v>10444609575</v>
      </c>
      <c r="O53" s="52">
        <v>15407192977</v>
      </c>
      <c r="P53" s="52">
        <f t="shared" si="11"/>
        <v>-448187490</v>
      </c>
      <c r="Q53" s="52">
        <v>3530103</v>
      </c>
      <c r="R53" s="52">
        <v>0</v>
      </c>
      <c r="S53" s="52">
        <v>0</v>
      </c>
      <c r="T53" s="52">
        <f t="shared" si="12"/>
        <v>-451717593</v>
      </c>
      <c r="U53" s="52">
        <v>0</v>
      </c>
      <c r="V53" s="52">
        <v>-451717593</v>
      </c>
      <c r="W53" s="52">
        <f>1355642690+102329208</f>
        <v>1457971898</v>
      </c>
    </row>
    <row r="54" spans="1:23">
      <c r="A54" s="14">
        <f>'法人一覧(26)'!A54</f>
        <v>51</v>
      </c>
      <c r="B54" s="2" t="str">
        <f>'法人一覧(26)'!B54</f>
        <v>厚生労働省</v>
      </c>
      <c r="C54" s="2" t="str">
        <f>'法人一覧(26)'!C54</f>
        <v>国立国際医療研究センター</v>
      </c>
      <c r="D54" s="52">
        <v>38274554395</v>
      </c>
      <c r="E54" s="52">
        <v>1051068669</v>
      </c>
      <c r="F54" s="52">
        <v>257691919</v>
      </c>
      <c r="G54" s="52">
        <f t="shared" si="13"/>
        <v>46086500</v>
      </c>
      <c r="H54" s="52">
        <v>39629401483</v>
      </c>
      <c r="I54" s="52">
        <v>6652508511</v>
      </c>
      <c r="J54" s="52">
        <f>17437552+24677990</f>
        <v>42115542</v>
      </c>
      <c r="K54" s="52">
        <v>0</v>
      </c>
      <c r="L54" s="52">
        <v>667800200</v>
      </c>
      <c r="M54" s="52">
        <v>3927281</v>
      </c>
      <c r="N54" s="52">
        <f t="shared" si="14"/>
        <v>30956177508</v>
      </c>
      <c r="O54" s="52">
        <v>38322529042</v>
      </c>
      <c r="P54" s="52">
        <f t="shared" si="11"/>
        <v>-1306872441</v>
      </c>
      <c r="Q54" s="52">
        <v>131512976</v>
      </c>
      <c r="R54" s="52">
        <v>1810317</v>
      </c>
      <c r="S54" s="52">
        <v>0</v>
      </c>
      <c r="T54" s="52">
        <f t="shared" si="12"/>
        <v>-1436575100</v>
      </c>
      <c r="U54" s="52">
        <v>0</v>
      </c>
      <c r="V54" s="52">
        <v>-1436575100</v>
      </c>
      <c r="W54" s="52">
        <f>4197326074+542755575</f>
        <v>4740081649</v>
      </c>
    </row>
    <row r="55" spans="1:23">
      <c r="A55" s="14">
        <f>'法人一覧(26)'!A55</f>
        <v>52</v>
      </c>
      <c r="B55" s="2" t="str">
        <f>'法人一覧(26)'!B55</f>
        <v>厚生労働省</v>
      </c>
      <c r="C55" s="2" t="str">
        <f>'法人一覧(26)'!C55</f>
        <v>国立成育医療研究センター</v>
      </c>
      <c r="D55" s="52">
        <v>23982824770</v>
      </c>
      <c r="E55" s="52">
        <v>835867057</v>
      </c>
      <c r="F55" s="52">
        <v>90248345</v>
      </c>
      <c r="G55" s="52">
        <f t="shared" si="13"/>
        <v>39255430</v>
      </c>
      <c r="H55" s="52">
        <v>24948195602</v>
      </c>
      <c r="I55" s="52">
        <v>3550915912</v>
      </c>
      <c r="J55" s="52">
        <v>600418290</v>
      </c>
      <c r="K55" s="52">
        <v>0</v>
      </c>
      <c r="L55" s="52">
        <v>549551084</v>
      </c>
      <c r="M55" s="52">
        <v>0</v>
      </c>
      <c r="N55" s="52">
        <f t="shared" si="14"/>
        <v>18227253539</v>
      </c>
      <c r="O55" s="52">
        <v>22928138825</v>
      </c>
      <c r="P55" s="52">
        <f t="shared" si="11"/>
        <v>-2020056777</v>
      </c>
      <c r="Q55" s="52">
        <v>70044671</v>
      </c>
      <c r="R55" s="52">
        <v>4040</v>
      </c>
      <c r="S55" s="52">
        <v>0</v>
      </c>
      <c r="T55" s="52">
        <f t="shared" si="12"/>
        <v>-2090097408</v>
      </c>
      <c r="U55" s="52">
        <v>0</v>
      </c>
      <c r="V55" s="52">
        <v>-2090097408</v>
      </c>
      <c r="W55" s="52">
        <f>2226521220+347720902</f>
        <v>2574242122</v>
      </c>
    </row>
    <row r="56" spans="1:23">
      <c r="A56" s="14">
        <f>'法人一覧(26)'!A56</f>
        <v>53</v>
      </c>
      <c r="B56" s="2" t="str">
        <f>'法人一覧(26)'!B56</f>
        <v>厚生労働省</v>
      </c>
      <c r="C56" s="2" t="str">
        <f>'法人一覧(26)'!C56</f>
        <v>国立長寿医療研究センター</v>
      </c>
      <c r="D56" s="52">
        <v>9294297542</v>
      </c>
      <c r="E56" s="52">
        <v>358763327</v>
      </c>
      <c r="F56" s="52">
        <v>7221493</v>
      </c>
      <c r="G56" s="52">
        <f t="shared" si="13"/>
        <v>27715004</v>
      </c>
      <c r="H56" s="52">
        <v>9687997366</v>
      </c>
      <c r="I56" s="52">
        <v>3257382568</v>
      </c>
      <c r="J56" s="52">
        <v>47891812</v>
      </c>
      <c r="K56" s="52">
        <v>0</v>
      </c>
      <c r="L56" s="52">
        <v>294869047</v>
      </c>
      <c r="M56" s="52">
        <v>0</v>
      </c>
      <c r="N56" s="52">
        <f t="shared" si="14"/>
        <v>6201171931</v>
      </c>
      <c r="O56" s="52">
        <v>9801315358</v>
      </c>
      <c r="P56" s="52">
        <f t="shared" si="11"/>
        <v>113317992</v>
      </c>
      <c r="Q56" s="52">
        <v>2993090</v>
      </c>
      <c r="R56" s="52">
        <v>56203</v>
      </c>
      <c r="S56" s="52">
        <v>0</v>
      </c>
      <c r="T56" s="52">
        <f t="shared" si="12"/>
        <v>110381105</v>
      </c>
      <c r="U56" s="52">
        <v>0</v>
      </c>
      <c r="V56" s="52">
        <v>110381105</v>
      </c>
      <c r="W56" s="52">
        <f>630464704+310800</f>
        <v>630775504</v>
      </c>
    </row>
    <row r="57" spans="1:23">
      <c r="A57" s="14">
        <f>'法人一覧(26)'!A57</f>
        <v>54</v>
      </c>
      <c r="B57" s="2" t="str">
        <f>'法人一覧(26)'!B57</f>
        <v>農林水産省</v>
      </c>
      <c r="C57" s="2" t="str">
        <f>'法人一覧(26)'!C57</f>
        <v>農林水産消費安全技術センター</v>
      </c>
      <c r="D57" s="52">
        <v>5930632250</v>
      </c>
      <c r="E57" s="52">
        <v>976037022</v>
      </c>
      <c r="F57" s="52">
        <v>192509</v>
      </c>
      <c r="G57" s="52">
        <f t="shared" si="4"/>
        <v>0</v>
      </c>
      <c r="H57" s="52">
        <v>6906861781</v>
      </c>
      <c r="I57" s="52">
        <v>6658471316</v>
      </c>
      <c r="J57" s="52">
        <v>0</v>
      </c>
      <c r="K57" s="52">
        <v>0</v>
      </c>
      <c r="L57" s="52">
        <v>217481295</v>
      </c>
      <c r="M57" s="52">
        <v>2202</v>
      </c>
      <c r="N57" s="52">
        <f t="shared" si="5"/>
        <v>44416824</v>
      </c>
      <c r="O57" s="52">
        <v>6920371637</v>
      </c>
      <c r="P57" s="52">
        <f t="shared" ref="P57:P75" si="15">O57-H57</f>
        <v>13509856</v>
      </c>
      <c r="Q57" s="52">
        <v>17859645</v>
      </c>
      <c r="R57" s="52">
        <v>646847838</v>
      </c>
      <c r="S57" s="52">
        <v>0</v>
      </c>
      <c r="T57" s="52">
        <f t="shared" ref="T57:T75" si="16">P57-Q57+R57-S57</f>
        <v>642498049</v>
      </c>
      <c r="U57" s="52">
        <v>1</v>
      </c>
      <c r="V57" s="52">
        <v>642498050</v>
      </c>
      <c r="W57" s="52">
        <v>760544730</v>
      </c>
    </row>
    <row r="58" spans="1:23">
      <c r="A58" s="14">
        <f>'法人一覧(26)'!A58</f>
        <v>55</v>
      </c>
      <c r="B58" s="2" t="str">
        <f>'法人一覧(26)'!B58</f>
        <v>農林水産省</v>
      </c>
      <c r="C58" s="2" t="str">
        <f>'法人一覧(26)'!C58</f>
        <v>種苗管理センター</v>
      </c>
      <c r="D58" s="29">
        <v>2169992369</v>
      </c>
      <c r="E58" s="29">
        <v>800662641</v>
      </c>
      <c r="F58" s="29">
        <v>24516</v>
      </c>
      <c r="G58" s="29">
        <f t="shared" si="4"/>
        <v>0</v>
      </c>
      <c r="H58" s="29">
        <v>2970679526</v>
      </c>
      <c r="I58" s="29">
        <v>2557075988</v>
      </c>
      <c r="J58" s="29">
        <v>0</v>
      </c>
      <c r="K58" s="29">
        <v>50540094</v>
      </c>
      <c r="L58" s="29">
        <v>140926823</v>
      </c>
      <c r="M58" s="29">
        <v>1267</v>
      </c>
      <c r="N58" s="29">
        <f t="shared" si="5"/>
        <v>222152005</v>
      </c>
      <c r="O58" s="29">
        <v>2970696177</v>
      </c>
      <c r="P58" s="29">
        <f t="shared" si="15"/>
        <v>16651</v>
      </c>
      <c r="Q58" s="29">
        <v>135261</v>
      </c>
      <c r="R58" s="29">
        <v>1853684</v>
      </c>
      <c r="S58" s="29">
        <v>0</v>
      </c>
      <c r="T58" s="29">
        <f t="shared" si="16"/>
        <v>1735074</v>
      </c>
      <c r="U58" s="29">
        <v>0</v>
      </c>
      <c r="V58" s="29">
        <v>1735074</v>
      </c>
      <c r="W58" s="29">
        <f>50956797+1143828</f>
        <v>52100625</v>
      </c>
    </row>
    <row r="59" spans="1:23">
      <c r="A59" s="14">
        <f>'法人一覧(26)'!A59</f>
        <v>56</v>
      </c>
      <c r="B59" s="2" t="str">
        <f>'法人一覧(26)'!B59</f>
        <v>農林水産省</v>
      </c>
      <c r="C59" s="2" t="str">
        <f>'法人一覧(26)'!C59</f>
        <v>家畜改良センター</v>
      </c>
      <c r="D59" s="29">
        <f>7139090750+210461633</f>
        <v>7349552383</v>
      </c>
      <c r="E59" s="29">
        <v>1320923075</v>
      </c>
      <c r="F59" s="29">
        <v>1148126</v>
      </c>
      <c r="G59" s="29">
        <f t="shared" si="4"/>
        <v>4056554</v>
      </c>
      <c r="H59" s="29">
        <v>8675680138</v>
      </c>
      <c r="I59" s="29">
        <v>5712834140</v>
      </c>
      <c r="J59" s="29">
        <v>2157802</v>
      </c>
      <c r="K59" s="29">
        <v>211964328</v>
      </c>
      <c r="L59" s="29">
        <f>1267989904+186409</f>
        <v>1268176313</v>
      </c>
      <c r="M59" s="29">
        <v>581332</v>
      </c>
      <c r="N59" s="29">
        <f t="shared" si="5"/>
        <v>1474904609</v>
      </c>
      <c r="O59" s="29">
        <v>8670618524</v>
      </c>
      <c r="P59" s="29">
        <f t="shared" si="15"/>
        <v>-5061614</v>
      </c>
      <c r="Q59" s="29">
        <v>9230783</v>
      </c>
      <c r="R59" s="29">
        <v>21076183</v>
      </c>
      <c r="S59" s="29">
        <v>0</v>
      </c>
      <c r="T59" s="29">
        <f t="shared" si="16"/>
        <v>6783786</v>
      </c>
      <c r="U59" s="29">
        <v>3099847</v>
      </c>
      <c r="V59" s="29">
        <v>9883633</v>
      </c>
      <c r="W59" s="29">
        <f>368024356+9490652</f>
        <v>377515008</v>
      </c>
    </row>
    <row r="60" spans="1:23">
      <c r="A60" s="14">
        <f>'法人一覧(26)'!A60</f>
        <v>57</v>
      </c>
      <c r="B60" s="2" t="str">
        <f>'法人一覧(26)'!B60</f>
        <v>農林水産省</v>
      </c>
      <c r="C60" s="2" t="str">
        <f>'法人一覧(26)'!C60</f>
        <v>水産大学校</v>
      </c>
      <c r="D60" s="29">
        <v>2096695921</v>
      </c>
      <c r="E60" s="29">
        <v>292629435</v>
      </c>
      <c r="F60" s="29">
        <v>0</v>
      </c>
      <c r="G60" s="29">
        <f t="shared" si="4"/>
        <v>0</v>
      </c>
      <c r="H60" s="29">
        <v>2389325356</v>
      </c>
      <c r="I60" s="29">
        <v>1717759749</v>
      </c>
      <c r="J60" s="29">
        <v>17500000</v>
      </c>
      <c r="K60" s="29">
        <v>73025380</v>
      </c>
      <c r="L60" s="29">
        <v>45657759</v>
      </c>
      <c r="M60" s="29">
        <v>0</v>
      </c>
      <c r="N60" s="29">
        <f t="shared" si="5"/>
        <v>543142416</v>
      </c>
      <c r="O60" s="29">
        <v>2397085304</v>
      </c>
      <c r="P60" s="29">
        <f t="shared" si="15"/>
        <v>7759948</v>
      </c>
      <c r="Q60" s="29">
        <v>5487954</v>
      </c>
      <c r="R60" s="29">
        <v>5338854</v>
      </c>
      <c r="S60" s="29">
        <v>0</v>
      </c>
      <c r="T60" s="29">
        <f t="shared" si="16"/>
        <v>7610848</v>
      </c>
      <c r="U60" s="29">
        <v>2086716</v>
      </c>
      <c r="V60" s="29">
        <v>9697564</v>
      </c>
      <c r="W60" s="29">
        <v>52006498</v>
      </c>
    </row>
    <row r="61" spans="1:23">
      <c r="A61" s="14">
        <f>'法人一覧(26)'!A61</f>
        <v>58</v>
      </c>
      <c r="B61" s="2" t="str">
        <f>'法人一覧(26)'!B61</f>
        <v>農林水産省</v>
      </c>
      <c r="C61" s="2" t="str">
        <f>'法人一覧(26)'!C61</f>
        <v>農業・食品産業技術総合研究機構</v>
      </c>
      <c r="D61" s="29">
        <f>37166170148+7790717994+96367273+6165760+1310020602+130394749+2597242</f>
        <v>46502433768</v>
      </c>
      <c r="E61" s="29">
        <v>4732839222</v>
      </c>
      <c r="F61" s="29">
        <v>6782030</v>
      </c>
      <c r="G61" s="29">
        <f t="shared" si="4"/>
        <v>6440452</v>
      </c>
      <c r="H61" s="29">
        <v>51248495472</v>
      </c>
      <c r="I61" s="29">
        <v>45012120761</v>
      </c>
      <c r="J61" s="29">
        <v>1902302</v>
      </c>
      <c r="K61" s="29">
        <v>3762251909</v>
      </c>
      <c r="L61" s="29">
        <v>1672559081</v>
      </c>
      <c r="M61" s="29">
        <v>163090005</v>
      </c>
      <c r="N61" s="29">
        <f t="shared" si="5"/>
        <v>802863579</v>
      </c>
      <c r="O61" s="29">
        <v>51414787637</v>
      </c>
      <c r="P61" s="29">
        <f t="shared" si="15"/>
        <v>166292165</v>
      </c>
      <c r="Q61" s="29">
        <v>332146351</v>
      </c>
      <c r="R61" s="29">
        <v>256744811</v>
      </c>
      <c r="S61" s="29">
        <v>70666000</v>
      </c>
      <c r="T61" s="29">
        <f t="shared" si="16"/>
        <v>20224625</v>
      </c>
      <c r="U61" s="29">
        <v>298399392</v>
      </c>
      <c r="V61" s="29">
        <v>318624017</v>
      </c>
      <c r="W61" s="29">
        <f>2173255571+110804426</f>
        <v>2284059997</v>
      </c>
    </row>
    <row r="62" spans="1:23">
      <c r="A62" s="14">
        <f>'法人一覧(26)'!A62</f>
        <v>59</v>
      </c>
      <c r="B62" s="2" t="str">
        <f>'法人一覧(26)'!B62</f>
        <v>農林水産省</v>
      </c>
      <c r="C62" s="2" t="str">
        <f>'法人一覧(26)'!C62</f>
        <v>農業生物資源研究所</v>
      </c>
      <c r="D62" s="29">
        <v>7810504132</v>
      </c>
      <c r="E62" s="29">
        <v>771356712</v>
      </c>
      <c r="F62" s="29">
        <v>10673791</v>
      </c>
      <c r="G62" s="29">
        <f t="shared" si="4"/>
        <v>0</v>
      </c>
      <c r="H62" s="29">
        <v>8592534635</v>
      </c>
      <c r="I62" s="29">
        <v>6115768971</v>
      </c>
      <c r="J62" s="29">
        <f>54312627+2200000</f>
        <v>56512627</v>
      </c>
      <c r="K62" s="29">
        <v>1984788366</v>
      </c>
      <c r="L62" s="29">
        <v>401027870</v>
      </c>
      <c r="M62" s="29">
        <v>0</v>
      </c>
      <c r="N62" s="29">
        <f t="shared" si="5"/>
        <v>37393962</v>
      </c>
      <c r="O62" s="29">
        <v>8595491796</v>
      </c>
      <c r="P62" s="29">
        <f t="shared" si="15"/>
        <v>2957161</v>
      </c>
      <c r="Q62" s="29">
        <v>99762358</v>
      </c>
      <c r="R62" s="29">
        <v>27084397</v>
      </c>
      <c r="S62" s="29">
        <v>0</v>
      </c>
      <c r="T62" s="29">
        <f t="shared" si="16"/>
        <v>-69720800</v>
      </c>
      <c r="U62" s="29">
        <v>17533223</v>
      </c>
      <c r="V62" s="29">
        <v>-52187577</v>
      </c>
      <c r="W62" s="29">
        <f>636864552+37819464</f>
        <v>674684016</v>
      </c>
    </row>
    <row r="63" spans="1:23">
      <c r="A63" s="14">
        <f>'法人一覧(26)'!A63</f>
        <v>60</v>
      </c>
      <c r="B63" s="2" t="str">
        <f>'法人一覧(26)'!B63</f>
        <v>農林水産省</v>
      </c>
      <c r="C63" s="2" t="str">
        <f>'法人一覧(26)'!C63</f>
        <v>農業環境技術研究所</v>
      </c>
      <c r="D63" s="29">
        <v>3203472715</v>
      </c>
      <c r="E63" s="29">
        <v>352123129</v>
      </c>
      <c r="F63" s="29">
        <v>0</v>
      </c>
      <c r="G63" s="29">
        <f t="shared" si="4"/>
        <v>261455</v>
      </c>
      <c r="H63" s="29">
        <v>3555857299</v>
      </c>
      <c r="I63" s="29">
        <v>2753814629</v>
      </c>
      <c r="J63" s="29">
        <v>3947383</v>
      </c>
      <c r="K63" s="29">
        <v>661170062</v>
      </c>
      <c r="L63" s="29">
        <v>145433193</v>
      </c>
      <c r="M63" s="29">
        <v>42350</v>
      </c>
      <c r="N63" s="29">
        <f t="shared" si="5"/>
        <v>1959378</v>
      </c>
      <c r="O63" s="29">
        <v>3566366995</v>
      </c>
      <c r="P63" s="29">
        <f t="shared" si="15"/>
        <v>10509696</v>
      </c>
      <c r="Q63" s="29">
        <v>1873691</v>
      </c>
      <c r="R63" s="29">
        <v>7</v>
      </c>
      <c r="S63" s="29">
        <v>0</v>
      </c>
      <c r="T63" s="29">
        <f t="shared" si="16"/>
        <v>8636012</v>
      </c>
      <c r="U63" s="29">
        <v>9036840</v>
      </c>
      <c r="V63" s="29">
        <v>17672852</v>
      </c>
      <c r="W63" s="29">
        <f>177828985+2643014</f>
        <v>180471999</v>
      </c>
    </row>
    <row r="64" spans="1:23">
      <c r="A64" s="14">
        <f>'法人一覧(26)'!A64</f>
        <v>61</v>
      </c>
      <c r="B64" s="2" t="str">
        <f>'法人一覧(26)'!B64</f>
        <v>農林水産省</v>
      </c>
      <c r="C64" s="2" t="str">
        <f>'法人一覧(26)'!C64</f>
        <v>国際農林水産業研究センター</v>
      </c>
      <c r="D64" s="29">
        <v>3295370094</v>
      </c>
      <c r="E64" s="29">
        <v>468224965</v>
      </c>
      <c r="F64" s="29">
        <v>0</v>
      </c>
      <c r="G64" s="29">
        <f t="shared" si="4"/>
        <v>65947</v>
      </c>
      <c r="H64" s="29">
        <v>3763661006</v>
      </c>
      <c r="I64" s="29">
        <v>3333961800</v>
      </c>
      <c r="J64" s="29">
        <v>116949125</v>
      </c>
      <c r="K64" s="29">
        <f>65313648+120344848</f>
        <v>185658496</v>
      </c>
      <c r="L64" s="29">
        <v>126649981</v>
      </c>
      <c r="M64" s="29">
        <v>147439</v>
      </c>
      <c r="N64" s="29">
        <f t="shared" si="5"/>
        <v>14588721</v>
      </c>
      <c r="O64" s="29">
        <v>3777955562</v>
      </c>
      <c r="P64" s="29">
        <f t="shared" si="15"/>
        <v>14294556</v>
      </c>
      <c r="Q64" s="29">
        <v>9207676</v>
      </c>
      <c r="R64" s="29">
        <v>0</v>
      </c>
      <c r="S64" s="29">
        <v>0</v>
      </c>
      <c r="T64" s="29">
        <f t="shared" si="16"/>
        <v>5086880</v>
      </c>
      <c r="U64" s="29">
        <v>4034189</v>
      </c>
      <c r="V64" s="29">
        <v>9121069</v>
      </c>
      <c r="W64" s="29">
        <f>119386867+6901390</f>
        <v>126288257</v>
      </c>
    </row>
    <row r="65" spans="1:23">
      <c r="A65" s="14">
        <f>'法人一覧(26)'!A65</f>
        <v>62</v>
      </c>
      <c r="B65" s="2" t="str">
        <f>'法人一覧(26)'!B65</f>
        <v>農林水産省</v>
      </c>
      <c r="C65" s="2" t="str">
        <f>'法人一覧(26)'!C65</f>
        <v>森林総合研究所</v>
      </c>
      <c r="D65" s="52">
        <v>21156698146</v>
      </c>
      <c r="E65" s="52">
        <v>2227868262</v>
      </c>
      <c r="F65" s="52">
        <v>3646617515</v>
      </c>
      <c r="G65" s="52">
        <f t="shared" si="4"/>
        <v>18100217</v>
      </c>
      <c r="H65" s="52">
        <v>27049284140</v>
      </c>
      <c r="I65" s="52">
        <v>9247520519</v>
      </c>
      <c r="J65" s="52">
        <v>7412532879</v>
      </c>
      <c r="K65" s="52">
        <v>1259222753</v>
      </c>
      <c r="L65" s="52">
        <v>9029293656</v>
      </c>
      <c r="M65" s="52">
        <v>23688515</v>
      </c>
      <c r="N65" s="52">
        <f t="shared" si="5"/>
        <v>213011833</v>
      </c>
      <c r="O65" s="52">
        <v>27185270155</v>
      </c>
      <c r="P65" s="52">
        <f t="shared" si="15"/>
        <v>135986015</v>
      </c>
      <c r="Q65" s="52">
        <v>0</v>
      </c>
      <c r="R65" s="52">
        <v>0</v>
      </c>
      <c r="S65" s="52">
        <v>0</v>
      </c>
      <c r="T65" s="52">
        <f t="shared" si="16"/>
        <v>135986015</v>
      </c>
      <c r="U65" s="52">
        <v>477092761</v>
      </c>
      <c r="V65" s="52">
        <v>613078776</v>
      </c>
      <c r="W65" s="52">
        <v>1504763780</v>
      </c>
    </row>
    <row r="66" spans="1:23">
      <c r="A66" s="14">
        <f>'法人一覧(26)'!A66</f>
        <v>63</v>
      </c>
      <c r="B66" s="2" t="str">
        <f>'法人一覧(26)'!B66</f>
        <v>農林水産省</v>
      </c>
      <c r="C66" s="2" t="str">
        <f>'法人一覧(26)'!C66</f>
        <v>水産総合研究センター</v>
      </c>
      <c r="D66" s="29">
        <v>18139231945</v>
      </c>
      <c r="E66" s="29">
        <v>1819545692</v>
      </c>
      <c r="F66" s="29">
        <v>0</v>
      </c>
      <c r="G66" s="29">
        <f t="shared" si="4"/>
        <v>0</v>
      </c>
      <c r="H66" s="29">
        <v>19958777637</v>
      </c>
      <c r="I66" s="29">
        <v>14307113098</v>
      </c>
      <c r="J66" s="29">
        <v>520532100</v>
      </c>
      <c r="K66" s="29">
        <v>3305901738</v>
      </c>
      <c r="L66" s="29">
        <v>442217254</v>
      </c>
      <c r="M66" s="29">
        <v>2647231</v>
      </c>
      <c r="N66" s="29">
        <f t="shared" si="5"/>
        <v>1466081708</v>
      </c>
      <c r="O66" s="29">
        <v>20044493129</v>
      </c>
      <c r="P66" s="29">
        <f t="shared" si="15"/>
        <v>85715492</v>
      </c>
      <c r="Q66" s="29">
        <v>4946281</v>
      </c>
      <c r="R66" s="29">
        <v>3717222</v>
      </c>
      <c r="S66" s="29">
        <v>0</v>
      </c>
      <c r="T66" s="29">
        <f t="shared" si="16"/>
        <v>84486433</v>
      </c>
      <c r="U66" s="29">
        <v>33100071</v>
      </c>
      <c r="V66" s="29">
        <v>117586504</v>
      </c>
      <c r="W66" s="29">
        <f>573774377+1855962</f>
        <v>575630339</v>
      </c>
    </row>
    <row r="67" spans="1:23">
      <c r="A67" s="14">
        <f>'法人一覧(26)'!A67</f>
        <v>64</v>
      </c>
      <c r="B67" s="2" t="str">
        <f>'法人一覧(26)'!B67</f>
        <v>農林水産省</v>
      </c>
      <c r="C67" s="2" t="str">
        <f>'法人一覧(26)'!C67</f>
        <v>農畜産業振興機構</v>
      </c>
      <c r="D67" s="29">
        <v>237933406623</v>
      </c>
      <c r="E67" s="29">
        <v>2299610469</v>
      </c>
      <c r="F67" s="29">
        <v>12230739</v>
      </c>
      <c r="G67" s="29">
        <f t="shared" si="4"/>
        <v>1666505966</v>
      </c>
      <c r="H67" s="29">
        <v>241911753797</v>
      </c>
      <c r="I67" s="29">
        <v>1635137121</v>
      </c>
      <c r="J67" s="29">
        <v>143289196243</v>
      </c>
      <c r="K67" s="29">
        <v>0</v>
      </c>
      <c r="L67" s="29">
        <f>8156491+1929392</f>
        <v>10085883</v>
      </c>
      <c r="M67" s="29">
        <v>1571484201</v>
      </c>
      <c r="N67" s="29">
        <f t="shared" si="5"/>
        <v>102282480554</v>
      </c>
      <c r="O67" s="29">
        <v>248788384002</v>
      </c>
      <c r="P67" s="29">
        <f t="shared" si="15"/>
        <v>6876630205</v>
      </c>
      <c r="Q67" s="29">
        <v>6083438</v>
      </c>
      <c r="R67" s="29">
        <v>8198672427</v>
      </c>
      <c r="S67" s="29">
        <v>0</v>
      </c>
      <c r="T67" s="29">
        <f t="shared" si="16"/>
        <v>15069219194</v>
      </c>
      <c r="U67" s="29">
        <v>218604965</v>
      </c>
      <c r="V67" s="29">
        <v>15287824159</v>
      </c>
      <c r="W67" s="29">
        <v>61903534</v>
      </c>
    </row>
    <row r="68" spans="1:23">
      <c r="A68" s="14">
        <f>'法人一覧(26)'!A68</f>
        <v>65</v>
      </c>
      <c r="B68" s="2" t="str">
        <f>'法人一覧(26)'!B68</f>
        <v>農林水産省</v>
      </c>
      <c r="C68" s="2" t="str">
        <f>'法人一覧(26)'!C68</f>
        <v>農業者年金基金</v>
      </c>
      <c r="D68" s="29">
        <f>145191188517+27520+2601314208</f>
        <v>147792530245</v>
      </c>
      <c r="E68" s="29">
        <v>707869753</v>
      </c>
      <c r="F68" s="29">
        <v>1536577323</v>
      </c>
      <c r="G68" s="29">
        <f>H68-SUM(D68:F68)</f>
        <v>169994952</v>
      </c>
      <c r="H68" s="29">
        <v>150206972273</v>
      </c>
      <c r="I68" s="29">
        <v>3147549261</v>
      </c>
      <c r="J68" s="29">
        <v>114952120004</v>
      </c>
      <c r="K68" s="29">
        <v>0</v>
      </c>
      <c r="L68" s="29">
        <f>141537067+95376</f>
        <v>141632443</v>
      </c>
      <c r="M68" s="29">
        <f>18890258716+1427110+11828377</f>
        <v>18903514203</v>
      </c>
      <c r="N68" s="29">
        <f t="shared" si="5"/>
        <v>13465614720</v>
      </c>
      <c r="O68" s="29">
        <v>150610430631</v>
      </c>
      <c r="P68" s="29">
        <f t="shared" si="15"/>
        <v>403458358</v>
      </c>
      <c r="Q68" s="29">
        <v>5042952</v>
      </c>
      <c r="R68" s="29">
        <v>1220541</v>
      </c>
      <c r="S68" s="29">
        <v>0</v>
      </c>
      <c r="T68" s="29">
        <f t="shared" si="16"/>
        <v>399635947</v>
      </c>
      <c r="U68" s="29">
        <v>0</v>
      </c>
      <c r="V68" s="29">
        <v>399635947</v>
      </c>
      <c r="W68" s="29">
        <f>9752999+153284732</f>
        <v>163037731</v>
      </c>
    </row>
    <row r="69" spans="1:23">
      <c r="A69" s="14">
        <f>'法人一覧(26)'!A69</f>
        <v>66</v>
      </c>
      <c r="B69" s="2" t="str">
        <f>'法人一覧(26)'!B69</f>
        <v>農林水産省</v>
      </c>
      <c r="C69" s="2" t="str">
        <f>'法人一覧(26)'!C69</f>
        <v>農林漁業信用基金</v>
      </c>
      <c r="D69" s="29">
        <v>6702340721</v>
      </c>
      <c r="E69" s="29">
        <v>1524152976</v>
      </c>
      <c r="F69" s="29">
        <v>16808014</v>
      </c>
      <c r="G69" s="29">
        <f t="shared" ref="G69:G74" si="17">H69-SUM(D69:F69)</f>
        <v>0</v>
      </c>
      <c r="H69" s="29">
        <v>8243301711</v>
      </c>
      <c r="I69" s="29">
        <v>0</v>
      </c>
      <c r="J69" s="29">
        <v>16808014</v>
      </c>
      <c r="K69" s="29">
        <v>0</v>
      </c>
      <c r="L69" s="29">
        <v>0</v>
      </c>
      <c r="M69" s="29">
        <v>1421309609</v>
      </c>
      <c r="N69" s="29">
        <f t="shared" ref="N69:N74" si="18">O69-SUM(I69:M69)</f>
        <v>12970648249</v>
      </c>
      <c r="O69" s="29">
        <v>14408765872</v>
      </c>
      <c r="P69" s="29">
        <f t="shared" si="15"/>
        <v>6165464161</v>
      </c>
      <c r="Q69" s="29">
        <v>70670</v>
      </c>
      <c r="R69" s="29">
        <v>0</v>
      </c>
      <c r="S69" s="29">
        <v>0</v>
      </c>
      <c r="T69" s="29">
        <f t="shared" si="16"/>
        <v>6165393491</v>
      </c>
      <c r="U69" s="29"/>
      <c r="V69" s="29">
        <v>6165393491</v>
      </c>
      <c r="W69" s="29">
        <f>20014626+36442432</f>
        <v>56457058</v>
      </c>
    </row>
    <row r="70" spans="1:23">
      <c r="A70" s="14">
        <f>'法人一覧(26)'!A70</f>
        <v>67</v>
      </c>
      <c r="B70" s="2" t="str">
        <f>'法人一覧(26)'!B70</f>
        <v>経済産業省</v>
      </c>
      <c r="C70" s="2" t="str">
        <f>'法人一覧(26)'!C70</f>
        <v>経済産業研究所</v>
      </c>
      <c r="D70" s="29">
        <v>1086087703</v>
      </c>
      <c r="E70" s="29">
        <v>342907568</v>
      </c>
      <c r="F70" s="29">
        <v>0</v>
      </c>
      <c r="G70" s="29">
        <f t="shared" si="17"/>
        <v>358036</v>
      </c>
      <c r="H70" s="29">
        <v>1429353307</v>
      </c>
      <c r="I70" s="29">
        <v>1420823460</v>
      </c>
      <c r="J70" s="29">
        <v>4853154</v>
      </c>
      <c r="K70" s="29">
        <v>8263827</v>
      </c>
      <c r="L70" s="29">
        <f>8900355+1</f>
        <v>8900356</v>
      </c>
      <c r="M70" s="29">
        <v>148180</v>
      </c>
      <c r="N70" s="29">
        <f t="shared" si="18"/>
        <v>2494093</v>
      </c>
      <c r="O70" s="29">
        <v>1445483070</v>
      </c>
      <c r="P70" s="29">
        <f t="shared" si="15"/>
        <v>16129763</v>
      </c>
      <c r="Q70" s="29">
        <v>216652</v>
      </c>
      <c r="R70" s="29">
        <v>0</v>
      </c>
      <c r="S70" s="29">
        <v>0</v>
      </c>
      <c r="T70" s="29">
        <f t="shared" si="16"/>
        <v>15913111</v>
      </c>
      <c r="U70" s="29">
        <v>0</v>
      </c>
      <c r="V70" s="29">
        <v>15913111</v>
      </c>
      <c r="W70" s="29">
        <f>4587779+4095925</f>
        <v>8683704</v>
      </c>
    </row>
    <row r="71" spans="1:23">
      <c r="A71" s="14">
        <f>'法人一覧(26)'!A71</f>
        <v>68</v>
      </c>
      <c r="B71" s="2" t="str">
        <f>'法人一覧(26)'!B71</f>
        <v>経済産業省</v>
      </c>
      <c r="C71" s="2" t="str">
        <f>'法人一覧(26)'!C71</f>
        <v>工業所有権情報・研修館</v>
      </c>
      <c r="D71" s="29">
        <f>147254058+206256383+855430959+6527082695+146523727+1729062815+848029616</f>
        <v>10459640253</v>
      </c>
      <c r="E71" s="29">
        <v>283160801</v>
      </c>
      <c r="F71" s="29">
        <v>0</v>
      </c>
      <c r="G71" s="29">
        <f t="shared" ref="G71" si="19">H71-SUM(D71:F71)</f>
        <v>0</v>
      </c>
      <c r="H71" s="29">
        <v>10742801054</v>
      </c>
      <c r="I71" s="29">
        <v>9996492358</v>
      </c>
      <c r="J71" s="29">
        <v>0</v>
      </c>
      <c r="K71" s="29">
        <v>0</v>
      </c>
      <c r="L71" s="29">
        <v>631469251</v>
      </c>
      <c r="M71" s="29">
        <v>0</v>
      </c>
      <c r="N71" s="29">
        <f t="shared" ref="N71" si="20">O71-SUM(I71:M71)</f>
        <v>113598441</v>
      </c>
      <c r="O71" s="29">
        <v>10741560050</v>
      </c>
      <c r="P71" s="29">
        <f t="shared" si="15"/>
        <v>-1241004</v>
      </c>
      <c r="Q71" s="29">
        <v>1488095394</v>
      </c>
      <c r="R71" s="29">
        <v>1487979019</v>
      </c>
      <c r="S71" s="29">
        <v>0</v>
      </c>
      <c r="T71" s="29">
        <f t="shared" si="16"/>
        <v>-1357379</v>
      </c>
      <c r="U71" s="29">
        <v>0</v>
      </c>
      <c r="V71" s="29">
        <v>-1357379</v>
      </c>
      <c r="W71" s="29">
        <f>7840202+625355834</f>
        <v>633196036</v>
      </c>
    </row>
    <row r="72" spans="1:23">
      <c r="A72" s="14">
        <f>'法人一覧(26)'!A72</f>
        <v>69</v>
      </c>
      <c r="B72" s="2" t="str">
        <f>'法人一覧(26)'!B72</f>
        <v>経済産業省</v>
      </c>
      <c r="C72" s="2" t="str">
        <f>'法人一覧(26)'!C72</f>
        <v>日本貿易保険</v>
      </c>
      <c r="D72" s="29">
        <v>9740000000</v>
      </c>
      <c r="E72" s="29">
        <v>5399000000</v>
      </c>
      <c r="F72" s="29">
        <v>0</v>
      </c>
      <c r="G72" s="29">
        <f t="shared" si="17"/>
        <v>107000000</v>
      </c>
      <c r="H72" s="29">
        <v>15246000000</v>
      </c>
      <c r="I72" s="29">
        <v>0</v>
      </c>
      <c r="J72" s="29">
        <v>0</v>
      </c>
      <c r="K72" s="29">
        <v>0</v>
      </c>
      <c r="L72" s="29">
        <v>0</v>
      </c>
      <c r="M72" s="29">
        <v>5344000000</v>
      </c>
      <c r="N72" s="29">
        <f t="shared" si="18"/>
        <v>18020000000</v>
      </c>
      <c r="O72" s="29">
        <v>23364000000</v>
      </c>
      <c r="P72" s="29">
        <f t="shared" si="15"/>
        <v>8118000000</v>
      </c>
      <c r="Q72" s="29">
        <v>42000000</v>
      </c>
      <c r="R72" s="29">
        <v>17180000000</v>
      </c>
      <c r="S72" s="29">
        <v>0</v>
      </c>
      <c r="T72" s="29">
        <f t="shared" si="16"/>
        <v>25256000000</v>
      </c>
      <c r="U72" s="29">
        <v>0</v>
      </c>
      <c r="V72" s="29">
        <v>25256000000</v>
      </c>
      <c r="W72" s="29">
        <f>346000000+265000000</f>
        <v>611000000</v>
      </c>
    </row>
    <row r="73" spans="1:23">
      <c r="A73" s="14">
        <f>'法人一覧(26)'!A73</f>
        <v>70</v>
      </c>
      <c r="B73" s="2" t="str">
        <f>'法人一覧(26)'!B73</f>
        <v>経済産業省</v>
      </c>
      <c r="C73" s="2" t="str">
        <f>'法人一覧(26)'!C73</f>
        <v>産業技術総合研究所</v>
      </c>
      <c r="D73" s="29">
        <v>80813162393</v>
      </c>
      <c r="E73" s="29">
        <v>9642471973</v>
      </c>
      <c r="F73" s="29">
        <v>0</v>
      </c>
      <c r="G73" s="29">
        <f t="shared" si="17"/>
        <v>0</v>
      </c>
      <c r="H73" s="29">
        <v>90455634366</v>
      </c>
      <c r="I73" s="29">
        <v>68923395420</v>
      </c>
      <c r="J73" s="29">
        <f>476680554+1933395610</f>
        <v>2410076164</v>
      </c>
      <c r="K73" s="29">
        <v>12341190055</v>
      </c>
      <c r="L73" s="29">
        <v>0</v>
      </c>
      <c r="M73" s="29">
        <v>0</v>
      </c>
      <c r="N73" s="29">
        <f t="shared" si="18"/>
        <v>8884176998</v>
      </c>
      <c r="O73" s="29">
        <v>92558838637</v>
      </c>
      <c r="P73" s="29">
        <f t="shared" si="15"/>
        <v>2103204271</v>
      </c>
      <c r="Q73" s="29">
        <v>613051300</v>
      </c>
      <c r="R73" s="29">
        <v>482449895</v>
      </c>
      <c r="S73" s="29">
        <v>0</v>
      </c>
      <c r="T73" s="29">
        <f t="shared" si="16"/>
        <v>1972602866</v>
      </c>
      <c r="U73" s="29">
        <v>176801659</v>
      </c>
      <c r="V73" s="29">
        <v>2149404525</v>
      </c>
      <c r="W73" s="29">
        <f>9759995708+247471441</f>
        <v>10007467149</v>
      </c>
    </row>
    <row r="74" spans="1:23">
      <c r="A74" s="14">
        <f>'法人一覧(26)'!A74</f>
        <v>71</v>
      </c>
      <c r="B74" s="2" t="str">
        <f>'法人一覧(26)'!B74</f>
        <v>経済産業省</v>
      </c>
      <c r="C74" s="2" t="str">
        <f>'法人一覧(26)'!C74</f>
        <v>製品評価技術基盤機構</v>
      </c>
      <c r="D74" s="29">
        <v>7075295662</v>
      </c>
      <c r="E74" s="29">
        <v>1131235478</v>
      </c>
      <c r="F74" s="29">
        <v>42897780</v>
      </c>
      <c r="G74" s="29">
        <f t="shared" si="17"/>
        <v>0</v>
      </c>
      <c r="H74" s="29">
        <v>8249428920</v>
      </c>
      <c r="I74" s="29">
        <v>7532499544</v>
      </c>
      <c r="J74" s="29">
        <v>0</v>
      </c>
      <c r="K74" s="29">
        <v>355126391</v>
      </c>
      <c r="L74" s="29">
        <v>0</v>
      </c>
      <c r="M74" s="29">
        <v>170889</v>
      </c>
      <c r="N74" s="29">
        <f t="shared" si="18"/>
        <v>307597521</v>
      </c>
      <c r="O74" s="29">
        <v>8195394345</v>
      </c>
      <c r="P74" s="29">
        <f t="shared" si="15"/>
        <v>-54034575</v>
      </c>
      <c r="Q74" s="29">
        <v>9332661</v>
      </c>
      <c r="R74" s="29">
        <v>9123083</v>
      </c>
      <c r="S74" s="29">
        <v>0</v>
      </c>
      <c r="T74" s="29">
        <f t="shared" si="16"/>
        <v>-54244153</v>
      </c>
      <c r="U74" s="29">
        <v>7078559</v>
      </c>
      <c r="V74" s="29">
        <v>-47165594</v>
      </c>
      <c r="W74" s="29">
        <f>695735584+32900759</f>
        <v>728636343</v>
      </c>
    </row>
    <row r="75" spans="1:23">
      <c r="A75" s="14">
        <f>'法人一覧(26)'!A75</f>
        <v>72</v>
      </c>
      <c r="B75" s="2" t="str">
        <f>'法人一覧(26)'!B75</f>
        <v>経済産業省</v>
      </c>
      <c r="C75" s="2" t="str">
        <f>'法人一覧(26)'!C75</f>
        <v>新エネルギー・産業技術総合開発機構</v>
      </c>
      <c r="D75" s="52">
        <v>128873850902</v>
      </c>
      <c r="E75" s="52">
        <v>6844374480</v>
      </c>
      <c r="F75" s="52">
        <v>0</v>
      </c>
      <c r="G75" s="52">
        <f t="shared" ref="G75:G77" si="21">H75-SUM(D75:F75)</f>
        <v>1207686690</v>
      </c>
      <c r="H75" s="52">
        <v>136925912072</v>
      </c>
      <c r="I75" s="52">
        <v>135072565595</v>
      </c>
      <c r="J75" s="52">
        <v>0</v>
      </c>
      <c r="K75" s="52">
        <v>55791552</v>
      </c>
      <c r="L75" s="52">
        <v>58322164</v>
      </c>
      <c r="M75" s="52">
        <v>117712821</v>
      </c>
      <c r="N75" s="52">
        <f t="shared" ref="N75:N77" si="22">O75-SUM(I75:M75)</f>
        <v>5403684407</v>
      </c>
      <c r="O75" s="52">
        <v>140708076539</v>
      </c>
      <c r="P75" s="52">
        <f t="shared" si="15"/>
        <v>3782164467</v>
      </c>
      <c r="Q75" s="52">
        <v>7301951</v>
      </c>
      <c r="R75" s="52">
        <v>198939114</v>
      </c>
      <c r="S75" s="52">
        <v>0</v>
      </c>
      <c r="T75" s="52">
        <f t="shared" si="16"/>
        <v>3973801630</v>
      </c>
      <c r="U75" s="52">
        <v>197555</v>
      </c>
      <c r="V75" s="52">
        <v>3973999185</v>
      </c>
      <c r="W75" s="52">
        <v>227938540</v>
      </c>
    </row>
    <row r="76" spans="1:23">
      <c r="A76" s="14">
        <f>'法人一覧(26)'!A76</f>
        <v>73</v>
      </c>
      <c r="B76" s="2" t="str">
        <f>'法人一覧(26)'!B76</f>
        <v>経済産業省</v>
      </c>
      <c r="C76" s="2" t="str">
        <f>'法人一覧(26)'!C76</f>
        <v>日本貿易振興機構</v>
      </c>
      <c r="D76" s="52">
        <v>34079462386</v>
      </c>
      <c r="E76" s="52">
        <v>1675272784</v>
      </c>
      <c r="F76" s="52">
        <v>2719234</v>
      </c>
      <c r="G76" s="52">
        <f t="shared" si="21"/>
        <v>10798763</v>
      </c>
      <c r="H76" s="52">
        <v>35768253167</v>
      </c>
      <c r="I76" s="52">
        <v>26725599643</v>
      </c>
      <c r="J76" s="52">
        <v>3555698435</v>
      </c>
      <c r="K76" s="52">
        <v>4005913718</v>
      </c>
      <c r="L76" s="52">
        <v>266262460</v>
      </c>
      <c r="M76" s="52">
        <v>198027104</v>
      </c>
      <c r="N76" s="52">
        <f t="shared" si="22"/>
        <v>3038193575</v>
      </c>
      <c r="O76" s="52">
        <v>37789694935</v>
      </c>
      <c r="P76" s="52">
        <f t="shared" ref="P76:P98" si="23">O76-H76</f>
        <v>2021441768</v>
      </c>
      <c r="Q76" s="52">
        <v>19344444</v>
      </c>
      <c r="R76" s="52">
        <v>6700449</v>
      </c>
      <c r="S76" s="52">
        <v>0</v>
      </c>
      <c r="T76" s="52">
        <f t="shared" ref="T76:T98" si="24">P76-Q76+R76-S76</f>
        <v>2008797773</v>
      </c>
      <c r="U76" s="52">
        <v>2735459</v>
      </c>
      <c r="V76" s="52">
        <v>2011533232</v>
      </c>
      <c r="W76" s="52">
        <v>1904652762</v>
      </c>
    </row>
    <row r="77" spans="1:23">
      <c r="A77" s="14">
        <f>'法人一覧(26)'!A77</f>
        <v>74</v>
      </c>
      <c r="B77" s="2" t="str">
        <f>'法人一覧(26)'!B77</f>
        <v>経済産業省</v>
      </c>
      <c r="C77" s="2" t="str">
        <f>'法人一覧(26)'!C77</f>
        <v>情報処理推進機構</v>
      </c>
      <c r="D77" s="52">
        <v>5268326880</v>
      </c>
      <c r="E77" s="52">
        <v>1467334474</v>
      </c>
      <c r="F77" s="52">
        <v>140522</v>
      </c>
      <c r="G77" s="52">
        <f t="shared" si="21"/>
        <v>38485171</v>
      </c>
      <c r="H77" s="52">
        <v>6774287047</v>
      </c>
      <c r="I77" s="52">
        <v>3664413406</v>
      </c>
      <c r="J77" s="52">
        <v>290495127</v>
      </c>
      <c r="K77" s="52">
        <v>18517741</v>
      </c>
      <c r="L77" s="52">
        <v>210531242</v>
      </c>
      <c r="M77" s="52">
        <v>19433401</v>
      </c>
      <c r="N77" s="52">
        <f t="shared" si="22"/>
        <v>2604608252</v>
      </c>
      <c r="O77" s="52">
        <v>6807999169</v>
      </c>
      <c r="P77" s="52">
        <f t="shared" si="23"/>
        <v>33712122</v>
      </c>
      <c r="Q77" s="52">
        <v>5058526</v>
      </c>
      <c r="R77" s="52">
        <v>0</v>
      </c>
      <c r="S77" s="52">
        <v>3800000</v>
      </c>
      <c r="T77" s="52">
        <f t="shared" si="24"/>
        <v>24853596</v>
      </c>
      <c r="U77" s="52">
        <v>69782</v>
      </c>
      <c r="V77" s="52">
        <v>24923378</v>
      </c>
      <c r="W77" s="52">
        <v>933875779</v>
      </c>
    </row>
    <row r="78" spans="1:23">
      <c r="A78" s="14">
        <f>'法人一覧(26)'!A78</f>
        <v>75</v>
      </c>
      <c r="B78" s="2" t="str">
        <f>'法人一覧(26)'!B78</f>
        <v>経済産業省</v>
      </c>
      <c r="C78" s="2" t="str">
        <f>'法人一覧(26)'!C78</f>
        <v>石油天然ガス・金属鉱物資源機構</v>
      </c>
      <c r="D78" s="29">
        <f>109438715044+69817113</f>
        <v>109508532157</v>
      </c>
      <c r="E78" s="29">
        <v>1451597761</v>
      </c>
      <c r="F78" s="29">
        <v>576926944</v>
      </c>
      <c r="G78" s="29">
        <f t="shared" ref="G78:G97" si="25">H78-SUM(D78:F78)</f>
        <v>145500632410</v>
      </c>
      <c r="H78" s="29">
        <v>257037689272</v>
      </c>
      <c r="I78" s="29">
        <v>16621965966</v>
      </c>
      <c r="J78" s="29">
        <v>10404952449</v>
      </c>
      <c r="K78" s="29">
        <v>145000054220</v>
      </c>
      <c r="L78" s="29">
        <f>769133790+17013526</f>
        <v>786147316</v>
      </c>
      <c r="M78" s="29">
        <v>676186866</v>
      </c>
      <c r="N78" s="29">
        <f t="shared" ref="N78:N97" si="26">O78-SUM(I78:M78)</f>
        <v>43968015581</v>
      </c>
      <c r="O78" s="29">
        <v>217457322398</v>
      </c>
      <c r="P78" s="29">
        <f t="shared" si="23"/>
        <v>-39580366874</v>
      </c>
      <c r="Q78" s="29">
        <v>128546469</v>
      </c>
      <c r="R78" s="29">
        <v>128887227</v>
      </c>
      <c r="S78" s="29">
        <v>0</v>
      </c>
      <c r="T78" s="29">
        <f t="shared" si="24"/>
        <v>-39580026116</v>
      </c>
      <c r="U78" s="29">
        <v>0</v>
      </c>
      <c r="V78" s="29">
        <v>-39580026116</v>
      </c>
      <c r="W78" s="29">
        <f>1020157790+43566080</f>
        <v>1063723870</v>
      </c>
    </row>
    <row r="79" spans="1:23">
      <c r="A79" s="14">
        <f>'法人一覧(26)'!A79</f>
        <v>76</v>
      </c>
      <c r="B79" s="2" t="str">
        <f>'法人一覧(26)'!B79</f>
        <v>経済産業省</v>
      </c>
      <c r="C79" s="2" t="str">
        <f>'法人一覧(26)'!C79</f>
        <v>中小企業基盤整備機構</v>
      </c>
      <c r="D79" s="29">
        <f>19766259639+9214701652+8674950984+867750884594</f>
        <v>905406796869</v>
      </c>
      <c r="E79" s="29">
        <v>4569306590</v>
      </c>
      <c r="F79" s="29">
        <v>23601373</v>
      </c>
      <c r="G79" s="29">
        <f t="shared" si="25"/>
        <v>2175320</v>
      </c>
      <c r="H79" s="29">
        <v>910001880152</v>
      </c>
      <c r="I79" s="29">
        <v>18272333443</v>
      </c>
      <c r="J79" s="29">
        <v>19561923721</v>
      </c>
      <c r="K79" s="29">
        <v>108230438</v>
      </c>
      <c r="L79" s="29">
        <f>165444607+180230971</f>
        <v>345675578</v>
      </c>
      <c r="M79" s="29">
        <v>2356536174</v>
      </c>
      <c r="N79" s="29">
        <f t="shared" si="26"/>
        <v>1144348884023</v>
      </c>
      <c r="O79" s="29">
        <v>1184993583377</v>
      </c>
      <c r="P79" s="29">
        <f t="shared" si="23"/>
        <v>274991703225</v>
      </c>
      <c r="Q79" s="29">
        <v>1967136739</v>
      </c>
      <c r="R79" s="29">
        <v>10390864215</v>
      </c>
      <c r="S79" s="29">
        <v>41816500</v>
      </c>
      <c r="T79" s="29">
        <f t="shared" si="24"/>
        <v>283373614201</v>
      </c>
      <c r="U79" s="29">
        <v>1830151207</v>
      </c>
      <c r="V79" s="29">
        <v>285203765408</v>
      </c>
      <c r="W79" s="29">
        <f>1398274553+471775571</f>
        <v>1870050124</v>
      </c>
    </row>
    <row r="80" spans="1:23">
      <c r="A80" s="14">
        <f>'法人一覧(26)'!A80</f>
        <v>77</v>
      </c>
      <c r="B80" s="2" t="str">
        <f>'法人一覧(26)'!B80</f>
        <v>国土交通省</v>
      </c>
      <c r="C80" s="2" t="str">
        <f>'法人一覧(26)'!C80</f>
        <v>土木研究所</v>
      </c>
      <c r="D80" s="52">
        <v>7391318229</v>
      </c>
      <c r="E80" s="52">
        <v>1706402139</v>
      </c>
      <c r="F80" s="52">
        <v>1683967</v>
      </c>
      <c r="G80" s="52">
        <f t="shared" si="25"/>
        <v>371701</v>
      </c>
      <c r="H80" s="52">
        <v>9099776036</v>
      </c>
      <c r="I80" s="52">
        <v>8213921161</v>
      </c>
      <c r="J80" s="52">
        <v>99096499</v>
      </c>
      <c r="K80" s="52">
        <v>319157623</v>
      </c>
      <c r="L80" s="52">
        <v>262595735</v>
      </c>
      <c r="M80" s="52">
        <v>0</v>
      </c>
      <c r="N80" s="52">
        <f t="shared" si="26"/>
        <v>211470343</v>
      </c>
      <c r="O80" s="52">
        <v>9106241361</v>
      </c>
      <c r="P80" s="52">
        <f t="shared" si="23"/>
        <v>6465325</v>
      </c>
      <c r="Q80" s="52">
        <v>6510794</v>
      </c>
      <c r="R80" s="52">
        <v>6345314</v>
      </c>
      <c r="S80" s="52">
        <v>0</v>
      </c>
      <c r="T80" s="52">
        <f t="shared" si="24"/>
        <v>6299845</v>
      </c>
      <c r="U80" s="52">
        <v>3422311</v>
      </c>
      <c r="V80" s="52">
        <v>9722156</v>
      </c>
      <c r="W80" s="52">
        <f>244130195+33431434</f>
        <v>277561629</v>
      </c>
    </row>
    <row r="81" spans="1:23">
      <c r="A81" s="14">
        <f>'法人一覧(26)'!A81</f>
        <v>78</v>
      </c>
      <c r="B81" s="2" t="str">
        <f>'法人一覧(26)'!B81</f>
        <v>国土交通省</v>
      </c>
      <c r="C81" s="2" t="str">
        <f>'法人一覧(26)'!C81</f>
        <v>建築研究所</v>
      </c>
      <c r="D81" s="52">
        <v>1379558539</v>
      </c>
      <c r="E81" s="52">
        <v>543395620</v>
      </c>
      <c r="F81" s="52">
        <v>337050</v>
      </c>
      <c r="G81" s="52">
        <f t="shared" si="25"/>
        <v>671262</v>
      </c>
      <c r="H81" s="52">
        <v>1923962471</v>
      </c>
      <c r="I81" s="52">
        <v>1746068439</v>
      </c>
      <c r="J81" s="52">
        <f>3305426+12699457</f>
        <v>16004883</v>
      </c>
      <c r="K81" s="52">
        <v>65663361</v>
      </c>
      <c r="L81" s="52">
        <v>37738058</v>
      </c>
      <c r="M81" s="52">
        <v>0</v>
      </c>
      <c r="N81" s="52">
        <f t="shared" si="26"/>
        <v>62142920</v>
      </c>
      <c r="O81" s="52">
        <v>1927617661</v>
      </c>
      <c r="P81" s="52">
        <f t="shared" si="23"/>
        <v>3655190</v>
      </c>
      <c r="Q81" s="52">
        <v>1476037</v>
      </c>
      <c r="R81" s="52">
        <v>1476037</v>
      </c>
      <c r="S81" s="52">
        <v>0</v>
      </c>
      <c r="T81" s="52">
        <f t="shared" si="24"/>
        <v>3655190</v>
      </c>
      <c r="U81" s="52">
        <v>0</v>
      </c>
      <c r="V81" s="52">
        <v>3655190</v>
      </c>
      <c r="W81" s="65">
        <f>44504542+549780</f>
        <v>45054322</v>
      </c>
    </row>
    <row r="82" spans="1:23">
      <c r="A82" s="14">
        <f>'法人一覧(26)'!A82</f>
        <v>79</v>
      </c>
      <c r="B82" s="2" t="str">
        <f>'法人一覧(26)'!B82</f>
        <v>国土交通省</v>
      </c>
      <c r="C82" s="2" t="str">
        <f>'法人一覧(26)'!C82</f>
        <v>交通安全環境研究所</v>
      </c>
      <c r="D82" s="52">
        <f>SUM(1157122495,945149056)</f>
        <v>2102271551</v>
      </c>
      <c r="E82" s="52">
        <v>218143059</v>
      </c>
      <c r="F82" s="52">
        <v>898797</v>
      </c>
      <c r="G82" s="52">
        <f t="shared" si="25"/>
        <v>632</v>
      </c>
      <c r="H82" s="52">
        <v>2321314039</v>
      </c>
      <c r="I82" s="52">
        <v>1463049704</v>
      </c>
      <c r="J82" s="52">
        <v>3776140</v>
      </c>
      <c r="K82" s="52">
        <f>SUM(493986165,316438563)</f>
        <v>810424728</v>
      </c>
      <c r="L82" s="52">
        <v>107400965</v>
      </c>
      <c r="M82" s="52">
        <v>0</v>
      </c>
      <c r="N82" s="52">
        <f t="shared" si="26"/>
        <v>49489220</v>
      </c>
      <c r="O82" s="52">
        <v>2434140757</v>
      </c>
      <c r="P82" s="52">
        <f t="shared" si="23"/>
        <v>112826718</v>
      </c>
      <c r="Q82" s="52">
        <v>51271</v>
      </c>
      <c r="R82" s="52">
        <v>51271</v>
      </c>
      <c r="S82" s="52">
        <v>0</v>
      </c>
      <c r="T82" s="52">
        <f t="shared" si="24"/>
        <v>112826718</v>
      </c>
      <c r="U82" s="52">
        <v>19803527</v>
      </c>
      <c r="V82" s="52">
        <v>132630245</v>
      </c>
      <c r="W82" s="65">
        <v>218262425</v>
      </c>
    </row>
    <row r="83" spans="1:23">
      <c r="A83" s="14">
        <f>'法人一覧(26)'!A83</f>
        <v>80</v>
      </c>
      <c r="B83" s="2" t="str">
        <f>'法人一覧(26)'!B83</f>
        <v>国土交通省</v>
      </c>
      <c r="C83" s="2" t="str">
        <f>'法人一覧(26)'!C83</f>
        <v>海上技術安全研究所</v>
      </c>
      <c r="D83" s="52">
        <v>3999407878</v>
      </c>
      <c r="E83" s="52">
        <v>565815326</v>
      </c>
      <c r="F83" s="52">
        <v>600592</v>
      </c>
      <c r="G83" s="52">
        <f t="shared" si="25"/>
        <v>0</v>
      </c>
      <c r="H83" s="52">
        <v>4565823796</v>
      </c>
      <c r="I83" s="52">
        <v>2641768389</v>
      </c>
      <c r="J83" s="52">
        <v>78653059</v>
      </c>
      <c r="K83" s="52">
        <v>1842003397</v>
      </c>
      <c r="L83" s="52">
        <v>161819754</v>
      </c>
      <c r="M83" s="52">
        <v>0</v>
      </c>
      <c r="N83" s="52">
        <f t="shared" si="26"/>
        <v>191180711</v>
      </c>
      <c r="O83" s="52">
        <v>4915425310</v>
      </c>
      <c r="P83" s="52">
        <f t="shared" si="23"/>
        <v>349601514</v>
      </c>
      <c r="Q83" s="52">
        <v>1386115</v>
      </c>
      <c r="R83" s="52">
        <v>404776</v>
      </c>
      <c r="S83" s="52">
        <v>0</v>
      </c>
      <c r="T83" s="52">
        <f t="shared" si="24"/>
        <v>348620175</v>
      </c>
      <c r="U83" s="52">
        <v>6162915</v>
      </c>
      <c r="V83" s="52">
        <v>354783090</v>
      </c>
      <c r="W83" s="65">
        <f>SUM(282484639,12660)</f>
        <v>282497299</v>
      </c>
    </row>
    <row r="84" spans="1:23">
      <c r="A84" s="14">
        <f>'法人一覧(26)'!A84</f>
        <v>81</v>
      </c>
      <c r="B84" s="2" t="str">
        <f>'法人一覧(26)'!B84</f>
        <v>国土交通省</v>
      </c>
      <c r="C84" s="2" t="str">
        <f>'法人一覧(26)'!C84</f>
        <v>港湾空港技術研究所</v>
      </c>
      <c r="D84" s="52">
        <v>2679772251</v>
      </c>
      <c r="E84" s="52">
        <v>325866407</v>
      </c>
      <c r="F84" s="52">
        <v>2930974</v>
      </c>
      <c r="G84" s="52">
        <f t="shared" si="25"/>
        <v>0</v>
      </c>
      <c r="H84" s="52">
        <v>3008569632</v>
      </c>
      <c r="I84" s="52">
        <v>1260615861</v>
      </c>
      <c r="J84" s="52">
        <v>57568721</v>
      </c>
      <c r="K84" s="52">
        <v>1714150778</v>
      </c>
      <c r="L84" s="52">
        <v>13134713</v>
      </c>
      <c r="M84" s="52">
        <v>0</v>
      </c>
      <c r="N84" s="52">
        <f t="shared" si="26"/>
        <v>94241444</v>
      </c>
      <c r="O84" s="52">
        <v>3139711517</v>
      </c>
      <c r="P84" s="52">
        <f t="shared" si="23"/>
        <v>131141885</v>
      </c>
      <c r="Q84" s="52">
        <v>15146117</v>
      </c>
      <c r="R84" s="52">
        <v>689719</v>
      </c>
      <c r="S84" s="52">
        <v>0</v>
      </c>
      <c r="T84" s="52">
        <f t="shared" si="24"/>
        <v>116685487</v>
      </c>
      <c r="U84" s="52">
        <v>48055860</v>
      </c>
      <c r="V84" s="52">
        <v>164741347</v>
      </c>
      <c r="W84" s="65">
        <f>SUM(165471923,1596092)</f>
        <v>167068015</v>
      </c>
    </row>
    <row r="85" spans="1:23">
      <c r="A85" s="14">
        <f>'法人一覧(26)'!A85</f>
        <v>82</v>
      </c>
      <c r="B85" s="2" t="str">
        <f>'法人一覧(26)'!B85</f>
        <v>国土交通省</v>
      </c>
      <c r="C85" s="2" t="str">
        <f>'法人一覧(26)'!C85</f>
        <v>電子航法研究所</v>
      </c>
      <c r="D85" s="52">
        <v>1428085522</v>
      </c>
      <c r="E85" s="52">
        <v>210681258</v>
      </c>
      <c r="F85" s="52">
        <v>308275</v>
      </c>
      <c r="G85" s="52">
        <f t="shared" si="25"/>
        <v>0</v>
      </c>
      <c r="H85" s="52">
        <v>1639075055</v>
      </c>
      <c r="I85" s="52">
        <v>1220594327</v>
      </c>
      <c r="J85" s="52">
        <v>0</v>
      </c>
      <c r="K85" s="52">
        <v>127372519</v>
      </c>
      <c r="L85" s="52">
        <v>288868205</v>
      </c>
      <c r="M85" s="52">
        <v>0</v>
      </c>
      <c r="N85" s="52">
        <f t="shared" si="26"/>
        <v>3220920</v>
      </c>
      <c r="O85" s="52">
        <v>1640055971</v>
      </c>
      <c r="P85" s="52">
        <f t="shared" si="23"/>
        <v>980916</v>
      </c>
      <c r="Q85" s="52">
        <v>931191</v>
      </c>
      <c r="R85" s="52">
        <v>931191</v>
      </c>
      <c r="S85" s="52">
        <v>0</v>
      </c>
      <c r="T85" s="52">
        <v>980916</v>
      </c>
      <c r="U85" s="52">
        <v>0</v>
      </c>
      <c r="V85" s="52">
        <v>980916</v>
      </c>
      <c r="W85" s="65">
        <f>SUM(329295030,0)</f>
        <v>329295030</v>
      </c>
    </row>
    <row r="86" spans="1:23">
      <c r="A86" s="14">
        <f>'法人一覧(26)'!A86</f>
        <v>83</v>
      </c>
      <c r="B86" s="2" t="str">
        <f>'法人一覧(26)'!B86</f>
        <v>国土交通省</v>
      </c>
      <c r="C86" s="2" t="str">
        <f>'法人一覧(26)'!C86</f>
        <v>航海訓練所</v>
      </c>
      <c r="D86" s="52">
        <v>5843317712</v>
      </c>
      <c r="E86" s="52">
        <v>370501555</v>
      </c>
      <c r="F86" s="52">
        <v>0</v>
      </c>
      <c r="G86" s="52">
        <f t="shared" si="25"/>
        <v>21152604</v>
      </c>
      <c r="H86" s="75">
        <v>6234971871</v>
      </c>
      <c r="I86" s="68">
        <v>5027158438</v>
      </c>
      <c r="J86" s="68">
        <v>0</v>
      </c>
      <c r="K86" s="68">
        <v>68242246</v>
      </c>
      <c r="L86" s="68">
        <v>764521517</v>
      </c>
      <c r="M86" s="68">
        <v>389020</v>
      </c>
      <c r="N86" s="68">
        <f t="shared" si="26"/>
        <v>373297442</v>
      </c>
      <c r="O86" s="68">
        <v>6233608663</v>
      </c>
      <c r="P86" s="76">
        <f t="shared" si="23"/>
        <v>-1363208</v>
      </c>
      <c r="Q86" s="52">
        <v>0</v>
      </c>
      <c r="R86" s="52">
        <v>2766263</v>
      </c>
      <c r="S86" s="52">
        <v>0</v>
      </c>
      <c r="T86" s="52">
        <f t="shared" si="24"/>
        <v>1403055</v>
      </c>
      <c r="U86" s="52">
        <v>0</v>
      </c>
      <c r="V86" s="52">
        <v>1403055</v>
      </c>
      <c r="W86" s="65">
        <f>220016308+991733</f>
        <v>221008041</v>
      </c>
    </row>
    <row r="87" spans="1:23">
      <c r="A87" s="14">
        <f>'法人一覧(26)'!A87</f>
        <v>84</v>
      </c>
      <c r="B87" s="2" t="str">
        <f>'法人一覧(26)'!B87</f>
        <v>国土交通省</v>
      </c>
      <c r="C87" s="2" t="str">
        <f>'法人一覧(26)'!C87</f>
        <v>海技教育機構</v>
      </c>
      <c r="D87" s="52">
        <v>2048135370</v>
      </c>
      <c r="E87" s="52">
        <v>651933710</v>
      </c>
      <c r="F87" s="52">
        <v>4466840</v>
      </c>
      <c r="G87" s="52">
        <f t="shared" si="25"/>
        <v>26435678</v>
      </c>
      <c r="H87" s="75">
        <v>2730971598</v>
      </c>
      <c r="I87" s="68">
        <v>2345685035</v>
      </c>
      <c r="J87" s="68">
        <v>0</v>
      </c>
      <c r="K87" s="68">
        <v>30391335</v>
      </c>
      <c r="L87" s="68">
        <v>64567076</v>
      </c>
      <c r="M87" s="68">
        <v>390</v>
      </c>
      <c r="N87" s="68">
        <f t="shared" si="26"/>
        <v>293707465</v>
      </c>
      <c r="O87" s="68">
        <v>2734351301</v>
      </c>
      <c r="P87" s="76">
        <f t="shared" si="23"/>
        <v>3379703</v>
      </c>
      <c r="Q87" s="52">
        <v>1264384</v>
      </c>
      <c r="R87" s="52">
        <v>1264384</v>
      </c>
      <c r="S87" s="52">
        <v>0</v>
      </c>
      <c r="T87" s="52">
        <f t="shared" si="24"/>
        <v>3379703</v>
      </c>
      <c r="U87" s="52">
        <v>540508</v>
      </c>
      <c r="V87" s="52">
        <v>3920211</v>
      </c>
      <c r="W87" s="65">
        <f>150087131+2180877</f>
        <v>152268008</v>
      </c>
    </row>
    <row r="88" spans="1:23">
      <c r="A88" s="14">
        <f>'法人一覧(26)'!A88</f>
        <v>85</v>
      </c>
      <c r="B88" s="2" t="str">
        <f>'法人一覧(26)'!B88</f>
        <v>国土交通省</v>
      </c>
      <c r="C88" s="2" t="str">
        <f>'法人一覧(26)'!C88</f>
        <v>航空大学校</v>
      </c>
      <c r="D88" s="29">
        <v>2196440305</v>
      </c>
      <c r="E88" s="29">
        <v>566734101</v>
      </c>
      <c r="F88" s="29">
        <v>83154456</v>
      </c>
      <c r="G88" s="29">
        <f t="shared" si="25"/>
        <v>0</v>
      </c>
      <c r="H88" s="29">
        <v>2846328862</v>
      </c>
      <c r="I88" s="29">
        <v>1776834532</v>
      </c>
      <c r="J88" s="29">
        <v>21909263</v>
      </c>
      <c r="K88" s="29">
        <v>176610462</v>
      </c>
      <c r="L88" s="29">
        <f>1436059+35171181</f>
        <v>36607240</v>
      </c>
      <c r="M88" s="29">
        <v>0</v>
      </c>
      <c r="N88" s="29">
        <f t="shared" si="26"/>
        <v>808057526</v>
      </c>
      <c r="O88" s="29">
        <v>2820019023</v>
      </c>
      <c r="P88" s="29">
        <f t="shared" si="23"/>
        <v>-26309839</v>
      </c>
      <c r="Q88" s="29">
        <v>3318256</v>
      </c>
      <c r="R88" s="29">
        <v>3318256</v>
      </c>
      <c r="S88" s="29">
        <v>0</v>
      </c>
      <c r="T88" s="29">
        <f t="shared" si="24"/>
        <v>-26309839</v>
      </c>
      <c r="U88" s="29">
        <v>0</v>
      </c>
      <c r="V88" s="52">
        <v>-26309839</v>
      </c>
      <c r="W88" s="29">
        <f>144213180+382589</f>
        <v>144595769</v>
      </c>
    </row>
    <row r="89" spans="1:23">
      <c r="A89" s="14">
        <f>'法人一覧(26)'!A89</f>
        <v>86</v>
      </c>
      <c r="B89" s="2" t="str">
        <f>'法人一覧(26)'!B89</f>
        <v>国土交通省</v>
      </c>
      <c r="C89" s="2" t="str">
        <f>'法人一覧(26)'!C89</f>
        <v>自動車検査</v>
      </c>
      <c r="D89" s="52">
        <v>9106413998</v>
      </c>
      <c r="E89" s="52">
        <v>980132678</v>
      </c>
      <c r="F89" s="52">
        <v>0</v>
      </c>
      <c r="G89" s="52">
        <f t="shared" si="25"/>
        <v>0</v>
      </c>
      <c r="H89" s="52">
        <v>10086546676</v>
      </c>
      <c r="I89" s="52">
        <v>19339811</v>
      </c>
      <c r="J89" s="52">
        <v>0</v>
      </c>
      <c r="K89" s="52">
        <v>29958321</v>
      </c>
      <c r="L89" s="52">
        <v>882644552</v>
      </c>
      <c r="M89" s="52">
        <v>2501303</v>
      </c>
      <c r="N89" s="52">
        <f t="shared" si="26"/>
        <v>8853852506</v>
      </c>
      <c r="O89" s="52">
        <v>9788296493</v>
      </c>
      <c r="P89" s="52">
        <f t="shared" si="23"/>
        <v>-298250183</v>
      </c>
      <c r="Q89" s="52">
        <v>0</v>
      </c>
      <c r="R89" s="52">
        <v>0</v>
      </c>
      <c r="S89" s="52">
        <v>0</v>
      </c>
      <c r="T89" s="52">
        <f t="shared" si="24"/>
        <v>-298250183</v>
      </c>
      <c r="U89" s="52">
        <v>185065014</v>
      </c>
      <c r="V89" s="52">
        <v>-113185169</v>
      </c>
      <c r="W89" s="65">
        <f>SUM(1477721891,13405560)</f>
        <v>1491127451</v>
      </c>
    </row>
    <row r="90" spans="1:23">
      <c r="A90" s="14">
        <f>'法人一覧(26)'!A90</f>
        <v>87</v>
      </c>
      <c r="B90" s="2" t="str">
        <f>'法人一覧(26)'!B90</f>
        <v>国土交通省</v>
      </c>
      <c r="C90" s="2" t="str">
        <f>'法人一覧(26)'!C90</f>
        <v>鉄道建設・運輸施設整備支援機構</v>
      </c>
      <c r="D90" s="52">
        <v>778306064204</v>
      </c>
      <c r="E90" s="52">
        <v>5478696730</v>
      </c>
      <c r="F90" s="52">
        <v>46960433591</v>
      </c>
      <c r="G90" s="52">
        <f t="shared" si="25"/>
        <v>310447822</v>
      </c>
      <c r="H90" s="52">
        <v>831055642347</v>
      </c>
      <c r="I90" s="52">
        <v>212413717</v>
      </c>
      <c r="J90" s="52">
        <f>14476351502</f>
        <v>14476351502</v>
      </c>
      <c r="K90" s="52">
        <v>52809868051</v>
      </c>
      <c r="L90" s="52">
        <f>82672501787+612219630</f>
        <v>83284721417</v>
      </c>
      <c r="M90" s="52">
        <v>113500638</v>
      </c>
      <c r="N90" s="52">
        <f t="shared" si="26"/>
        <v>641716360547</v>
      </c>
      <c r="O90" s="52">
        <v>792613215872</v>
      </c>
      <c r="P90" s="52">
        <f t="shared" si="23"/>
        <v>-38442426475</v>
      </c>
      <c r="Q90" s="52">
        <v>232032330</v>
      </c>
      <c r="R90" s="52">
        <v>870000</v>
      </c>
      <c r="S90" s="52">
        <v>0</v>
      </c>
      <c r="T90" s="52">
        <f t="shared" si="24"/>
        <v>-38673588805</v>
      </c>
      <c r="U90" s="52">
        <v>60888988965</v>
      </c>
      <c r="V90" s="52">
        <v>22215400160</v>
      </c>
      <c r="W90" s="65">
        <f>132568213003+6405271674</f>
        <v>138973484677</v>
      </c>
    </row>
    <row r="91" spans="1:23">
      <c r="A91" s="14">
        <f>'法人一覧(26)'!A91</f>
        <v>88</v>
      </c>
      <c r="B91" s="2" t="str">
        <f>'法人一覧(26)'!B91</f>
        <v>国土交通省</v>
      </c>
      <c r="C91" s="2" t="str">
        <f>'法人一覧(26)'!C91</f>
        <v>国際観光振興機構</v>
      </c>
      <c r="D91" s="52">
        <f>SUM(963696630,68442884)</f>
        <v>1032139514</v>
      </c>
      <c r="E91" s="52">
        <v>1479985499</v>
      </c>
      <c r="F91" s="52">
        <v>0</v>
      </c>
      <c r="G91" s="52">
        <f t="shared" si="25"/>
        <v>0</v>
      </c>
      <c r="H91" s="52">
        <v>2512125013</v>
      </c>
      <c r="I91" s="52">
        <v>1863859208</v>
      </c>
      <c r="J91" s="52">
        <v>0</v>
      </c>
      <c r="K91" s="52">
        <v>55314495</v>
      </c>
      <c r="L91" s="52">
        <f>SUM(13150355,236772,2944635)</f>
        <v>16331762</v>
      </c>
      <c r="M91" s="52">
        <v>3804396</v>
      </c>
      <c r="N91" s="52">
        <f t="shared" si="26"/>
        <v>565102431</v>
      </c>
      <c r="O91" s="52">
        <v>2504412292</v>
      </c>
      <c r="P91" s="52">
        <f t="shared" si="23"/>
        <v>-7712721</v>
      </c>
      <c r="Q91" s="52">
        <v>1383991</v>
      </c>
      <c r="R91" s="52">
        <v>0</v>
      </c>
      <c r="S91" s="52">
        <v>0</v>
      </c>
      <c r="T91" s="52">
        <f t="shared" si="24"/>
        <v>-9096712</v>
      </c>
      <c r="U91" s="52">
        <v>40321</v>
      </c>
      <c r="V91" s="52">
        <v>-9056391</v>
      </c>
      <c r="W91" s="65">
        <f>SUM(11173753,3896400)</f>
        <v>15070153</v>
      </c>
    </row>
    <row r="92" spans="1:23">
      <c r="A92" s="14">
        <f>'法人一覧(26)'!A92</f>
        <v>89</v>
      </c>
      <c r="B92" s="2" t="str">
        <f>'法人一覧(26)'!B92</f>
        <v>国土交通省</v>
      </c>
      <c r="C92" s="2" t="str">
        <f>'法人一覧(26)'!C92</f>
        <v>水資源機構</v>
      </c>
      <c r="D92" s="52">
        <f>33566518202+602678720+412953737</f>
        <v>34582150659</v>
      </c>
      <c r="E92" s="52">
        <v>3790328991</v>
      </c>
      <c r="F92" s="52">
        <v>10251764502</v>
      </c>
      <c r="G92" s="52">
        <f t="shared" si="25"/>
        <v>74991430648</v>
      </c>
      <c r="H92" s="52">
        <v>123615674800</v>
      </c>
      <c r="I92" s="52">
        <v>0</v>
      </c>
      <c r="J92" s="52">
        <f>29320744552</f>
        <v>29320744552</v>
      </c>
      <c r="K92" s="52">
        <v>602678720</v>
      </c>
      <c r="L92" s="52">
        <f>74933949146+412953737</f>
        <v>75346902883</v>
      </c>
      <c r="M92" s="52">
        <v>12902632641</v>
      </c>
      <c r="N92" s="52">
        <f t="shared" si="26"/>
        <v>1158681740</v>
      </c>
      <c r="O92" s="52">
        <v>119331640536</v>
      </c>
      <c r="P92" s="52">
        <f t="shared" si="23"/>
        <v>-4284034264</v>
      </c>
      <c r="Q92" s="52">
        <v>375098392</v>
      </c>
      <c r="R92" s="52">
        <v>375098392</v>
      </c>
      <c r="S92" s="52">
        <v>0</v>
      </c>
      <c r="T92" s="52">
        <f t="shared" si="24"/>
        <v>-4284034264</v>
      </c>
      <c r="U92" s="52">
        <v>6730309322</v>
      </c>
      <c r="V92" s="52">
        <v>2446275058</v>
      </c>
      <c r="W92" s="65">
        <f>74124850841+26622974</f>
        <v>74151473815</v>
      </c>
    </row>
    <row r="93" spans="1:23">
      <c r="A93" s="14">
        <f>'法人一覧(26)'!A93</f>
        <v>90</v>
      </c>
      <c r="B93" s="2" t="str">
        <f>'法人一覧(26)'!B93</f>
        <v>国土交通省</v>
      </c>
      <c r="C93" s="2" t="str">
        <f>'法人一覧(26)'!C93</f>
        <v>自動車事故対策機構</v>
      </c>
      <c r="D93" s="52">
        <v>10052468162</v>
      </c>
      <c r="E93" s="52">
        <v>2021421255</v>
      </c>
      <c r="F93" s="52">
        <v>4991503</v>
      </c>
      <c r="G93" s="52">
        <f t="shared" si="25"/>
        <v>0</v>
      </c>
      <c r="H93" s="52">
        <v>12078880920</v>
      </c>
      <c r="I93" s="52">
        <v>6183959576</v>
      </c>
      <c r="J93" s="52">
        <v>3091130190</v>
      </c>
      <c r="K93" s="52">
        <v>0</v>
      </c>
      <c r="L93" s="52">
        <v>300723691</v>
      </c>
      <c r="M93" s="52">
        <v>2290037</v>
      </c>
      <c r="N93" s="52">
        <f t="shared" si="26"/>
        <v>2480651091</v>
      </c>
      <c r="O93" s="52">
        <v>12058754585</v>
      </c>
      <c r="P93" s="52">
        <f t="shared" si="23"/>
        <v>-20126335</v>
      </c>
      <c r="Q93" s="52">
        <v>192298514</v>
      </c>
      <c r="R93" s="52">
        <v>135925280</v>
      </c>
      <c r="S93" s="52">
        <v>0</v>
      </c>
      <c r="T93" s="52">
        <f t="shared" si="24"/>
        <v>-76499569</v>
      </c>
      <c r="U93" s="52">
        <v>242975</v>
      </c>
      <c r="V93" s="52">
        <v>-76256594</v>
      </c>
      <c r="W93" s="65">
        <f>258923825+71138781</f>
        <v>330062606</v>
      </c>
    </row>
    <row r="94" spans="1:23">
      <c r="A94" s="14">
        <f>'法人一覧(26)'!A94</f>
        <v>91</v>
      </c>
      <c r="B94" s="2" t="str">
        <f>'法人一覧(26)'!B94</f>
        <v>国土交通省</v>
      </c>
      <c r="C94" s="2" t="str">
        <f>'法人一覧(26)'!C94</f>
        <v>空港周辺整備機構</v>
      </c>
      <c r="D94" s="52">
        <v>1193784305</v>
      </c>
      <c r="E94" s="52">
        <v>184736213</v>
      </c>
      <c r="F94" s="52">
        <v>7377703</v>
      </c>
      <c r="G94" s="52">
        <f t="shared" si="25"/>
        <v>173654</v>
      </c>
      <c r="H94" s="52">
        <v>1386071875</v>
      </c>
      <c r="I94" s="52">
        <v>0</v>
      </c>
      <c r="J94" s="52">
        <v>130664190</v>
      </c>
      <c r="K94" s="52">
        <v>710023332</v>
      </c>
      <c r="L94" s="52">
        <v>13180073</v>
      </c>
      <c r="M94" s="52">
        <v>748849</v>
      </c>
      <c r="N94" s="52">
        <f t="shared" si="26"/>
        <v>653218484</v>
      </c>
      <c r="O94" s="52">
        <v>1507834928</v>
      </c>
      <c r="P94" s="52">
        <f t="shared" si="23"/>
        <v>121763053</v>
      </c>
      <c r="Q94" s="52">
        <v>2000000</v>
      </c>
      <c r="R94" s="52">
        <v>0</v>
      </c>
      <c r="S94" s="52">
        <v>0</v>
      </c>
      <c r="T94" s="52">
        <f t="shared" si="24"/>
        <v>119763053</v>
      </c>
      <c r="U94" s="52">
        <v>0</v>
      </c>
      <c r="V94" s="52">
        <v>119763053</v>
      </c>
      <c r="W94" s="65">
        <f>110649604+145359</f>
        <v>110794963</v>
      </c>
    </row>
    <row r="95" spans="1:23">
      <c r="A95" s="14">
        <f>'法人一覧(26)'!A95</f>
        <v>92</v>
      </c>
      <c r="B95" s="2" t="str">
        <f>'法人一覧(26)'!B95</f>
        <v>国土交通省</v>
      </c>
      <c r="C95" s="2" t="str">
        <f>'法人一覧(26)'!C95</f>
        <v>都市再生機構</v>
      </c>
      <c r="D95" s="52">
        <v>755540089896</v>
      </c>
      <c r="E95" s="52">
        <v>16662655367</v>
      </c>
      <c r="F95" s="52">
        <v>181284923118</v>
      </c>
      <c r="G95" s="52">
        <f t="shared" si="25"/>
        <v>54663210650</v>
      </c>
      <c r="H95" s="52">
        <v>1008150879031</v>
      </c>
      <c r="I95" s="52">
        <v>0</v>
      </c>
      <c r="J95" s="52">
        <v>42020719011</v>
      </c>
      <c r="K95" s="52">
        <v>93854847612</v>
      </c>
      <c r="L95" s="52">
        <v>0</v>
      </c>
      <c r="M95" s="52">
        <v>11864934596</v>
      </c>
      <c r="N95" s="52">
        <f t="shared" si="26"/>
        <v>952370884367</v>
      </c>
      <c r="O95" s="52">
        <v>1100111385586</v>
      </c>
      <c r="P95" s="52">
        <f t="shared" si="23"/>
        <v>91960506555</v>
      </c>
      <c r="Q95" s="52">
        <v>54998203899</v>
      </c>
      <c r="R95" s="52">
        <v>4693801962</v>
      </c>
      <c r="S95" s="52">
        <v>0</v>
      </c>
      <c r="T95" s="52">
        <f t="shared" si="24"/>
        <v>41656104618</v>
      </c>
      <c r="U95" s="52">
        <v>0</v>
      </c>
      <c r="V95" s="52">
        <v>41656104618</v>
      </c>
      <c r="W95" s="52">
        <f>SUM(88138155979,47792186)</f>
        <v>88185948165</v>
      </c>
    </row>
    <row r="96" spans="1:23">
      <c r="A96" s="14">
        <f>'法人一覧(26)'!A96</f>
        <v>93</v>
      </c>
      <c r="B96" s="2" t="str">
        <f>'法人一覧(26)'!B96</f>
        <v>国土交通省</v>
      </c>
      <c r="C96" s="2" t="str">
        <f>'法人一覧(26)'!C96</f>
        <v>奄美群島振興開発基金</v>
      </c>
      <c r="D96" s="29">
        <v>0</v>
      </c>
      <c r="E96" s="29">
        <v>209148469</v>
      </c>
      <c r="F96" s="29">
        <v>403286</v>
      </c>
      <c r="G96" s="29">
        <f t="shared" ref="G96" si="27">H96-SUM(D96:F96)</f>
        <v>219336846</v>
      </c>
      <c r="H96" s="29">
        <v>428888601</v>
      </c>
      <c r="I96" s="29">
        <v>0</v>
      </c>
      <c r="J96" s="29">
        <v>0</v>
      </c>
      <c r="K96" s="29">
        <v>0</v>
      </c>
      <c r="L96" s="29">
        <v>0</v>
      </c>
      <c r="M96" s="29">
        <v>24075488</v>
      </c>
      <c r="N96" s="29">
        <f t="shared" ref="N96" si="28">O96-SUM(I96:M96)</f>
        <v>228354508</v>
      </c>
      <c r="O96" s="29">
        <v>252429996</v>
      </c>
      <c r="P96" s="29">
        <f t="shared" si="23"/>
        <v>-176458605</v>
      </c>
      <c r="Q96" s="29">
        <v>783360</v>
      </c>
      <c r="R96" s="29">
        <v>0</v>
      </c>
      <c r="S96" s="29">
        <v>0</v>
      </c>
      <c r="T96" s="29">
        <f t="shared" si="24"/>
        <v>-177241965</v>
      </c>
      <c r="U96" s="29">
        <v>0</v>
      </c>
      <c r="V96" s="29">
        <v>-177241965</v>
      </c>
      <c r="W96" s="29">
        <v>3202113</v>
      </c>
    </row>
    <row r="97" spans="1:23">
      <c r="A97" s="14">
        <f>'法人一覧(26)'!A97</f>
        <v>94</v>
      </c>
      <c r="B97" s="2" t="str">
        <f>'法人一覧(26)'!B97</f>
        <v>国土交通省</v>
      </c>
      <c r="C97" s="2" t="str">
        <f>'法人一覧(26)'!C97</f>
        <v>日本高速道路保有・債務返済機構</v>
      </c>
      <c r="D97" s="52">
        <f>965794159568+1135524851+8545486874</f>
        <v>975475171293</v>
      </c>
      <c r="E97" s="52">
        <v>1514792694</v>
      </c>
      <c r="F97" s="52">
        <v>429482806241</v>
      </c>
      <c r="G97" s="52">
        <f t="shared" si="25"/>
        <v>61255386176</v>
      </c>
      <c r="H97" s="52">
        <v>1467728156404</v>
      </c>
      <c r="I97" s="52">
        <v>0</v>
      </c>
      <c r="J97" s="52">
        <v>50726796000</v>
      </c>
      <c r="K97" s="52">
        <v>0</v>
      </c>
      <c r="L97" s="52">
        <f>6936143293+7981264584</f>
        <v>14917407877</v>
      </c>
      <c r="M97" s="52">
        <v>912506476</v>
      </c>
      <c r="N97" s="52">
        <f t="shared" si="26"/>
        <v>1917945727657</v>
      </c>
      <c r="O97" s="52">
        <v>1984502438010</v>
      </c>
      <c r="P97" s="52">
        <f t="shared" si="23"/>
        <v>516774281606</v>
      </c>
      <c r="Q97" s="52">
        <v>20183608351</v>
      </c>
      <c r="R97" s="52">
        <v>24921735716</v>
      </c>
      <c r="S97" s="52">
        <v>0</v>
      </c>
      <c r="T97" s="52">
        <f t="shared" si="24"/>
        <v>521512408971</v>
      </c>
      <c r="U97" s="52">
        <v>62310141</v>
      </c>
      <c r="V97" s="52">
        <v>521574719112</v>
      </c>
      <c r="W97" s="52">
        <f>934658582421+450488927</f>
        <v>935109071348</v>
      </c>
    </row>
    <row r="98" spans="1:23">
      <c r="A98" s="14">
        <f>'法人一覧(26)'!A98</f>
        <v>95</v>
      </c>
      <c r="B98" s="2" t="str">
        <f>'法人一覧(26)'!B98</f>
        <v>国土交通省</v>
      </c>
      <c r="C98" s="2" t="str">
        <f>'法人一覧(26)'!C98</f>
        <v>住宅金融支援機構</v>
      </c>
      <c r="D98" s="29">
        <f>524968866431+96494759049+24699171135+8878717383</f>
        <v>655041513998</v>
      </c>
      <c r="E98" s="29">
        <v>25542454688</v>
      </c>
      <c r="F98" s="29">
        <v>0</v>
      </c>
      <c r="G98" s="29">
        <f t="shared" ref="G98" si="29">H98-SUM(D98:F98)</f>
        <v>2164246369</v>
      </c>
      <c r="H98" s="29">
        <v>682748215055</v>
      </c>
      <c r="I98" s="29">
        <v>0</v>
      </c>
      <c r="J98" s="29">
        <v>78859079033</v>
      </c>
      <c r="K98" s="29">
        <v>0</v>
      </c>
      <c r="L98" s="29">
        <v>0</v>
      </c>
      <c r="M98" s="29">
        <v>0</v>
      </c>
      <c r="N98" s="29">
        <f t="shared" ref="N98" si="30">O98-SUM(I98:M98)</f>
        <v>864907495411</v>
      </c>
      <c r="O98" s="29">
        <v>943766574444</v>
      </c>
      <c r="P98" s="29">
        <f t="shared" si="23"/>
        <v>261018359389</v>
      </c>
      <c r="Q98" s="29">
        <v>11953287</v>
      </c>
      <c r="R98" s="29">
        <v>12747178150</v>
      </c>
      <c r="S98" s="29">
        <v>0</v>
      </c>
      <c r="T98" s="29">
        <f t="shared" si="24"/>
        <v>273753584252</v>
      </c>
      <c r="U98" s="29">
        <v>8686381668</v>
      </c>
      <c r="V98" s="29">
        <v>282439965920</v>
      </c>
      <c r="W98" s="29">
        <v>1211421498</v>
      </c>
    </row>
    <row r="99" spans="1:23">
      <c r="A99" s="14">
        <f>'法人一覧(26)'!A99</f>
        <v>96</v>
      </c>
      <c r="B99" s="2" t="str">
        <f>'法人一覧(26)'!B99</f>
        <v>環境省</v>
      </c>
      <c r="C99" s="2" t="str">
        <f>'法人一覧(26)'!C99</f>
        <v>国立環境研究所</v>
      </c>
      <c r="D99" s="29">
        <v>14621860724</v>
      </c>
      <c r="E99" s="29">
        <v>1218815821</v>
      </c>
      <c r="F99" s="29">
        <v>29613654</v>
      </c>
      <c r="G99" s="29">
        <f t="shared" ref="G99" si="31">H99-SUM(D99:F99)</f>
        <v>957</v>
      </c>
      <c r="H99" s="29">
        <v>15870291156</v>
      </c>
      <c r="I99" s="29">
        <v>11377172386</v>
      </c>
      <c r="J99" s="29">
        <f>194396364+10878002</f>
        <v>205274366</v>
      </c>
      <c r="K99" s="29">
        <v>3557129192</v>
      </c>
      <c r="L99" s="29">
        <f>670561647+2250623</f>
        <v>672812270</v>
      </c>
      <c r="M99" s="29">
        <v>42</v>
      </c>
      <c r="N99" s="29">
        <f t="shared" ref="N99" si="32">O99-SUM(I99:M99)</f>
        <v>167912994</v>
      </c>
      <c r="O99" s="29">
        <v>15980301250</v>
      </c>
      <c r="P99" s="29">
        <f t="shared" ref="P99:P101" si="33">O99-H99</f>
        <v>110010094</v>
      </c>
      <c r="Q99" s="29">
        <v>558847</v>
      </c>
      <c r="R99" s="29">
        <v>549617</v>
      </c>
      <c r="S99" s="29">
        <v>0</v>
      </c>
      <c r="T99" s="29">
        <f t="shared" ref="T99:T101" si="34">P99-Q99+R99-S99</f>
        <v>110000864</v>
      </c>
      <c r="U99" s="29">
        <v>7515209</v>
      </c>
      <c r="V99" s="29">
        <v>117516073</v>
      </c>
      <c r="W99" s="29">
        <f>1435222567+23502990</f>
        <v>1458725557</v>
      </c>
    </row>
    <row r="100" spans="1:23">
      <c r="A100" s="14">
        <f>'法人一覧(26)'!A100</f>
        <v>97</v>
      </c>
      <c r="B100" s="2" t="str">
        <f>'法人一覧(26)'!B100</f>
        <v>環境省</v>
      </c>
      <c r="C100" s="2" t="str">
        <f>'法人一覧(26)'!C100</f>
        <v>環境再生保全機構</v>
      </c>
      <c r="D100" s="29">
        <f>42524452563+889948468+3392413445+843012082+2228375826+323307294+8080379853</f>
        <v>58281889531</v>
      </c>
      <c r="E100" s="29">
        <v>755918250</v>
      </c>
      <c r="F100" s="29">
        <v>130480931</v>
      </c>
      <c r="G100" s="29">
        <f t="shared" ref="G100" si="35">H100-SUM(D100:F100)</f>
        <v>4518798</v>
      </c>
      <c r="H100" s="29">
        <v>59172807510</v>
      </c>
      <c r="I100" s="29">
        <v>1317021097</v>
      </c>
      <c r="J100" s="29">
        <f>2572226752+2143764011+9262229797</f>
        <v>13978220560</v>
      </c>
      <c r="K100" s="29">
        <v>4518798</v>
      </c>
      <c r="L100" s="29">
        <f>11904349+31038435</f>
        <v>42942784</v>
      </c>
      <c r="M100" s="29">
        <v>2079982803</v>
      </c>
      <c r="N100" s="29">
        <f t="shared" ref="N100" si="36">O100-SUM(I100:M100)</f>
        <v>44642726988</v>
      </c>
      <c r="O100" s="29">
        <v>62065413030</v>
      </c>
      <c r="P100" s="29">
        <f t="shared" si="33"/>
        <v>2892605520</v>
      </c>
      <c r="Q100" s="29">
        <v>278879807</v>
      </c>
      <c r="R100" s="29">
        <v>59912266</v>
      </c>
      <c r="S100" s="29">
        <v>0</v>
      </c>
      <c r="T100" s="29">
        <f t="shared" si="34"/>
        <v>2673637979</v>
      </c>
      <c r="U100" s="29">
        <v>7262536</v>
      </c>
      <c r="V100" s="29">
        <v>2680900515</v>
      </c>
      <c r="W100" s="29">
        <f>20580654+34048964</f>
        <v>54629618</v>
      </c>
    </row>
    <row r="101" spans="1:23" ht="13.8" thickBot="1">
      <c r="A101" s="116">
        <f>'法人一覧(26)'!A101</f>
        <v>98</v>
      </c>
      <c r="B101" s="117" t="str">
        <f>'法人一覧(26)'!B101</f>
        <v>防衛省</v>
      </c>
      <c r="C101" s="117" t="str">
        <f>'法人一覧(26)'!C101</f>
        <v>駐留軍等労働者労務管理機構</v>
      </c>
      <c r="D101" s="118">
        <v>2475024268</v>
      </c>
      <c r="E101" s="118">
        <v>557396314</v>
      </c>
      <c r="F101" s="118">
        <v>707796</v>
      </c>
      <c r="G101" s="118">
        <f t="shared" ref="G101" si="37">H101-SUM(D101:F101)</f>
        <v>0</v>
      </c>
      <c r="H101" s="118">
        <v>3033128378</v>
      </c>
      <c r="I101" s="118">
        <v>3146134636</v>
      </c>
      <c r="J101" s="118">
        <v>0</v>
      </c>
      <c r="K101" s="118">
        <v>0</v>
      </c>
      <c r="L101" s="118">
        <v>37656796</v>
      </c>
      <c r="M101" s="118">
        <v>277674</v>
      </c>
      <c r="N101" s="118">
        <f t="shared" ref="N101" si="38">O101-SUM(I101:M101)</f>
        <v>1120341</v>
      </c>
      <c r="O101" s="118">
        <v>3185189447</v>
      </c>
      <c r="P101" s="118">
        <f t="shared" si="33"/>
        <v>152061069</v>
      </c>
      <c r="Q101" s="118">
        <v>3</v>
      </c>
      <c r="R101" s="118">
        <v>0</v>
      </c>
      <c r="S101" s="118">
        <v>0</v>
      </c>
      <c r="T101" s="118">
        <f t="shared" si="34"/>
        <v>152061066</v>
      </c>
      <c r="U101" s="118">
        <v>0</v>
      </c>
      <c r="V101" s="118">
        <v>152061066</v>
      </c>
      <c r="W101" s="29">
        <f>38703519+18618344</f>
        <v>57321863</v>
      </c>
    </row>
    <row r="102" spans="1:23" s="37" customFormat="1" ht="14.4" thickTop="1" thickBot="1">
      <c r="A102" s="167" t="s">
        <v>584</v>
      </c>
      <c r="B102" s="168"/>
      <c r="C102" s="170"/>
      <c r="D102" s="115">
        <f>SUM(D4:D101)</f>
        <v>19870489683695</v>
      </c>
      <c r="E102" s="115">
        <f t="shared" ref="E102:W102" si="39">SUM(E4:E101)</f>
        <v>237231632436</v>
      </c>
      <c r="F102" s="115">
        <f t="shared" si="39"/>
        <v>686302059463</v>
      </c>
      <c r="G102" s="115">
        <f t="shared" si="39"/>
        <v>357652086736</v>
      </c>
      <c r="H102" s="115">
        <f t="shared" si="39"/>
        <v>21151675462330</v>
      </c>
      <c r="I102" s="115">
        <f t="shared" si="39"/>
        <v>1359783887721</v>
      </c>
      <c r="J102" s="115">
        <f t="shared" si="39"/>
        <v>963707584393</v>
      </c>
      <c r="K102" s="115">
        <f t="shared" si="39"/>
        <v>452296489544</v>
      </c>
      <c r="L102" s="115">
        <f t="shared" si="39"/>
        <v>340467638594</v>
      </c>
      <c r="M102" s="115">
        <f t="shared" si="39"/>
        <v>73961095665</v>
      </c>
      <c r="N102" s="115">
        <f t="shared" si="39"/>
        <v>34731669660034</v>
      </c>
      <c r="O102" s="115">
        <f t="shared" si="39"/>
        <v>37921886355951</v>
      </c>
      <c r="P102" s="115">
        <f t="shared" si="39"/>
        <v>16770210893621</v>
      </c>
      <c r="Q102" s="115">
        <f t="shared" si="39"/>
        <v>142830080134</v>
      </c>
      <c r="R102" s="115">
        <f t="shared" si="39"/>
        <v>110576772017</v>
      </c>
      <c r="S102" s="115">
        <f t="shared" si="39"/>
        <v>301458900</v>
      </c>
      <c r="T102" s="115">
        <f t="shared" si="39"/>
        <v>16737656126604</v>
      </c>
      <c r="U102" s="115">
        <f t="shared" si="39"/>
        <v>87100575749</v>
      </c>
      <c r="V102" s="115">
        <f t="shared" si="39"/>
        <v>16824756702353</v>
      </c>
      <c r="W102" s="118">
        <f t="shared" si="39"/>
        <v>1560173240747</v>
      </c>
    </row>
    <row r="103" spans="1:23" ht="13.8" thickTop="1"/>
    <row r="104" spans="1:23">
      <c r="B104" s="178" t="s">
        <v>668</v>
      </c>
      <c r="C104" s="178"/>
      <c r="D104" s="178"/>
      <c r="E104" s="178"/>
      <c r="F104" s="178"/>
      <c r="G104" s="178"/>
      <c r="H104" s="178"/>
      <c r="I104" s="178"/>
      <c r="J104" s="178"/>
      <c r="K104" s="178"/>
      <c r="L104" s="178"/>
      <c r="M104" s="178"/>
      <c r="N104" s="178"/>
    </row>
    <row r="105" spans="1:23">
      <c r="B105" s="178"/>
      <c r="C105" s="178"/>
      <c r="D105" s="178"/>
      <c r="E105" s="178"/>
      <c r="F105" s="178"/>
      <c r="G105" s="178"/>
      <c r="H105" s="178"/>
      <c r="I105" s="178"/>
      <c r="J105" s="178"/>
      <c r="K105" s="178"/>
      <c r="L105" s="178"/>
      <c r="M105" s="178"/>
      <c r="N105" s="178"/>
    </row>
    <row r="106" spans="1:23">
      <c r="B106" s="178"/>
      <c r="C106" s="178"/>
      <c r="D106" s="178"/>
      <c r="E106" s="178"/>
      <c r="F106" s="178"/>
      <c r="G106" s="178"/>
      <c r="H106" s="178"/>
      <c r="I106" s="178"/>
      <c r="J106" s="178"/>
      <c r="K106" s="178"/>
      <c r="L106" s="178"/>
      <c r="M106" s="178"/>
      <c r="N106" s="178"/>
    </row>
  </sheetData>
  <mergeCells count="15">
    <mergeCell ref="B104:N106"/>
    <mergeCell ref="A2:A3"/>
    <mergeCell ref="B2:B3"/>
    <mergeCell ref="C2:C3"/>
    <mergeCell ref="W2:W3"/>
    <mergeCell ref="Q2:Q3"/>
    <mergeCell ref="T2:T3"/>
    <mergeCell ref="V2:V3"/>
    <mergeCell ref="D2:H2"/>
    <mergeCell ref="I2:O2"/>
    <mergeCell ref="P2:P3"/>
    <mergeCell ref="R2:R3"/>
    <mergeCell ref="S2:S3"/>
    <mergeCell ref="U2:U3"/>
    <mergeCell ref="A102:C102"/>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zoomScale="80" zoomScaleNormal="80" workbookViewId="0">
      <pane xSplit="3" ySplit="2" topLeftCell="D87" activePane="bottomRight" state="frozen"/>
      <selection activeCell="B2" sqref="B2:B3"/>
      <selection pane="topRight" activeCell="B2" sqref="B2:B3"/>
      <selection pane="bottomLeft" activeCell="B2" sqref="B2:B3"/>
      <selection pane="bottomRight"/>
    </sheetView>
  </sheetViews>
  <sheetFormatPr defaultColWidth="8.88671875" defaultRowHeight="13.2"/>
  <cols>
    <col min="1" max="1" width="5" style="1" bestFit="1" customWidth="1"/>
    <col min="2" max="2" width="18.88671875" style="1" customWidth="1"/>
    <col min="3" max="3" width="40.21875" style="1" customWidth="1"/>
    <col min="4" max="10" width="16.21875" style="1" customWidth="1"/>
    <col min="11" max="16384" width="8.88671875" style="1"/>
  </cols>
  <sheetData>
    <row r="1" spans="1:10" ht="19.95" customHeight="1">
      <c r="B1" s="144" t="s">
        <v>613</v>
      </c>
      <c r="J1" s="30" t="s">
        <v>204</v>
      </c>
    </row>
    <row r="2" spans="1:10" ht="26.4">
      <c r="A2" s="14" t="s">
        <v>195</v>
      </c>
      <c r="B2" s="3" t="s">
        <v>0</v>
      </c>
      <c r="C2" s="3" t="s">
        <v>1</v>
      </c>
      <c r="D2" s="6" t="s">
        <v>60</v>
      </c>
      <c r="E2" s="6" t="s">
        <v>61</v>
      </c>
      <c r="F2" s="6" t="s">
        <v>62</v>
      </c>
      <c r="G2" s="7" t="s">
        <v>63</v>
      </c>
      <c r="H2" s="7" t="s">
        <v>64</v>
      </c>
      <c r="I2" s="7" t="s">
        <v>65</v>
      </c>
      <c r="J2" s="7" t="s">
        <v>66</v>
      </c>
    </row>
    <row r="3" spans="1:10">
      <c r="A3" s="14">
        <f>'法人一覧(25)'!A4</f>
        <v>1</v>
      </c>
      <c r="B3" s="2" t="str">
        <f>'法人一覧(25)'!B4</f>
        <v>内閣府</v>
      </c>
      <c r="C3" s="2" t="str">
        <f>'法人一覧(25)'!C4</f>
        <v>国立公文書館</v>
      </c>
      <c r="D3" s="29">
        <v>297193681</v>
      </c>
      <c r="E3" s="29">
        <v>-26079936</v>
      </c>
      <c r="F3" s="29">
        <v>-262284104</v>
      </c>
      <c r="G3" s="29">
        <v>0</v>
      </c>
      <c r="H3" s="29">
        <f t="shared" ref="H3:H4" si="0">SUM(D3:G3)</f>
        <v>8829641</v>
      </c>
      <c r="I3" s="29">
        <v>413446084</v>
      </c>
      <c r="J3" s="29">
        <v>422275725</v>
      </c>
    </row>
    <row r="4" spans="1:10">
      <c r="A4" s="14">
        <f>'法人一覧(25)'!A5</f>
        <v>2</v>
      </c>
      <c r="B4" s="2" t="str">
        <f>'法人一覧(25)'!B5</f>
        <v>内閣府</v>
      </c>
      <c r="C4" s="2" t="str">
        <f>'法人一覧(25)'!C5</f>
        <v>北方領土問題対策協会</v>
      </c>
      <c r="D4" s="29">
        <v>-483877452</v>
      </c>
      <c r="E4" s="29">
        <v>-21272610</v>
      </c>
      <c r="F4" s="29">
        <v>137213223</v>
      </c>
      <c r="G4" s="29">
        <v>0</v>
      </c>
      <c r="H4" s="29">
        <f t="shared" si="0"/>
        <v>-367936839</v>
      </c>
      <c r="I4" s="29">
        <v>857715949</v>
      </c>
      <c r="J4" s="29">
        <v>489779110</v>
      </c>
    </row>
    <row r="5" spans="1:10">
      <c r="A5" s="14">
        <f>'法人一覧(25)'!A6</f>
        <v>3</v>
      </c>
      <c r="B5" s="2" t="str">
        <f>'法人一覧(25)'!B6</f>
        <v>消費者庁</v>
      </c>
      <c r="C5" s="2" t="str">
        <f>'法人一覧(25)'!C6</f>
        <v>国民生活センター</v>
      </c>
      <c r="D5" s="29">
        <v>-174269542</v>
      </c>
      <c r="E5" s="29">
        <v>1451044300</v>
      </c>
      <c r="F5" s="29">
        <v>-419434030</v>
      </c>
      <c r="G5" s="29">
        <v>0</v>
      </c>
      <c r="H5" s="29">
        <f t="shared" ref="H5:H9" si="1">SUM(D5:G5)</f>
        <v>857340728</v>
      </c>
      <c r="I5" s="29">
        <v>1023848130</v>
      </c>
      <c r="J5" s="29">
        <v>1881188858</v>
      </c>
    </row>
    <row r="6" spans="1:10">
      <c r="A6" s="14">
        <f>'法人一覧(25)'!A7</f>
        <v>4</v>
      </c>
      <c r="B6" s="2" t="str">
        <f>'法人一覧(25)'!B7</f>
        <v>総務省</v>
      </c>
      <c r="C6" s="2" t="str">
        <f>'法人一覧(25)'!C7</f>
        <v>情報通信研究機構</v>
      </c>
      <c r="D6" s="52">
        <v>4524301488</v>
      </c>
      <c r="E6" s="52">
        <v>-7637780784</v>
      </c>
      <c r="F6" s="52">
        <v>-113593804</v>
      </c>
      <c r="G6" s="52">
        <v>78001</v>
      </c>
      <c r="H6" s="52">
        <f t="shared" ref="H6:H8" si="2">SUM(D6:G6)</f>
        <v>-3226995099</v>
      </c>
      <c r="I6" s="52">
        <f>17689471461-3855332870</f>
        <v>13834138591</v>
      </c>
      <c r="J6" s="52">
        <v>10607143492</v>
      </c>
    </row>
    <row r="7" spans="1:10">
      <c r="A7" s="14">
        <f>'法人一覧(25)'!A8</f>
        <v>5</v>
      </c>
      <c r="B7" s="2" t="str">
        <f>'法人一覧(25)'!B8</f>
        <v>総務省</v>
      </c>
      <c r="C7" s="2" t="str">
        <f>'法人一覧(25)'!C8</f>
        <v>統計センター</v>
      </c>
      <c r="D7" s="52">
        <v>-2349981668</v>
      </c>
      <c r="E7" s="52">
        <v>-410081103</v>
      </c>
      <c r="F7" s="52">
        <v>-465975573</v>
      </c>
      <c r="G7" s="52">
        <v>0</v>
      </c>
      <c r="H7" s="52">
        <f t="shared" si="2"/>
        <v>-3226038344</v>
      </c>
      <c r="I7" s="52">
        <v>4762723264</v>
      </c>
      <c r="J7" s="52">
        <v>1536684920</v>
      </c>
    </row>
    <row r="8" spans="1:10">
      <c r="A8" s="14">
        <f>'法人一覧(25)'!A9</f>
        <v>6</v>
      </c>
      <c r="B8" s="2" t="str">
        <f>'法人一覧(25)'!B9</f>
        <v>総務省</v>
      </c>
      <c r="C8" s="2" t="str">
        <f>'法人一覧(25)'!C9</f>
        <v>郵便貯金・簡易生命保険管理機構</v>
      </c>
      <c r="D8" s="52">
        <v>7506602890</v>
      </c>
      <c r="E8" s="52">
        <v>-7588144520</v>
      </c>
      <c r="F8" s="52">
        <v>0</v>
      </c>
      <c r="G8" s="52">
        <v>0</v>
      </c>
      <c r="H8" s="52">
        <f t="shared" si="2"/>
        <v>-81541630</v>
      </c>
      <c r="I8" s="52">
        <v>881692262</v>
      </c>
      <c r="J8" s="52">
        <v>800150632</v>
      </c>
    </row>
    <row r="9" spans="1:10">
      <c r="A9" s="14">
        <f>'法人一覧(25)'!A10</f>
        <v>7</v>
      </c>
      <c r="B9" s="2" t="str">
        <f>'法人一覧(25)'!B10</f>
        <v>外務省</v>
      </c>
      <c r="C9" s="2" t="str">
        <f>'法人一覧(25)'!C10</f>
        <v>国際協力機構</v>
      </c>
      <c r="D9" s="29">
        <v>-21408751548</v>
      </c>
      <c r="E9" s="29">
        <v>-29684399542</v>
      </c>
      <c r="F9" s="29">
        <v>50003198899</v>
      </c>
      <c r="G9" s="29">
        <v>-9252599</v>
      </c>
      <c r="H9" s="29">
        <f t="shared" si="1"/>
        <v>-1099204790</v>
      </c>
      <c r="I9" s="29">
        <v>102169972096</v>
      </c>
      <c r="J9" s="29">
        <v>101070767306</v>
      </c>
    </row>
    <row r="10" spans="1:10">
      <c r="A10" s="14">
        <f>'法人一覧(25)'!A11</f>
        <v>8</v>
      </c>
      <c r="B10" s="2" t="str">
        <f>'法人一覧(25)'!B11</f>
        <v>外務省</v>
      </c>
      <c r="C10" s="2" t="str">
        <f>'法人一覧(25)'!C11</f>
        <v>国際交流基金</v>
      </c>
      <c r="D10" s="29">
        <v>20907168467</v>
      </c>
      <c r="E10" s="29">
        <v>-20329781539</v>
      </c>
      <c r="F10" s="29">
        <v>-62102401</v>
      </c>
      <c r="G10" s="29">
        <v>-1063068</v>
      </c>
      <c r="H10" s="29">
        <f>SUM(D10:G10)</f>
        <v>514221459</v>
      </c>
      <c r="I10" s="29">
        <v>5191283135</v>
      </c>
      <c r="J10" s="29">
        <v>5705504594</v>
      </c>
    </row>
    <row r="11" spans="1:10">
      <c r="A11" s="14">
        <f>'法人一覧(25)'!A12</f>
        <v>9</v>
      </c>
      <c r="B11" s="2" t="str">
        <f>'法人一覧(25)'!B12</f>
        <v>財務省</v>
      </c>
      <c r="C11" s="2" t="str">
        <f>'法人一覧(25)'!C12</f>
        <v>酒類総合研究所</v>
      </c>
      <c r="D11" s="29">
        <v>169325685</v>
      </c>
      <c r="E11" s="29">
        <v>-131731920</v>
      </c>
      <c r="F11" s="29">
        <v>0</v>
      </c>
      <c r="G11" s="29">
        <v>0</v>
      </c>
      <c r="H11" s="29">
        <f t="shared" ref="H11:H14" si="3">SUM(D11:G11)</f>
        <v>37593765</v>
      </c>
      <c r="I11" s="29">
        <v>309063280</v>
      </c>
      <c r="J11" s="29">
        <v>346657045</v>
      </c>
    </row>
    <row r="12" spans="1:10">
      <c r="A12" s="14">
        <f>'法人一覧(25)'!A13</f>
        <v>10</v>
      </c>
      <c r="B12" s="2" t="str">
        <f>'法人一覧(25)'!B13</f>
        <v>財務省</v>
      </c>
      <c r="C12" s="2" t="str">
        <f>'法人一覧(25)'!C13</f>
        <v>造幣局</v>
      </c>
      <c r="D12" s="29">
        <v>-922000419</v>
      </c>
      <c r="E12" s="29">
        <v>1002884260</v>
      </c>
      <c r="F12" s="29">
        <v>0</v>
      </c>
      <c r="G12" s="29">
        <v>0</v>
      </c>
      <c r="H12" s="29">
        <f t="shared" si="3"/>
        <v>80883841</v>
      </c>
      <c r="I12" s="29">
        <v>1520174535</v>
      </c>
      <c r="J12" s="29">
        <v>1601058376</v>
      </c>
    </row>
    <row r="13" spans="1:10">
      <c r="A13" s="14">
        <f>'法人一覧(25)'!A14</f>
        <v>11</v>
      </c>
      <c r="B13" s="2" t="str">
        <f>'法人一覧(25)'!B14</f>
        <v>財務省</v>
      </c>
      <c r="C13" s="2" t="str">
        <f>'法人一覧(25)'!C14</f>
        <v>国立印刷局</v>
      </c>
      <c r="D13" s="29">
        <v>625657315</v>
      </c>
      <c r="E13" s="29">
        <v>704044679</v>
      </c>
      <c r="F13" s="29">
        <v>-1508469897</v>
      </c>
      <c r="G13" s="29">
        <v>0</v>
      </c>
      <c r="H13" s="29">
        <f t="shared" si="3"/>
        <v>-178767903</v>
      </c>
      <c r="I13" s="29">
        <v>809913681</v>
      </c>
      <c r="J13" s="29">
        <v>631145778</v>
      </c>
    </row>
    <row r="14" spans="1:10">
      <c r="A14" s="14">
        <f>'法人一覧(25)'!A15</f>
        <v>12</v>
      </c>
      <c r="B14" s="2" t="str">
        <f>'法人一覧(25)'!B15</f>
        <v>財務省</v>
      </c>
      <c r="C14" s="2" t="str">
        <f>'法人一覧(25)'!C15</f>
        <v>日本万国博覧会記念機構</v>
      </c>
      <c r="D14" s="52">
        <v>-198125415</v>
      </c>
      <c r="E14" s="52">
        <v>10663352227</v>
      </c>
      <c r="F14" s="52">
        <v>0</v>
      </c>
      <c r="G14" s="52">
        <v>0</v>
      </c>
      <c r="H14" s="52">
        <f t="shared" si="3"/>
        <v>10465226812</v>
      </c>
      <c r="I14" s="52">
        <v>990160337</v>
      </c>
      <c r="J14" s="52">
        <v>11455387149</v>
      </c>
    </row>
    <row r="15" spans="1:10">
      <c r="A15" s="14">
        <f>'法人一覧(25)'!A16</f>
        <v>13</v>
      </c>
      <c r="B15" s="2" t="str">
        <f>'法人一覧(25)'!B16</f>
        <v>文部科学省</v>
      </c>
      <c r="C15" s="2" t="str">
        <f>'法人一覧(25)'!C16</f>
        <v>国立特別支援教育総合研究所</v>
      </c>
      <c r="D15" s="52">
        <v>-35141149</v>
      </c>
      <c r="E15" s="52">
        <v>-17856350</v>
      </c>
      <c r="F15" s="52">
        <v>-30163624</v>
      </c>
      <c r="G15" s="52">
        <v>0</v>
      </c>
      <c r="H15" s="52">
        <f t="shared" ref="H15:H56" si="4">SUM(D15:G15)</f>
        <v>-83161123</v>
      </c>
      <c r="I15" s="52">
        <v>232531556</v>
      </c>
      <c r="J15" s="52">
        <v>149370433</v>
      </c>
    </row>
    <row r="16" spans="1:10">
      <c r="A16" s="14">
        <f>'法人一覧(25)'!A17</f>
        <v>14</v>
      </c>
      <c r="B16" s="2" t="str">
        <f>'法人一覧(25)'!B17</f>
        <v>文部科学省</v>
      </c>
      <c r="C16" s="2" t="str">
        <f>'法人一覧(25)'!C17</f>
        <v>大学入試センター</v>
      </c>
      <c r="D16" s="52">
        <v>25482768</v>
      </c>
      <c r="E16" s="52">
        <v>-455002188</v>
      </c>
      <c r="F16" s="52">
        <v>0</v>
      </c>
      <c r="G16" s="52">
        <v>0</v>
      </c>
      <c r="H16" s="52">
        <f t="shared" si="4"/>
        <v>-429519420</v>
      </c>
      <c r="I16" s="52">
        <v>964822360</v>
      </c>
      <c r="J16" s="52">
        <v>535302940</v>
      </c>
    </row>
    <row r="17" spans="1:10">
      <c r="A17" s="14">
        <f>'法人一覧(25)'!A18</f>
        <v>15</v>
      </c>
      <c r="B17" s="2" t="str">
        <f>'法人一覧(25)'!B18</f>
        <v>文部科学省</v>
      </c>
      <c r="C17" s="2" t="str">
        <f>'法人一覧(25)'!C18</f>
        <v>国立青少年教育振興機構</v>
      </c>
      <c r="D17" s="52">
        <v>254038328</v>
      </c>
      <c r="E17" s="52">
        <v>52367324</v>
      </c>
      <c r="F17" s="52">
        <v>-125020907</v>
      </c>
      <c r="G17" s="52">
        <v>0</v>
      </c>
      <c r="H17" s="52">
        <f t="shared" si="4"/>
        <v>181384745</v>
      </c>
      <c r="I17" s="52">
        <v>2507806298</v>
      </c>
      <c r="J17" s="52">
        <v>2689191043</v>
      </c>
    </row>
    <row r="18" spans="1:10">
      <c r="A18" s="14">
        <f>'法人一覧(25)'!A19</f>
        <v>16</v>
      </c>
      <c r="B18" s="2" t="str">
        <f>'法人一覧(25)'!B19</f>
        <v>文部科学省</v>
      </c>
      <c r="C18" s="2" t="str">
        <f>'法人一覧(25)'!C19</f>
        <v>国立女性教育会館</v>
      </c>
      <c r="D18" s="52">
        <v>59868229</v>
      </c>
      <c r="E18" s="52">
        <v>0</v>
      </c>
      <c r="F18" s="52">
        <v>0</v>
      </c>
      <c r="G18" s="52">
        <v>0</v>
      </c>
      <c r="H18" s="52">
        <f t="shared" si="4"/>
        <v>59868229</v>
      </c>
      <c r="I18" s="52">
        <v>145014487</v>
      </c>
      <c r="J18" s="52">
        <v>204882716</v>
      </c>
    </row>
    <row r="19" spans="1:10">
      <c r="A19" s="14">
        <f>'法人一覧(25)'!A20</f>
        <v>17</v>
      </c>
      <c r="B19" s="2" t="str">
        <f>'法人一覧(25)'!B20</f>
        <v>文部科学省</v>
      </c>
      <c r="C19" s="2" t="str">
        <f>'法人一覧(25)'!C20</f>
        <v>国立科学博物館</v>
      </c>
      <c r="D19" s="52">
        <v>315283631</v>
      </c>
      <c r="E19" s="52">
        <v>-504296153</v>
      </c>
      <c r="F19" s="52">
        <v>-1458708051</v>
      </c>
      <c r="G19" s="52">
        <v>0</v>
      </c>
      <c r="H19" s="52">
        <f t="shared" si="4"/>
        <v>-1647720573</v>
      </c>
      <c r="I19" s="52">
        <v>2632205689</v>
      </c>
      <c r="J19" s="52">
        <v>984485116</v>
      </c>
    </row>
    <row r="20" spans="1:10">
      <c r="A20" s="14">
        <f>'法人一覧(25)'!A21</f>
        <v>18</v>
      </c>
      <c r="B20" s="2" t="str">
        <f>'法人一覧(25)'!B21</f>
        <v>文部科学省</v>
      </c>
      <c r="C20" s="2" t="str">
        <f>'法人一覧(25)'!C21</f>
        <v>物質・材料研究機構</v>
      </c>
      <c r="D20" s="52">
        <v>5515730923</v>
      </c>
      <c r="E20" s="52">
        <v>-1023853875</v>
      </c>
      <c r="F20" s="52">
        <v>-509717388</v>
      </c>
      <c r="G20" s="52">
        <v>0</v>
      </c>
      <c r="H20" s="52">
        <f t="shared" si="4"/>
        <v>3982159660</v>
      </c>
      <c r="I20" s="52">
        <v>4413430644</v>
      </c>
      <c r="J20" s="52">
        <v>8395590304</v>
      </c>
    </row>
    <row r="21" spans="1:10">
      <c r="A21" s="14">
        <f>'法人一覧(25)'!A22</f>
        <v>19</v>
      </c>
      <c r="B21" s="2" t="str">
        <f>'法人一覧(25)'!B22</f>
        <v>文部科学省</v>
      </c>
      <c r="C21" s="2" t="str">
        <f>'法人一覧(25)'!C22</f>
        <v>防災科学技術研究所</v>
      </c>
      <c r="D21" s="52">
        <v>13827482954</v>
      </c>
      <c r="E21" s="52">
        <v>-21061826181</v>
      </c>
      <c r="F21" s="52">
        <v>-220027613</v>
      </c>
      <c r="G21" s="52">
        <v>0</v>
      </c>
      <c r="H21" s="52">
        <f t="shared" si="4"/>
        <v>-7454370840</v>
      </c>
      <c r="I21" s="52">
        <v>15085202337</v>
      </c>
      <c r="J21" s="52">
        <v>7630831497</v>
      </c>
    </row>
    <row r="22" spans="1:10">
      <c r="A22" s="14">
        <f>'法人一覧(25)'!A23</f>
        <v>20</v>
      </c>
      <c r="B22" s="2" t="str">
        <f>'法人一覧(25)'!B23</f>
        <v>文部科学省</v>
      </c>
      <c r="C22" s="2" t="str">
        <f>'法人一覧(25)'!C23</f>
        <v>放射線医学総合研究所</v>
      </c>
      <c r="D22" s="52">
        <v>1759117112</v>
      </c>
      <c r="E22" s="52">
        <v>-1211353910</v>
      </c>
      <c r="F22" s="52">
        <v>-496957683</v>
      </c>
      <c r="G22" s="52">
        <v>0</v>
      </c>
      <c r="H22" s="52">
        <f t="shared" si="4"/>
        <v>50805519</v>
      </c>
      <c r="I22" s="52">
        <v>6552501268</v>
      </c>
      <c r="J22" s="52">
        <v>6603306787</v>
      </c>
    </row>
    <row r="23" spans="1:10">
      <c r="A23" s="14">
        <f>'法人一覧(25)'!A24</f>
        <v>21</v>
      </c>
      <c r="B23" s="2" t="str">
        <f>'法人一覧(25)'!B24</f>
        <v>文部科学省</v>
      </c>
      <c r="C23" s="2" t="str">
        <f>'法人一覧(25)'!C24</f>
        <v>国立美術館</v>
      </c>
      <c r="D23" s="52">
        <v>476902718</v>
      </c>
      <c r="E23" s="52">
        <v>-139532476</v>
      </c>
      <c r="F23" s="52">
        <v>0</v>
      </c>
      <c r="G23" s="52">
        <v>0</v>
      </c>
      <c r="H23" s="52">
        <f t="shared" si="4"/>
        <v>337370242</v>
      </c>
      <c r="I23" s="52">
        <v>1617168917</v>
      </c>
      <c r="J23" s="52">
        <v>1954539159</v>
      </c>
    </row>
    <row r="24" spans="1:10">
      <c r="A24" s="14">
        <f>'法人一覧(25)'!A25</f>
        <v>22</v>
      </c>
      <c r="B24" s="2" t="str">
        <f>'法人一覧(25)'!B25</f>
        <v>文部科学省</v>
      </c>
      <c r="C24" s="2" t="str">
        <f>'法人一覧(25)'!C25</f>
        <v>国立文化財機構</v>
      </c>
      <c r="D24" s="52">
        <v>2055659920</v>
      </c>
      <c r="E24" s="52">
        <v>-5309966700</v>
      </c>
      <c r="F24" s="52">
        <v>-14421379</v>
      </c>
      <c r="G24" s="52">
        <v>0</v>
      </c>
      <c r="H24" s="52">
        <f t="shared" si="4"/>
        <v>-3268728159</v>
      </c>
      <c r="I24" s="52">
        <v>8462148198</v>
      </c>
      <c r="J24" s="52">
        <v>5193420039</v>
      </c>
    </row>
    <row r="25" spans="1:10">
      <c r="A25" s="14">
        <f>'法人一覧(25)'!A26</f>
        <v>23</v>
      </c>
      <c r="B25" s="2" t="str">
        <f>'法人一覧(25)'!B26</f>
        <v>文部科学省</v>
      </c>
      <c r="C25" s="2" t="str">
        <f>'法人一覧(25)'!C26</f>
        <v>教員研修センター</v>
      </c>
      <c r="D25" s="52">
        <v>168925057</v>
      </c>
      <c r="E25" s="52">
        <v>-5647220</v>
      </c>
      <c r="F25" s="52">
        <v>-9141300</v>
      </c>
      <c r="G25" s="52">
        <v>0</v>
      </c>
      <c r="H25" s="52">
        <f t="shared" si="4"/>
        <v>154136537</v>
      </c>
      <c r="I25" s="52">
        <v>184966353</v>
      </c>
      <c r="J25" s="52">
        <v>339102890</v>
      </c>
    </row>
    <row r="26" spans="1:10">
      <c r="A26" s="14">
        <f>'法人一覧(25)'!A27</f>
        <v>24</v>
      </c>
      <c r="B26" s="2" t="str">
        <f>'法人一覧(25)'!B27</f>
        <v>文部科学省</v>
      </c>
      <c r="C26" s="2" t="str">
        <f>'法人一覧(25)'!C27</f>
        <v>科学技術振興機構</v>
      </c>
      <c r="D26" s="52">
        <v>75746344952</v>
      </c>
      <c r="E26" s="52">
        <v>-48528521157</v>
      </c>
      <c r="F26" s="52">
        <v>-22522122674</v>
      </c>
      <c r="G26" s="52">
        <v>0</v>
      </c>
      <c r="H26" s="52">
        <f t="shared" si="4"/>
        <v>4695701121</v>
      </c>
      <c r="I26" s="52">
        <v>19876097204</v>
      </c>
      <c r="J26" s="52">
        <v>24571798325</v>
      </c>
    </row>
    <row r="27" spans="1:10">
      <c r="A27" s="14">
        <f>'法人一覧(25)'!A28</f>
        <v>25</v>
      </c>
      <c r="B27" s="2" t="str">
        <f>'法人一覧(25)'!B28</f>
        <v>文部科学省</v>
      </c>
      <c r="C27" s="2" t="str">
        <f>'法人一覧(25)'!C28</f>
        <v>日本学術振興会</v>
      </c>
      <c r="D27" s="52">
        <v>-23820043755</v>
      </c>
      <c r="E27" s="52">
        <v>7748473568</v>
      </c>
      <c r="F27" s="52">
        <v>-390411260</v>
      </c>
      <c r="G27" s="52">
        <v>-360748</v>
      </c>
      <c r="H27" s="52">
        <f t="shared" si="4"/>
        <v>-16462342195</v>
      </c>
      <c r="I27" s="52">
        <v>77429937050</v>
      </c>
      <c r="J27" s="52">
        <v>60967594855</v>
      </c>
    </row>
    <row r="28" spans="1:10">
      <c r="A28" s="14">
        <f>'法人一覧(25)'!A29</f>
        <v>26</v>
      </c>
      <c r="B28" s="2" t="str">
        <f>'法人一覧(25)'!B29</f>
        <v>文部科学省</v>
      </c>
      <c r="C28" s="2" t="str">
        <f>'法人一覧(25)'!C29</f>
        <v>理化学研究所</v>
      </c>
      <c r="D28" s="52">
        <v>16899558004</v>
      </c>
      <c r="E28" s="52">
        <v>2510755630</v>
      </c>
      <c r="F28" s="52">
        <v>-966867454</v>
      </c>
      <c r="G28" s="52">
        <v>0</v>
      </c>
      <c r="H28" s="52">
        <f t="shared" si="4"/>
        <v>18443446180</v>
      </c>
      <c r="I28" s="52">
        <v>11910467706</v>
      </c>
      <c r="J28" s="52">
        <v>30353913886</v>
      </c>
    </row>
    <row r="29" spans="1:10">
      <c r="A29" s="14">
        <f>'法人一覧(25)'!A30</f>
        <v>27</v>
      </c>
      <c r="B29" s="2" t="str">
        <f>'法人一覧(25)'!B30</f>
        <v>文部科学省</v>
      </c>
      <c r="C29" s="2" t="str">
        <f>'法人一覧(25)'!C30</f>
        <v>宇宙航空研究開発機構</v>
      </c>
      <c r="D29" s="52">
        <v>41555691099</v>
      </c>
      <c r="E29" s="52">
        <v>-46738161323</v>
      </c>
      <c r="F29" s="52">
        <v>-2137657423</v>
      </c>
      <c r="G29" s="52">
        <v>-5809525</v>
      </c>
      <c r="H29" s="52">
        <f t="shared" si="4"/>
        <v>-7325937172</v>
      </c>
      <c r="I29" s="52">
        <v>59748285173</v>
      </c>
      <c r="J29" s="52">
        <v>52422348001</v>
      </c>
    </row>
    <row r="30" spans="1:10">
      <c r="A30" s="14">
        <f>'法人一覧(25)'!A31</f>
        <v>28</v>
      </c>
      <c r="B30" s="2" t="str">
        <f>'法人一覧(25)'!B31</f>
        <v>文部科学省</v>
      </c>
      <c r="C30" s="2" t="str">
        <f>'法人一覧(25)'!C31</f>
        <v>日本スポーツ振興センター</v>
      </c>
      <c r="D30" s="52">
        <v>33354124880</v>
      </c>
      <c r="E30" s="52">
        <v>-7767020532</v>
      </c>
      <c r="F30" s="52">
        <v>-594752874</v>
      </c>
      <c r="G30" s="52">
        <v>-2336739</v>
      </c>
      <c r="H30" s="52">
        <f t="shared" si="4"/>
        <v>24990014735</v>
      </c>
      <c r="I30" s="52">
        <v>17347640284</v>
      </c>
      <c r="J30" s="52">
        <v>42337655019</v>
      </c>
    </row>
    <row r="31" spans="1:10">
      <c r="A31" s="14">
        <f>'法人一覧(25)'!A32</f>
        <v>29</v>
      </c>
      <c r="B31" s="2" t="str">
        <f>'法人一覧(25)'!B32</f>
        <v>文部科学省</v>
      </c>
      <c r="C31" s="2" t="str">
        <f>'法人一覧(25)'!C32</f>
        <v>日本芸術文化振興会</v>
      </c>
      <c r="D31" s="52">
        <v>691484587</v>
      </c>
      <c r="E31" s="52">
        <v>122306661</v>
      </c>
      <c r="F31" s="52">
        <v>-310714217</v>
      </c>
      <c r="G31" s="52">
        <v>0</v>
      </c>
      <c r="H31" s="52">
        <f t="shared" si="4"/>
        <v>503077031</v>
      </c>
      <c r="I31" s="52">
        <v>5143376547</v>
      </c>
      <c r="J31" s="52">
        <v>5646453578</v>
      </c>
    </row>
    <row r="32" spans="1:10">
      <c r="A32" s="14">
        <f>'法人一覧(25)'!A33</f>
        <v>30</v>
      </c>
      <c r="B32" s="2" t="str">
        <f>'法人一覧(25)'!B33</f>
        <v>文部科学省</v>
      </c>
      <c r="C32" s="2" t="str">
        <f>'法人一覧(25)'!C33</f>
        <v>日本学生支援機構</v>
      </c>
      <c r="D32" s="52">
        <v>15308910819</v>
      </c>
      <c r="E32" s="52">
        <v>3340798943</v>
      </c>
      <c r="F32" s="52">
        <v>-524054019</v>
      </c>
      <c r="G32" s="52">
        <v>0</v>
      </c>
      <c r="H32" s="52">
        <f t="shared" si="4"/>
        <v>18125655743</v>
      </c>
      <c r="I32" s="52">
        <v>108801142158</v>
      </c>
      <c r="J32" s="52">
        <v>126926797901</v>
      </c>
    </row>
    <row r="33" spans="1:10">
      <c r="A33" s="14">
        <f>'法人一覧(25)'!A34</f>
        <v>31</v>
      </c>
      <c r="B33" s="2" t="str">
        <f>'法人一覧(25)'!B34</f>
        <v>文部科学省</v>
      </c>
      <c r="C33" s="2" t="str">
        <f>'法人一覧(25)'!C34</f>
        <v>海洋研究開発機構</v>
      </c>
      <c r="D33" s="52">
        <v>11852702427</v>
      </c>
      <c r="E33" s="52">
        <v>-9156768833</v>
      </c>
      <c r="F33" s="52">
        <v>-2685527147</v>
      </c>
      <c r="G33" s="52">
        <v>-1254</v>
      </c>
      <c r="H33" s="52">
        <f t="shared" si="4"/>
        <v>10405193</v>
      </c>
      <c r="I33" s="52">
        <v>7598190904</v>
      </c>
      <c r="J33" s="52">
        <v>7608596097</v>
      </c>
    </row>
    <row r="34" spans="1:10">
      <c r="A34" s="14">
        <f>'法人一覧(25)'!A35</f>
        <v>32</v>
      </c>
      <c r="B34" s="2" t="str">
        <f>'法人一覧(25)'!B35</f>
        <v>文部科学省</v>
      </c>
      <c r="C34" s="2" t="str">
        <f>'法人一覧(25)'!C35</f>
        <v>国立高等専門学校機構</v>
      </c>
      <c r="D34" s="52">
        <v>5525596252</v>
      </c>
      <c r="E34" s="52">
        <v>1592142643</v>
      </c>
      <c r="F34" s="52">
        <v>-588705182</v>
      </c>
      <c r="G34" s="52">
        <v>0</v>
      </c>
      <c r="H34" s="52">
        <f t="shared" si="4"/>
        <v>6529033713</v>
      </c>
      <c r="I34" s="52">
        <v>12246307395</v>
      </c>
      <c r="J34" s="52">
        <v>18775341108</v>
      </c>
    </row>
    <row r="35" spans="1:10">
      <c r="A35" s="14">
        <f>'法人一覧(25)'!A36</f>
        <v>33</v>
      </c>
      <c r="B35" s="2" t="str">
        <f>'法人一覧(25)'!B36</f>
        <v>文部科学省</v>
      </c>
      <c r="C35" s="2" t="str">
        <f>'法人一覧(25)'!C36</f>
        <v>大学評価・学位授与機構</v>
      </c>
      <c r="D35" s="52">
        <v>61618654</v>
      </c>
      <c r="E35" s="52">
        <v>-121245172</v>
      </c>
      <c r="F35" s="52">
        <v>-17139759</v>
      </c>
      <c r="G35" s="52">
        <v>0</v>
      </c>
      <c r="H35" s="52">
        <f t="shared" si="4"/>
        <v>-76766277</v>
      </c>
      <c r="I35" s="52">
        <v>629223886</v>
      </c>
      <c r="J35" s="52">
        <v>552457609</v>
      </c>
    </row>
    <row r="36" spans="1:10">
      <c r="A36" s="14">
        <f>'法人一覧(25)'!A37</f>
        <v>34</v>
      </c>
      <c r="B36" s="2" t="str">
        <f>'法人一覧(25)'!B37</f>
        <v>文部科学省</v>
      </c>
      <c r="C36" s="2" t="str">
        <f>'法人一覧(25)'!C37</f>
        <v>国立大学財務・経営センター</v>
      </c>
      <c r="D36" s="52">
        <v>22316225815</v>
      </c>
      <c r="E36" s="52">
        <v>-4989866617</v>
      </c>
      <c r="F36" s="52">
        <v>-16028515985</v>
      </c>
      <c r="G36" s="52">
        <v>0</v>
      </c>
      <c r="H36" s="52">
        <f t="shared" si="4"/>
        <v>1297843213</v>
      </c>
      <c r="I36" s="52">
        <v>2997451260</v>
      </c>
      <c r="J36" s="52">
        <v>4295294473</v>
      </c>
    </row>
    <row r="37" spans="1:10">
      <c r="A37" s="14">
        <f>'法人一覧(25)'!A38</f>
        <v>35</v>
      </c>
      <c r="B37" s="2" t="str">
        <f>'法人一覧(25)'!B38</f>
        <v>文部科学省</v>
      </c>
      <c r="C37" s="2" t="str">
        <f>'法人一覧(25)'!C38</f>
        <v>日本原子力研究開発機構</v>
      </c>
      <c r="D37" s="52">
        <v>36376389859</v>
      </c>
      <c r="E37" s="52">
        <v>-30155962998</v>
      </c>
      <c r="F37" s="52">
        <v>-2365070810</v>
      </c>
      <c r="G37" s="52">
        <v>0</v>
      </c>
      <c r="H37" s="52">
        <f t="shared" si="4"/>
        <v>3855356051</v>
      </c>
      <c r="I37" s="52">
        <v>148630033233</v>
      </c>
      <c r="J37" s="52">
        <v>152485389284</v>
      </c>
    </row>
    <row r="38" spans="1:10">
      <c r="A38" s="14">
        <f>'法人一覧(25)'!A39</f>
        <v>36</v>
      </c>
      <c r="B38" s="2" t="str">
        <f>'法人一覧(25)'!B39</f>
        <v>厚生労働省</v>
      </c>
      <c r="C38" s="2" t="str">
        <f>'法人一覧(25)'!C39</f>
        <v>国立健康・栄養研究所</v>
      </c>
      <c r="D38" s="52">
        <v>77474646</v>
      </c>
      <c r="E38" s="52">
        <v>-7197750</v>
      </c>
      <c r="F38" s="52">
        <v>0</v>
      </c>
      <c r="G38" s="52">
        <v>0</v>
      </c>
      <c r="H38" s="52">
        <f t="shared" si="4"/>
        <v>70276896</v>
      </c>
      <c r="I38" s="52">
        <v>100075977</v>
      </c>
      <c r="J38" s="52">
        <v>170352873</v>
      </c>
    </row>
    <row r="39" spans="1:10">
      <c r="A39" s="14">
        <f>'法人一覧(25)'!A40</f>
        <v>37</v>
      </c>
      <c r="B39" s="2" t="str">
        <f>'法人一覧(25)'!B40</f>
        <v>厚生労働省</v>
      </c>
      <c r="C39" s="2" t="str">
        <f>'法人一覧(25)'!C40</f>
        <v>労働安全衛生総合研究所</v>
      </c>
      <c r="D39" s="52">
        <v>364091384</v>
      </c>
      <c r="E39" s="52">
        <v>23739786</v>
      </c>
      <c r="F39" s="52">
        <v>-141452863</v>
      </c>
      <c r="G39" s="52">
        <v>0</v>
      </c>
      <c r="H39" s="52">
        <f t="shared" si="4"/>
        <v>246378307</v>
      </c>
      <c r="I39" s="52">
        <v>597120943</v>
      </c>
      <c r="J39" s="52">
        <v>843499250</v>
      </c>
    </row>
    <row r="40" spans="1:10">
      <c r="A40" s="14">
        <f>'法人一覧(25)'!A41</f>
        <v>38</v>
      </c>
      <c r="B40" s="2" t="str">
        <f>'法人一覧(25)'!B41</f>
        <v>厚生労働省</v>
      </c>
      <c r="C40" s="2" t="str">
        <f>'法人一覧(25)'!C41</f>
        <v>勤労者退職金共済機構</v>
      </c>
      <c r="D40" s="52">
        <v>100422081611</v>
      </c>
      <c r="E40" s="52">
        <v>-41908801561</v>
      </c>
      <c r="F40" s="52">
        <v>-61080844430</v>
      </c>
      <c r="G40" s="52">
        <v>0</v>
      </c>
      <c r="H40" s="52">
        <f t="shared" si="4"/>
        <v>-2567564380</v>
      </c>
      <c r="I40" s="52">
        <v>43406321182</v>
      </c>
      <c r="J40" s="52">
        <v>40838756802</v>
      </c>
    </row>
    <row r="41" spans="1:10">
      <c r="A41" s="14">
        <f>'法人一覧(25)'!A42</f>
        <v>39</v>
      </c>
      <c r="B41" s="2" t="str">
        <f>'法人一覧(25)'!B42</f>
        <v>厚生労働省</v>
      </c>
      <c r="C41" s="2" t="str">
        <f>'法人一覧(25)'!C42</f>
        <v>高齢・障害・求職者雇用支援機構</v>
      </c>
      <c r="D41" s="52">
        <v>-8550533194</v>
      </c>
      <c r="E41" s="52">
        <v>1600678744</v>
      </c>
      <c r="F41" s="52">
        <v>-3569595435</v>
      </c>
      <c r="G41" s="52">
        <v>0</v>
      </c>
      <c r="H41" s="52">
        <f t="shared" si="4"/>
        <v>-10519449885</v>
      </c>
      <c r="I41" s="52">
        <v>42966184048</v>
      </c>
      <c r="J41" s="52">
        <v>32446734163</v>
      </c>
    </row>
    <row r="42" spans="1:10">
      <c r="A42" s="14">
        <f>'法人一覧(25)'!A43</f>
        <v>40</v>
      </c>
      <c r="B42" s="2" t="str">
        <f>'法人一覧(25)'!B43</f>
        <v>厚生労働省</v>
      </c>
      <c r="C42" s="2" t="str">
        <f>'法人一覧(25)'!C43</f>
        <v>福祉医療機構</v>
      </c>
      <c r="D42" s="52">
        <v>-90126375370</v>
      </c>
      <c r="E42" s="52">
        <v>61996187250</v>
      </c>
      <c r="F42" s="52">
        <v>29425357589</v>
      </c>
      <c r="G42" s="52">
        <v>0</v>
      </c>
      <c r="H42" s="52">
        <f t="shared" si="4"/>
        <v>1295169469</v>
      </c>
      <c r="I42" s="52">
        <v>9912443990</v>
      </c>
      <c r="J42" s="52">
        <v>11207613459</v>
      </c>
    </row>
    <row r="43" spans="1:10">
      <c r="A43" s="14">
        <f>'法人一覧(25)'!A44</f>
        <v>41</v>
      </c>
      <c r="B43" s="2" t="str">
        <f>'法人一覧(25)'!B44</f>
        <v>厚生労働省</v>
      </c>
      <c r="C43" s="2" t="str">
        <f>'法人一覧(25)'!C44</f>
        <v>国立重度知的障害者総合施設のぞみの園</v>
      </c>
      <c r="D43" s="52">
        <v>367804106</v>
      </c>
      <c r="E43" s="52">
        <v>-295208464</v>
      </c>
      <c r="F43" s="52">
        <v>-2548872</v>
      </c>
      <c r="G43" s="52">
        <v>0</v>
      </c>
      <c r="H43" s="52">
        <f t="shared" si="4"/>
        <v>70046770</v>
      </c>
      <c r="I43" s="52">
        <v>440301373</v>
      </c>
      <c r="J43" s="52">
        <v>510348143</v>
      </c>
    </row>
    <row r="44" spans="1:10">
      <c r="A44" s="14">
        <f>'法人一覧(25)'!A45</f>
        <v>42</v>
      </c>
      <c r="B44" s="2" t="str">
        <f>'法人一覧(25)'!B45</f>
        <v>厚生労働省</v>
      </c>
      <c r="C44" s="2" t="str">
        <f>'法人一覧(25)'!C45</f>
        <v>労働政策研究・研修機構</v>
      </c>
      <c r="D44" s="52">
        <v>202735058</v>
      </c>
      <c r="E44" s="52">
        <v>-25035310</v>
      </c>
      <c r="F44" s="52">
        <v>-31866759</v>
      </c>
      <c r="G44" s="52">
        <v>0</v>
      </c>
      <c r="H44" s="52">
        <f t="shared" si="4"/>
        <v>145832989</v>
      </c>
      <c r="I44" s="52">
        <v>586274649</v>
      </c>
      <c r="J44" s="52">
        <v>732107638</v>
      </c>
    </row>
    <row r="45" spans="1:10">
      <c r="A45" s="14">
        <f>'法人一覧(25)'!A46</f>
        <v>43</v>
      </c>
      <c r="B45" s="2" t="str">
        <f>'法人一覧(25)'!B46</f>
        <v>厚生労働省</v>
      </c>
      <c r="C45" s="2" t="str">
        <f>'法人一覧(25)'!C46</f>
        <v>労働者健康福祉機構</v>
      </c>
      <c r="D45" s="52">
        <v>25476049105</v>
      </c>
      <c r="E45" s="52">
        <v>-41441099092</v>
      </c>
      <c r="F45" s="52">
        <v>-5934541561</v>
      </c>
      <c r="G45" s="52">
        <v>0</v>
      </c>
      <c r="H45" s="52">
        <f t="shared" si="4"/>
        <v>-21899591548</v>
      </c>
      <c r="I45" s="52">
        <v>74217618814</v>
      </c>
      <c r="J45" s="52">
        <v>52318027266</v>
      </c>
    </row>
    <row r="46" spans="1:10">
      <c r="A46" s="14">
        <f>'法人一覧(25)'!A47</f>
        <v>44</v>
      </c>
      <c r="B46" s="2" t="str">
        <f>'法人一覧(25)'!B47</f>
        <v>厚生労働省</v>
      </c>
      <c r="C46" s="2" t="str">
        <f>'法人一覧(25)'!C47</f>
        <v>国立病院機構</v>
      </c>
      <c r="D46" s="52">
        <v>88120958641</v>
      </c>
      <c r="E46" s="52">
        <v>-26409090591</v>
      </c>
      <c r="F46" s="52">
        <v>-36761066891</v>
      </c>
      <c r="G46" s="52">
        <v>0</v>
      </c>
      <c r="H46" s="52">
        <f t="shared" si="4"/>
        <v>24950801159</v>
      </c>
      <c r="I46" s="52">
        <v>33237704442</v>
      </c>
      <c r="J46" s="52">
        <v>58188505601</v>
      </c>
    </row>
    <row r="47" spans="1:10">
      <c r="A47" s="14">
        <f>'法人一覧(25)'!A48</f>
        <v>45</v>
      </c>
      <c r="B47" s="2" t="str">
        <f>'法人一覧(25)'!B48</f>
        <v>厚生労働省</v>
      </c>
      <c r="C47" s="2" t="str">
        <f>'法人一覧(25)'!C48</f>
        <v>医薬品医療機器総合機構</v>
      </c>
      <c r="D47" s="52">
        <v>2515280922</v>
      </c>
      <c r="E47" s="52">
        <v>-5852022499</v>
      </c>
      <c r="F47" s="52">
        <v>-223981164</v>
      </c>
      <c r="G47" s="52">
        <v>0</v>
      </c>
      <c r="H47" s="52">
        <f t="shared" si="4"/>
        <v>-3560722741</v>
      </c>
      <c r="I47" s="52">
        <v>29013132495</v>
      </c>
      <c r="J47" s="52">
        <v>25452409754</v>
      </c>
    </row>
    <row r="48" spans="1:10">
      <c r="A48" s="14">
        <f>'法人一覧(25)'!A49</f>
        <v>46</v>
      </c>
      <c r="B48" s="2" t="str">
        <f>'法人一覧(25)'!B49</f>
        <v>厚生労働省</v>
      </c>
      <c r="C48" s="2" t="str">
        <f>'法人一覧(25)'!C49</f>
        <v>医薬基盤研究所</v>
      </c>
      <c r="D48" s="52">
        <v>1315964216</v>
      </c>
      <c r="E48" s="52">
        <v>763177108</v>
      </c>
      <c r="F48" s="52">
        <v>-119427581</v>
      </c>
      <c r="G48" s="52">
        <v>0</v>
      </c>
      <c r="H48" s="52">
        <f t="shared" si="4"/>
        <v>1959713743</v>
      </c>
      <c r="I48" s="52">
        <v>3216178687</v>
      </c>
      <c r="J48" s="52">
        <v>5175892430</v>
      </c>
    </row>
    <row r="49" spans="1:10">
      <c r="A49" s="14">
        <f>'法人一覧(25)'!A50</f>
        <v>47</v>
      </c>
      <c r="B49" s="2" t="str">
        <f>'法人一覧(25)'!B50</f>
        <v>厚生労働省</v>
      </c>
      <c r="C49" s="2" t="str">
        <f>'法人一覧(25)'!C50</f>
        <v>年金・健康保険福祉施設整理機構</v>
      </c>
      <c r="D49" s="52">
        <v>9823969474</v>
      </c>
      <c r="E49" s="52">
        <v>21434618033</v>
      </c>
      <c r="F49" s="52">
        <v>-19140000</v>
      </c>
      <c r="G49" s="52">
        <v>0</v>
      </c>
      <c r="H49" s="52">
        <f t="shared" si="4"/>
        <v>31239447507</v>
      </c>
      <c r="I49" s="52">
        <v>535995468</v>
      </c>
      <c r="J49" s="52">
        <v>31775442975</v>
      </c>
    </row>
    <row r="50" spans="1:10">
      <c r="A50" s="14">
        <f>'法人一覧(25)'!A51</f>
        <v>48</v>
      </c>
      <c r="B50" s="2" t="str">
        <f>'法人一覧(25)'!B51</f>
        <v>厚生労働省</v>
      </c>
      <c r="C50" s="2" t="str">
        <f>'法人一覧(25)'!C51</f>
        <v>年金積立金管理運用</v>
      </c>
      <c r="D50" s="52">
        <v>195928292</v>
      </c>
      <c r="E50" s="52">
        <v>-180872055</v>
      </c>
      <c r="F50" s="52">
        <v>-15111900</v>
      </c>
      <c r="G50" s="52">
        <v>0</v>
      </c>
      <c r="H50" s="52">
        <f t="shared" si="4"/>
        <v>-55663</v>
      </c>
      <c r="I50" s="52">
        <v>4668523</v>
      </c>
      <c r="J50" s="52">
        <v>4612860</v>
      </c>
    </row>
    <row r="51" spans="1:10">
      <c r="A51" s="14">
        <f>'法人一覧(25)'!A52</f>
        <v>49</v>
      </c>
      <c r="B51" s="2" t="str">
        <f>'法人一覧(25)'!B52</f>
        <v>厚生労働省</v>
      </c>
      <c r="C51" s="2" t="str">
        <f>'法人一覧(25)'!C52</f>
        <v>国立がん研究センター</v>
      </c>
      <c r="D51" s="52">
        <v>3826001390</v>
      </c>
      <c r="E51" s="52">
        <v>-11339335234</v>
      </c>
      <c r="F51" s="52">
        <v>1091792956</v>
      </c>
      <c r="G51" s="52">
        <v>0</v>
      </c>
      <c r="H51" s="52">
        <f t="shared" si="4"/>
        <v>-6421540888</v>
      </c>
      <c r="I51" s="52">
        <v>11875695300</v>
      </c>
      <c r="J51" s="52">
        <v>5454154412</v>
      </c>
    </row>
    <row r="52" spans="1:10">
      <c r="A52" s="14">
        <f>'法人一覧(25)'!A53</f>
        <v>50</v>
      </c>
      <c r="B52" s="2" t="str">
        <f>'法人一覧(25)'!B53</f>
        <v>厚生労働省</v>
      </c>
      <c r="C52" s="2" t="str">
        <f>'法人一覧(25)'!C53</f>
        <v>国立循環器病研究センター</v>
      </c>
      <c r="D52" s="52">
        <v>2156055421</v>
      </c>
      <c r="E52" s="52">
        <v>-1976658879</v>
      </c>
      <c r="F52" s="52">
        <v>-324225459</v>
      </c>
      <c r="G52" s="52">
        <v>0</v>
      </c>
      <c r="H52" s="52">
        <f t="shared" si="4"/>
        <v>-144828917</v>
      </c>
      <c r="I52" s="52">
        <v>5513303161</v>
      </c>
      <c r="J52" s="52">
        <v>5368474244</v>
      </c>
    </row>
    <row r="53" spans="1:10">
      <c r="A53" s="14">
        <f>'法人一覧(25)'!A54</f>
        <v>51</v>
      </c>
      <c r="B53" s="2" t="str">
        <f>'法人一覧(25)'!B54</f>
        <v>厚生労働省</v>
      </c>
      <c r="C53" s="2" t="str">
        <f>'法人一覧(25)'!C54</f>
        <v>国立精神・神経医療研究センター</v>
      </c>
      <c r="D53" s="52">
        <v>761134426</v>
      </c>
      <c r="E53" s="52">
        <v>-272607842</v>
      </c>
      <c r="F53" s="52">
        <v>-159984833</v>
      </c>
      <c r="G53" s="52">
        <v>0</v>
      </c>
      <c r="H53" s="52">
        <f t="shared" si="4"/>
        <v>328541751</v>
      </c>
      <c r="I53" s="52">
        <v>2370971943</v>
      </c>
      <c r="J53" s="52">
        <v>2699513694</v>
      </c>
    </row>
    <row r="54" spans="1:10">
      <c r="A54" s="14">
        <f>'法人一覧(25)'!A55</f>
        <v>52</v>
      </c>
      <c r="B54" s="2" t="str">
        <f>'法人一覧(25)'!B55</f>
        <v>厚生労働省</v>
      </c>
      <c r="C54" s="2" t="str">
        <f>'法人一覧(25)'!C55</f>
        <v>国立国際医療研究センター</v>
      </c>
      <c r="D54" s="52">
        <v>6024945478</v>
      </c>
      <c r="E54" s="52">
        <v>-5029509869</v>
      </c>
      <c r="F54" s="52">
        <v>-155149111</v>
      </c>
      <c r="G54" s="52">
        <v>0</v>
      </c>
      <c r="H54" s="52">
        <f t="shared" si="4"/>
        <v>840286498</v>
      </c>
      <c r="I54" s="52">
        <v>4655556201</v>
      </c>
      <c r="J54" s="52">
        <v>5495842699</v>
      </c>
    </row>
    <row r="55" spans="1:10">
      <c r="A55" s="14">
        <f>'法人一覧(25)'!A56</f>
        <v>53</v>
      </c>
      <c r="B55" s="2" t="str">
        <f>'法人一覧(25)'!B56</f>
        <v>厚生労働省</v>
      </c>
      <c r="C55" s="2" t="str">
        <f>'法人一覧(25)'!C56</f>
        <v>国立成育医療研究センター</v>
      </c>
      <c r="D55" s="52">
        <v>3070844564</v>
      </c>
      <c r="E55" s="52">
        <v>-1501612725</v>
      </c>
      <c r="F55" s="52">
        <v>-1164726578</v>
      </c>
      <c r="G55" s="52">
        <v>0</v>
      </c>
      <c r="H55" s="52">
        <f t="shared" si="4"/>
        <v>404505261</v>
      </c>
      <c r="I55" s="52">
        <v>5230918042</v>
      </c>
      <c r="J55" s="52">
        <v>5635423303</v>
      </c>
    </row>
    <row r="56" spans="1:10">
      <c r="A56" s="14">
        <f>'法人一覧(25)'!A57</f>
        <v>54</v>
      </c>
      <c r="B56" s="2" t="str">
        <f>'法人一覧(25)'!B57</f>
        <v>厚生労働省</v>
      </c>
      <c r="C56" s="2" t="str">
        <f>'法人一覧(25)'!C57</f>
        <v>国立長寿医療研究センター</v>
      </c>
      <c r="D56" s="52">
        <v>1341887577</v>
      </c>
      <c r="E56" s="52">
        <v>-785210248</v>
      </c>
      <c r="F56" s="52">
        <v>-187892157</v>
      </c>
      <c r="G56" s="52">
        <v>0</v>
      </c>
      <c r="H56" s="52">
        <f t="shared" si="4"/>
        <v>368785172</v>
      </c>
      <c r="I56" s="52">
        <v>2363937407</v>
      </c>
      <c r="J56" s="52">
        <v>2732722579</v>
      </c>
    </row>
    <row r="57" spans="1:10">
      <c r="A57" s="14">
        <f>'法人一覧(25)'!A58</f>
        <v>55</v>
      </c>
      <c r="B57" s="2" t="str">
        <f>'法人一覧(25)'!B58</f>
        <v>農林水産省</v>
      </c>
      <c r="C57" s="2" t="str">
        <f>'法人一覧(25)'!C58</f>
        <v>農林水産消費安全技術センター</v>
      </c>
      <c r="D57" s="52">
        <v>494071229</v>
      </c>
      <c r="E57" s="52">
        <v>-197199755</v>
      </c>
      <c r="F57" s="52">
        <v>-4462806</v>
      </c>
      <c r="G57" s="52">
        <v>0</v>
      </c>
      <c r="H57" s="52">
        <f t="shared" ref="H57:H74" si="5">SUM(D57:G57)</f>
        <v>292408668</v>
      </c>
      <c r="I57" s="52">
        <v>1400566007</v>
      </c>
      <c r="J57" s="52">
        <v>1692974675</v>
      </c>
    </row>
    <row r="58" spans="1:10">
      <c r="A58" s="14">
        <f>'法人一覧(25)'!A59</f>
        <v>56</v>
      </c>
      <c r="B58" s="2" t="str">
        <f>'法人一覧(25)'!B59</f>
        <v>農林水産省</v>
      </c>
      <c r="C58" s="2" t="str">
        <f>'法人一覧(25)'!C59</f>
        <v>種苗管理センター</v>
      </c>
      <c r="D58" s="29">
        <v>25295702</v>
      </c>
      <c r="E58" s="29">
        <v>-130399427</v>
      </c>
      <c r="F58" s="29">
        <v>-1049771</v>
      </c>
      <c r="G58" s="29">
        <v>0</v>
      </c>
      <c r="H58" s="29">
        <f t="shared" si="5"/>
        <v>-106153496</v>
      </c>
      <c r="I58" s="29">
        <v>501610979</v>
      </c>
      <c r="J58" s="29">
        <v>395457483</v>
      </c>
    </row>
    <row r="59" spans="1:10">
      <c r="A59" s="14">
        <f>'法人一覧(25)'!A60</f>
        <v>57</v>
      </c>
      <c r="B59" s="2" t="str">
        <f>'法人一覧(25)'!B60</f>
        <v>農林水産省</v>
      </c>
      <c r="C59" s="2" t="str">
        <f>'法人一覧(25)'!C60</f>
        <v>家畜改良センター</v>
      </c>
      <c r="D59" s="29">
        <v>1653539651</v>
      </c>
      <c r="E59" s="29">
        <v>-1438210617</v>
      </c>
      <c r="F59" s="29">
        <v>-54642280</v>
      </c>
      <c r="G59" s="29">
        <v>0</v>
      </c>
      <c r="H59" s="29">
        <f t="shared" si="5"/>
        <v>160686754</v>
      </c>
      <c r="I59" s="29">
        <v>1457759755</v>
      </c>
      <c r="J59" s="29">
        <v>1618446509</v>
      </c>
    </row>
    <row r="60" spans="1:10">
      <c r="A60" s="14">
        <f>'法人一覧(25)'!A61</f>
        <v>58</v>
      </c>
      <c r="B60" s="2" t="str">
        <f>'法人一覧(25)'!B61</f>
        <v>農林水産省</v>
      </c>
      <c r="C60" s="2" t="str">
        <f>'法人一覧(25)'!C61</f>
        <v>水産大学校</v>
      </c>
      <c r="D60" s="29">
        <v>12273297</v>
      </c>
      <c r="E60" s="29">
        <v>-57417486</v>
      </c>
      <c r="F60" s="29">
        <v>0</v>
      </c>
      <c r="G60" s="29">
        <v>0</v>
      </c>
      <c r="H60" s="29">
        <f t="shared" si="5"/>
        <v>-45144189</v>
      </c>
      <c r="I60" s="29">
        <v>656912267</v>
      </c>
      <c r="J60" s="29">
        <v>611768078</v>
      </c>
    </row>
    <row r="61" spans="1:10">
      <c r="A61" s="14">
        <f>'法人一覧(25)'!A62</f>
        <v>59</v>
      </c>
      <c r="B61" s="2" t="str">
        <f>'法人一覧(25)'!B62</f>
        <v>農林水産省</v>
      </c>
      <c r="C61" s="2" t="str">
        <f>'法人一覧(25)'!C62</f>
        <v>農業・食品産業技術総合研究機構</v>
      </c>
      <c r="D61" s="29">
        <v>12483877657</v>
      </c>
      <c r="E61" s="29">
        <v>-866500426</v>
      </c>
      <c r="F61" s="29">
        <v>-1434841601</v>
      </c>
      <c r="G61" s="29">
        <v>0</v>
      </c>
      <c r="H61" s="29">
        <f t="shared" si="5"/>
        <v>10182535630</v>
      </c>
      <c r="I61" s="29">
        <v>8243896299</v>
      </c>
      <c r="J61" s="29">
        <v>18426431929</v>
      </c>
    </row>
    <row r="62" spans="1:10">
      <c r="A62" s="14">
        <f>'法人一覧(25)'!A63</f>
        <v>60</v>
      </c>
      <c r="B62" s="2" t="str">
        <f>'法人一覧(25)'!B63</f>
        <v>農林水産省</v>
      </c>
      <c r="C62" s="2" t="str">
        <f>'法人一覧(25)'!C63</f>
        <v>農業生物資源研究所</v>
      </c>
      <c r="D62" s="29">
        <v>559573469</v>
      </c>
      <c r="E62" s="29">
        <v>-334712371</v>
      </c>
      <c r="F62" s="29">
        <v>-165383023</v>
      </c>
      <c r="G62" s="29">
        <v>0</v>
      </c>
      <c r="H62" s="29">
        <f t="shared" si="5"/>
        <v>59478075</v>
      </c>
      <c r="I62" s="29">
        <v>1207155818</v>
      </c>
      <c r="J62" s="29">
        <v>1266633893</v>
      </c>
    </row>
    <row r="63" spans="1:10">
      <c r="A63" s="14">
        <f>'法人一覧(25)'!A64</f>
        <v>61</v>
      </c>
      <c r="B63" s="2" t="str">
        <f>'法人一覧(25)'!B64</f>
        <v>農林水産省</v>
      </c>
      <c r="C63" s="2" t="str">
        <f>'法人一覧(25)'!C64</f>
        <v>農業環境技術研究所</v>
      </c>
      <c r="D63" s="29">
        <v>177626062</v>
      </c>
      <c r="E63" s="29">
        <v>-18096061</v>
      </c>
      <c r="F63" s="29">
        <v>-3162600</v>
      </c>
      <c r="G63" s="29">
        <v>0</v>
      </c>
      <c r="H63" s="29">
        <f t="shared" si="5"/>
        <v>156367401</v>
      </c>
      <c r="I63" s="29">
        <v>342028161</v>
      </c>
      <c r="J63" s="29">
        <v>498395562</v>
      </c>
    </row>
    <row r="64" spans="1:10">
      <c r="A64" s="14">
        <f>'法人一覧(25)'!A65</f>
        <v>62</v>
      </c>
      <c r="B64" s="2" t="str">
        <f>'法人一覧(25)'!B65</f>
        <v>農林水産省</v>
      </c>
      <c r="C64" s="2" t="str">
        <f>'法人一覧(25)'!C65</f>
        <v>国際農林水産業研究センター</v>
      </c>
      <c r="D64" s="29">
        <v>18066640</v>
      </c>
      <c r="E64" s="29">
        <v>-115833020</v>
      </c>
      <c r="F64" s="29">
        <v>0</v>
      </c>
      <c r="G64" s="29">
        <v>0</v>
      </c>
      <c r="H64" s="29">
        <f t="shared" si="5"/>
        <v>-97766380</v>
      </c>
      <c r="I64" s="29">
        <v>438387477</v>
      </c>
      <c r="J64" s="29">
        <v>340621097</v>
      </c>
    </row>
    <row r="65" spans="1:10">
      <c r="A65" s="14">
        <f>'法人一覧(25)'!A66</f>
        <v>63</v>
      </c>
      <c r="B65" s="2" t="str">
        <f>'法人一覧(25)'!B66</f>
        <v>農林水産省</v>
      </c>
      <c r="C65" s="2" t="str">
        <f>'法人一覧(25)'!C66</f>
        <v>森林総合研究所</v>
      </c>
      <c r="D65" s="52">
        <v>10706391465</v>
      </c>
      <c r="E65" s="52">
        <v>-834124773</v>
      </c>
      <c r="F65" s="52">
        <v>-12222604147</v>
      </c>
      <c r="G65" s="52">
        <v>0</v>
      </c>
      <c r="H65" s="52">
        <f t="shared" si="5"/>
        <v>-2350337455</v>
      </c>
      <c r="I65" s="52">
        <v>6965226097</v>
      </c>
      <c r="J65" s="52">
        <v>4614888642</v>
      </c>
    </row>
    <row r="66" spans="1:10">
      <c r="A66" s="14">
        <f>'法人一覧(25)'!A67</f>
        <v>64</v>
      </c>
      <c r="B66" s="2" t="str">
        <f>'法人一覧(25)'!B67</f>
        <v>農林水産省</v>
      </c>
      <c r="C66" s="2" t="str">
        <f>'法人一覧(25)'!C67</f>
        <v>水産総合研究センター</v>
      </c>
      <c r="D66" s="29">
        <v>1359028281</v>
      </c>
      <c r="E66" s="29">
        <v>-890177615</v>
      </c>
      <c r="F66" s="29">
        <v>-3350400</v>
      </c>
      <c r="G66" s="29">
        <v>0</v>
      </c>
      <c r="H66" s="29">
        <f t="shared" si="5"/>
        <v>465500266</v>
      </c>
      <c r="I66" s="29">
        <v>3125621412</v>
      </c>
      <c r="J66" s="29">
        <v>3591121678</v>
      </c>
    </row>
    <row r="67" spans="1:10">
      <c r="A67" s="14">
        <f>'法人一覧(25)'!A68</f>
        <v>65</v>
      </c>
      <c r="B67" s="2" t="str">
        <f>'法人一覧(25)'!B68</f>
        <v>農林水産省</v>
      </c>
      <c r="C67" s="2" t="str">
        <f>'法人一覧(25)'!C68</f>
        <v>農畜産業振興機構</v>
      </c>
      <c r="D67" s="29">
        <v>19317496589</v>
      </c>
      <c r="E67" s="29">
        <v>148660819693</v>
      </c>
      <c r="F67" s="29">
        <v>-6838062875</v>
      </c>
      <c r="G67" s="29">
        <v>0</v>
      </c>
      <c r="H67" s="29">
        <f t="shared" si="5"/>
        <v>161140253407</v>
      </c>
      <c r="I67" s="29">
        <v>9407990266</v>
      </c>
      <c r="J67" s="29">
        <v>170548243673</v>
      </c>
    </row>
    <row r="68" spans="1:10">
      <c r="A68" s="14">
        <f>'法人一覧(25)'!A69</f>
        <v>66</v>
      </c>
      <c r="B68" s="2" t="str">
        <f>'法人一覧(25)'!B69</f>
        <v>農林水産省</v>
      </c>
      <c r="C68" s="2" t="str">
        <f>'法人一覧(25)'!C69</f>
        <v>農業者年金基金</v>
      </c>
      <c r="D68" s="29">
        <v>14957626444</v>
      </c>
      <c r="E68" s="29">
        <v>-11475529370</v>
      </c>
      <c r="F68" s="29">
        <v>-2000000000</v>
      </c>
      <c r="G68" s="29">
        <v>0</v>
      </c>
      <c r="H68" s="29">
        <f t="shared" si="5"/>
        <v>1482097074</v>
      </c>
      <c r="I68" s="29">
        <v>9400403879</v>
      </c>
      <c r="J68" s="29">
        <v>10882500953</v>
      </c>
    </row>
    <row r="69" spans="1:10">
      <c r="A69" s="14">
        <f>'法人一覧(25)'!A70</f>
        <v>67</v>
      </c>
      <c r="B69" s="2" t="str">
        <f>'法人一覧(25)'!B70</f>
        <v>農林水産省</v>
      </c>
      <c r="C69" s="2" t="str">
        <f>'法人一覧(25)'!C70</f>
        <v>農林漁業信用基金</v>
      </c>
      <c r="D69" s="29">
        <v>25116383977</v>
      </c>
      <c r="E69" s="29">
        <v>-3966663543</v>
      </c>
      <c r="F69" s="29">
        <v>-13918180000</v>
      </c>
      <c r="G69" s="29">
        <v>0</v>
      </c>
      <c r="H69" s="29">
        <f t="shared" si="5"/>
        <v>7231540434</v>
      </c>
      <c r="I69" s="29">
        <v>27229663744</v>
      </c>
      <c r="J69" s="29">
        <v>34461204178</v>
      </c>
    </row>
    <row r="70" spans="1:10">
      <c r="A70" s="14">
        <f>'法人一覧(25)'!A71</f>
        <v>68</v>
      </c>
      <c r="B70" s="2" t="str">
        <f>'法人一覧(25)'!B71</f>
        <v>経済産業省</v>
      </c>
      <c r="C70" s="2" t="str">
        <f>'法人一覧(25)'!C71</f>
        <v>経済産業研究所</v>
      </c>
      <c r="D70" s="29">
        <v>117631406</v>
      </c>
      <c r="E70" s="29">
        <v>-18401985</v>
      </c>
      <c r="F70" s="29">
        <v>0</v>
      </c>
      <c r="G70" s="29">
        <v>0</v>
      </c>
      <c r="H70" s="29">
        <f t="shared" si="5"/>
        <v>99229421</v>
      </c>
      <c r="I70" s="29">
        <v>533808473</v>
      </c>
      <c r="J70" s="29">
        <v>633037894</v>
      </c>
    </row>
    <row r="71" spans="1:10">
      <c r="A71" s="14">
        <f>'法人一覧(25)'!A72</f>
        <v>69</v>
      </c>
      <c r="B71" s="2" t="str">
        <f>'法人一覧(25)'!B72</f>
        <v>経済産業省</v>
      </c>
      <c r="C71" s="2" t="str">
        <f>'法人一覧(25)'!C72</f>
        <v>工業所有権情報・研修館</v>
      </c>
      <c r="D71" s="29">
        <v>1730993657</v>
      </c>
      <c r="E71" s="29">
        <v>-897624134</v>
      </c>
      <c r="F71" s="29">
        <v>0</v>
      </c>
      <c r="G71" s="29">
        <v>0</v>
      </c>
      <c r="H71" s="29">
        <f t="shared" si="5"/>
        <v>833369523</v>
      </c>
      <c r="I71" s="29">
        <v>4272383254</v>
      </c>
      <c r="J71" s="29">
        <v>5105752777</v>
      </c>
    </row>
    <row r="72" spans="1:10">
      <c r="A72" s="14">
        <f>'法人一覧(25)'!A73</f>
        <v>70</v>
      </c>
      <c r="B72" s="2" t="str">
        <f>'法人一覧(25)'!B73</f>
        <v>経済産業省</v>
      </c>
      <c r="C72" s="2" t="str">
        <f>'法人一覧(25)'!C73</f>
        <v>日本貿易保険</v>
      </c>
      <c r="D72" s="29">
        <v>20586000000</v>
      </c>
      <c r="E72" s="29">
        <v>-22477000000</v>
      </c>
      <c r="F72" s="29">
        <v>0</v>
      </c>
      <c r="G72" s="29">
        <v>56000000</v>
      </c>
      <c r="H72" s="29">
        <f t="shared" si="5"/>
        <v>-1835000000</v>
      </c>
      <c r="I72" s="29">
        <v>10937000000</v>
      </c>
      <c r="J72" s="29">
        <v>9101000000</v>
      </c>
    </row>
    <row r="73" spans="1:10">
      <c r="A73" s="14">
        <f>'法人一覧(25)'!A74</f>
        <v>71</v>
      </c>
      <c r="B73" s="2" t="str">
        <f>'法人一覧(25)'!B74</f>
        <v>経済産業省</v>
      </c>
      <c r="C73" s="2" t="str">
        <f>'法人一覧(25)'!C74</f>
        <v>産業技術総合研究所</v>
      </c>
      <c r="D73" s="29">
        <v>9071261427</v>
      </c>
      <c r="E73" s="29">
        <v>-14070444964</v>
      </c>
      <c r="F73" s="29">
        <v>0</v>
      </c>
      <c r="G73" s="29">
        <v>0</v>
      </c>
      <c r="H73" s="29">
        <f t="shared" si="5"/>
        <v>-4999183537</v>
      </c>
      <c r="I73" s="29">
        <v>23902056213</v>
      </c>
      <c r="J73" s="29">
        <v>18902872676</v>
      </c>
    </row>
    <row r="74" spans="1:10">
      <c r="A74" s="14">
        <f>'法人一覧(25)'!A75</f>
        <v>72</v>
      </c>
      <c r="B74" s="2" t="str">
        <f>'法人一覧(25)'!B75</f>
        <v>経済産業省</v>
      </c>
      <c r="C74" s="2" t="str">
        <f>'法人一覧(25)'!C75</f>
        <v>製品評価技術基盤機構</v>
      </c>
      <c r="D74" s="29">
        <v>462261802</v>
      </c>
      <c r="E74" s="29">
        <v>-205105190</v>
      </c>
      <c r="F74" s="29">
        <v>-289874434</v>
      </c>
      <c r="G74" s="29">
        <v>0</v>
      </c>
      <c r="H74" s="29">
        <f t="shared" si="5"/>
        <v>-32717822</v>
      </c>
      <c r="I74" s="29">
        <v>3131445161</v>
      </c>
      <c r="J74" s="29">
        <v>3098727339</v>
      </c>
    </row>
    <row r="75" spans="1:10">
      <c r="A75" s="14">
        <f>'法人一覧(25)'!A76</f>
        <v>73</v>
      </c>
      <c r="B75" s="2" t="str">
        <f>'法人一覧(25)'!B76</f>
        <v>経済産業省</v>
      </c>
      <c r="C75" s="2" t="str">
        <f>'法人一覧(25)'!C76</f>
        <v>新エネルギー・産業技術総合開発機構</v>
      </c>
      <c r="D75" s="52">
        <v>-29915524718</v>
      </c>
      <c r="E75" s="52">
        <v>27779369413</v>
      </c>
      <c r="F75" s="52">
        <v>564169609</v>
      </c>
      <c r="G75" s="52">
        <v>0</v>
      </c>
      <c r="H75" s="52">
        <f t="shared" ref="H75:H98" si="6">SUM(D75:G75)</f>
        <v>-1571985696</v>
      </c>
      <c r="I75" s="52">
        <v>2815027149</v>
      </c>
      <c r="J75" s="52">
        <v>1243041453</v>
      </c>
    </row>
    <row r="76" spans="1:10">
      <c r="A76" s="14">
        <f>'法人一覧(25)'!A77</f>
        <v>74</v>
      </c>
      <c r="B76" s="2" t="str">
        <f>'法人一覧(25)'!B77</f>
        <v>経済産業省</v>
      </c>
      <c r="C76" s="2" t="str">
        <f>'法人一覧(25)'!C77</f>
        <v>日本貿易振興機構</v>
      </c>
      <c r="D76" s="52">
        <v>-1095940426</v>
      </c>
      <c r="E76" s="52">
        <v>6671454773</v>
      </c>
      <c r="F76" s="52">
        <v>-241735370</v>
      </c>
      <c r="G76" s="52">
        <v>49498350</v>
      </c>
      <c r="H76" s="52">
        <f t="shared" si="6"/>
        <v>5383277327</v>
      </c>
      <c r="I76" s="52">
        <v>9159358180</v>
      </c>
      <c r="J76" s="52">
        <v>14542635507</v>
      </c>
    </row>
    <row r="77" spans="1:10">
      <c r="A77" s="14">
        <f>'法人一覧(25)'!A78</f>
        <v>75</v>
      </c>
      <c r="B77" s="2" t="str">
        <f>'法人一覧(25)'!B78</f>
        <v>経済産業省</v>
      </c>
      <c r="C77" s="2" t="str">
        <f>'法人一覧(25)'!C78</f>
        <v>情報処理推進機構</v>
      </c>
      <c r="D77" s="52">
        <v>-689119700</v>
      </c>
      <c r="E77" s="52">
        <v>3237085011</v>
      </c>
      <c r="F77" s="52">
        <v>-23968707</v>
      </c>
      <c r="G77" s="52">
        <v>0</v>
      </c>
      <c r="H77" s="52">
        <f t="shared" si="6"/>
        <v>2523996604</v>
      </c>
      <c r="I77" s="52">
        <v>1585055471</v>
      </c>
      <c r="J77" s="52">
        <v>4109052075</v>
      </c>
    </row>
    <row r="78" spans="1:10">
      <c r="A78" s="14">
        <f>'法人一覧(25)'!A79</f>
        <v>76</v>
      </c>
      <c r="B78" s="2" t="str">
        <f>'法人一覧(25)'!B79</f>
        <v>経済産業省</v>
      </c>
      <c r="C78" s="2" t="str">
        <f>'法人一覧(25)'!C79</f>
        <v>石油天然ガス・金属鉱物資源機構</v>
      </c>
      <c r="D78" s="29">
        <v>-153208058384</v>
      </c>
      <c r="E78" s="29">
        <v>23598405701</v>
      </c>
      <c r="F78" s="29">
        <v>143011532274</v>
      </c>
      <c r="G78" s="29">
        <v>-32506553</v>
      </c>
      <c r="H78" s="29">
        <f t="shared" si="6"/>
        <v>13369373038</v>
      </c>
      <c r="I78" s="29">
        <v>15142619015</v>
      </c>
      <c r="J78" s="29">
        <v>28511992053</v>
      </c>
    </row>
    <row r="79" spans="1:10">
      <c r="A79" s="14">
        <f>'法人一覧(25)'!A80</f>
        <v>77</v>
      </c>
      <c r="B79" s="2" t="str">
        <f>'法人一覧(25)'!B80</f>
        <v>経済産業省</v>
      </c>
      <c r="C79" s="2" t="str">
        <f>'法人一覧(25)'!C80</f>
        <v>中小企業基盤整備機構</v>
      </c>
      <c r="D79" s="29">
        <v>209828963854</v>
      </c>
      <c r="E79" s="29">
        <v>-197421025910</v>
      </c>
      <c r="F79" s="29">
        <v>-3836012742</v>
      </c>
      <c r="G79" s="29">
        <v>0</v>
      </c>
      <c r="H79" s="29">
        <f t="shared" si="6"/>
        <v>8571925202</v>
      </c>
      <c r="I79" s="29">
        <v>9875547997</v>
      </c>
      <c r="J79" s="29">
        <v>18447473199</v>
      </c>
    </row>
    <row r="80" spans="1:10">
      <c r="A80" s="14">
        <f>'法人一覧(25)'!A81</f>
        <v>78</v>
      </c>
      <c r="B80" s="2" t="str">
        <f>'法人一覧(25)'!B81</f>
        <v>国土交通省</v>
      </c>
      <c r="C80" s="2" t="str">
        <f>'法人一覧(25)'!C81</f>
        <v>土木研究所</v>
      </c>
      <c r="D80" s="52">
        <v>-875103565</v>
      </c>
      <c r="E80" s="52">
        <v>975600451</v>
      </c>
      <c r="F80" s="52">
        <v>-22274555</v>
      </c>
      <c r="G80" s="69">
        <v>0</v>
      </c>
      <c r="H80" s="52">
        <f t="shared" si="6"/>
        <v>78222331</v>
      </c>
      <c r="I80" s="52">
        <v>2262690201</v>
      </c>
      <c r="J80" s="52">
        <v>2340912532</v>
      </c>
    </row>
    <row r="81" spans="1:10">
      <c r="A81" s="14">
        <f>'法人一覧(25)'!A82</f>
        <v>79</v>
      </c>
      <c r="B81" s="2" t="str">
        <f>'法人一覧(25)'!B82</f>
        <v>国土交通省</v>
      </c>
      <c r="C81" s="2" t="str">
        <f>'法人一覧(25)'!C82</f>
        <v>建築研究所</v>
      </c>
      <c r="D81" s="52">
        <v>65594212</v>
      </c>
      <c r="E81" s="52">
        <v>-34709955</v>
      </c>
      <c r="F81" s="52">
        <v>-6059061</v>
      </c>
      <c r="G81" s="69">
        <v>0</v>
      </c>
      <c r="H81" s="52">
        <f t="shared" si="6"/>
        <v>24825196</v>
      </c>
      <c r="I81" s="52">
        <v>268319171</v>
      </c>
      <c r="J81" s="52">
        <v>293144367</v>
      </c>
    </row>
    <row r="82" spans="1:10">
      <c r="A82" s="14">
        <f>'法人一覧(25)'!A83</f>
        <v>80</v>
      </c>
      <c r="B82" s="2" t="str">
        <f>'法人一覧(25)'!B83</f>
        <v>国土交通省</v>
      </c>
      <c r="C82" s="2" t="str">
        <f>'法人一覧(25)'!C83</f>
        <v>交通安全環境研究所</v>
      </c>
      <c r="D82" s="52">
        <v>152568065</v>
      </c>
      <c r="E82" s="52">
        <v>-73439246</v>
      </c>
      <c r="F82" s="52">
        <v>-38292747</v>
      </c>
      <c r="G82" s="52">
        <v>0</v>
      </c>
      <c r="H82" s="52">
        <f t="shared" si="6"/>
        <v>40836072</v>
      </c>
      <c r="I82" s="52">
        <v>108310178</v>
      </c>
      <c r="J82" s="52">
        <v>149146250</v>
      </c>
    </row>
    <row r="83" spans="1:10">
      <c r="A83" s="14">
        <f>'法人一覧(25)'!A84</f>
        <v>81</v>
      </c>
      <c r="B83" s="2" t="str">
        <f>'法人一覧(25)'!B84</f>
        <v>国土交通省</v>
      </c>
      <c r="C83" s="2" t="str">
        <f>'法人一覧(25)'!C84</f>
        <v>海上技術安全研究所</v>
      </c>
      <c r="D83" s="52">
        <v>224028668</v>
      </c>
      <c r="E83" s="52">
        <v>-241795568</v>
      </c>
      <c r="F83" s="52">
        <v>-754840</v>
      </c>
      <c r="G83" s="52">
        <v>0</v>
      </c>
      <c r="H83" s="52">
        <f t="shared" si="6"/>
        <v>-18521740</v>
      </c>
      <c r="I83" s="52">
        <v>417702685</v>
      </c>
      <c r="J83" s="52">
        <v>399180945</v>
      </c>
    </row>
    <row r="84" spans="1:10">
      <c r="A84" s="14">
        <f>'法人一覧(25)'!A85</f>
        <v>82</v>
      </c>
      <c r="B84" s="2" t="str">
        <f>'法人一覧(25)'!B85</f>
        <v>国土交通省</v>
      </c>
      <c r="C84" s="2" t="str">
        <f>'法人一覧(25)'!C85</f>
        <v>港湾空港技術研究所</v>
      </c>
      <c r="D84" s="52">
        <v>505143619</v>
      </c>
      <c r="E84" s="52">
        <v>-624864582</v>
      </c>
      <c r="F84" s="52">
        <v>-15998686</v>
      </c>
      <c r="G84" s="52">
        <v>0</v>
      </c>
      <c r="H84" s="52">
        <f t="shared" si="6"/>
        <v>-135719649</v>
      </c>
      <c r="I84" s="52">
        <v>785150360</v>
      </c>
      <c r="J84" s="52">
        <v>649430711</v>
      </c>
    </row>
    <row r="85" spans="1:10">
      <c r="A85" s="14">
        <f>'法人一覧(25)'!A86</f>
        <v>83</v>
      </c>
      <c r="B85" s="2" t="str">
        <f>'法人一覧(25)'!B86</f>
        <v>国土交通省</v>
      </c>
      <c r="C85" s="2" t="str">
        <f>'法人一覧(25)'!C86</f>
        <v>電子航法研究所</v>
      </c>
      <c r="D85" s="52">
        <v>358346501</v>
      </c>
      <c r="E85" s="52">
        <v>-967593446</v>
      </c>
      <c r="F85" s="52">
        <v>-8396287</v>
      </c>
      <c r="G85" s="52">
        <v>0</v>
      </c>
      <c r="H85" s="52">
        <f t="shared" si="6"/>
        <v>-617643232</v>
      </c>
      <c r="I85" s="52">
        <v>1162743059</v>
      </c>
      <c r="J85" s="52">
        <v>545099827</v>
      </c>
    </row>
    <row r="86" spans="1:10">
      <c r="A86" s="14">
        <f>'法人一覧(25)'!A87</f>
        <v>84</v>
      </c>
      <c r="B86" s="2" t="str">
        <f>'法人一覧(25)'!B87</f>
        <v>国土交通省</v>
      </c>
      <c r="C86" s="2" t="str">
        <f>'法人一覧(25)'!C87</f>
        <v>航海訓練所</v>
      </c>
      <c r="D86" s="52">
        <v>104707890</v>
      </c>
      <c r="E86" s="52">
        <v>208295813</v>
      </c>
      <c r="F86" s="52">
        <v>-8654982</v>
      </c>
      <c r="G86" s="52">
        <v>0</v>
      </c>
      <c r="H86" s="52">
        <f t="shared" si="6"/>
        <v>304348721</v>
      </c>
      <c r="I86" s="52">
        <v>946948248</v>
      </c>
      <c r="J86" s="52">
        <v>1251296969</v>
      </c>
    </row>
    <row r="87" spans="1:10">
      <c r="A87" s="14">
        <f>'法人一覧(25)'!A88</f>
        <v>85</v>
      </c>
      <c r="B87" s="2" t="str">
        <f>'法人一覧(25)'!B88</f>
        <v>国土交通省</v>
      </c>
      <c r="C87" s="2" t="str">
        <f>'法人一覧(25)'!C88</f>
        <v>海技教育機構</v>
      </c>
      <c r="D87" s="52">
        <v>85681733</v>
      </c>
      <c r="E87" s="52">
        <v>-63768888</v>
      </c>
      <c r="F87" s="52">
        <v>-69890012</v>
      </c>
      <c r="G87" s="52">
        <v>0</v>
      </c>
      <c r="H87" s="52">
        <f t="shared" si="6"/>
        <v>-47977167</v>
      </c>
      <c r="I87" s="52">
        <v>825392695</v>
      </c>
      <c r="J87" s="52">
        <v>777415528</v>
      </c>
    </row>
    <row r="88" spans="1:10">
      <c r="A88" s="14">
        <f>'法人一覧(25)'!A89</f>
        <v>86</v>
      </c>
      <c r="B88" s="2" t="str">
        <f>'法人一覧(25)'!B89</f>
        <v>国土交通省</v>
      </c>
      <c r="C88" s="2" t="str">
        <f>'法人一覧(25)'!C89</f>
        <v>航空大学校</v>
      </c>
      <c r="D88" s="29">
        <v>92604856</v>
      </c>
      <c r="E88" s="29">
        <v>-2841750</v>
      </c>
      <c r="F88" s="29">
        <v>-101078468</v>
      </c>
      <c r="G88" s="29">
        <v>0</v>
      </c>
      <c r="H88" s="29">
        <f t="shared" si="6"/>
        <v>-11315362</v>
      </c>
      <c r="I88" s="29">
        <v>441320210</v>
      </c>
      <c r="J88" s="29">
        <v>430004848</v>
      </c>
    </row>
    <row r="89" spans="1:10">
      <c r="A89" s="14">
        <f>'法人一覧(25)'!A90</f>
        <v>87</v>
      </c>
      <c r="B89" s="2" t="str">
        <f>'法人一覧(25)'!B90</f>
        <v>国土交通省</v>
      </c>
      <c r="C89" s="2" t="str">
        <f>'法人一覧(25)'!C90</f>
        <v>自動車検査</v>
      </c>
      <c r="D89" s="52">
        <v>1700141078</v>
      </c>
      <c r="E89" s="52">
        <v>-1454195193</v>
      </c>
      <c r="F89" s="52">
        <v>-6658471</v>
      </c>
      <c r="G89" s="52">
        <v>0</v>
      </c>
      <c r="H89" s="52">
        <f t="shared" si="6"/>
        <v>239287414</v>
      </c>
      <c r="I89" s="52">
        <v>2482794229</v>
      </c>
      <c r="J89" s="52">
        <v>2722081643</v>
      </c>
    </row>
    <row r="90" spans="1:10">
      <c r="A90" s="14">
        <f>'法人一覧(25)'!A91</f>
        <v>88</v>
      </c>
      <c r="B90" s="2" t="str">
        <f>'法人一覧(25)'!B91</f>
        <v>国土交通省</v>
      </c>
      <c r="C90" s="2" t="str">
        <f>'法人一覧(25)'!C91</f>
        <v>鉄道建設・運輸施設整備支援機構</v>
      </c>
      <c r="D90" s="52">
        <v>309490943439</v>
      </c>
      <c r="E90" s="52">
        <v>65872328643</v>
      </c>
      <c r="F90" s="52">
        <v>-347679659757</v>
      </c>
      <c r="G90" s="69" t="s">
        <v>311</v>
      </c>
      <c r="H90" s="52">
        <f t="shared" si="6"/>
        <v>27683612325</v>
      </c>
      <c r="I90" s="77">
        <v>45305302600</v>
      </c>
      <c r="J90" s="52">
        <v>72988914925</v>
      </c>
    </row>
    <row r="91" spans="1:10">
      <c r="A91" s="14">
        <f>'法人一覧(25)'!A92</f>
        <v>89</v>
      </c>
      <c r="B91" s="2" t="str">
        <f>'法人一覧(25)'!B92</f>
        <v>国土交通省</v>
      </c>
      <c r="C91" s="2" t="str">
        <f>'法人一覧(25)'!C92</f>
        <v>国際観光振興機構</v>
      </c>
      <c r="D91" s="52">
        <v>-680781767</v>
      </c>
      <c r="E91" s="52">
        <v>-6346877</v>
      </c>
      <c r="F91" s="52">
        <v>-439185428</v>
      </c>
      <c r="G91" s="52">
        <v>-943161</v>
      </c>
      <c r="H91" s="52">
        <f t="shared" si="6"/>
        <v>-1127257233</v>
      </c>
      <c r="I91" s="52">
        <v>1846687167</v>
      </c>
      <c r="J91" s="52">
        <v>719429934</v>
      </c>
    </row>
    <row r="92" spans="1:10">
      <c r="A92" s="14">
        <f>'法人一覧(25)'!A93</f>
        <v>90</v>
      </c>
      <c r="B92" s="2" t="str">
        <f>'法人一覧(25)'!B93</f>
        <v>国土交通省</v>
      </c>
      <c r="C92" s="2" t="str">
        <f>'法人一覧(25)'!C93</f>
        <v>水資源機構</v>
      </c>
      <c r="D92" s="52">
        <v>55651670655</v>
      </c>
      <c r="E92" s="52">
        <v>8778475267</v>
      </c>
      <c r="F92" s="52">
        <v>-62212364395</v>
      </c>
      <c r="G92" s="52">
        <v>0</v>
      </c>
      <c r="H92" s="52">
        <f t="shared" si="6"/>
        <v>2217781527</v>
      </c>
      <c r="I92" s="52">
        <v>4667526919</v>
      </c>
      <c r="J92" s="52">
        <v>6885308446</v>
      </c>
    </row>
    <row r="93" spans="1:10">
      <c r="A93" s="14">
        <f>'法人一覧(25)'!A94</f>
        <v>91</v>
      </c>
      <c r="B93" s="2" t="str">
        <f>'法人一覧(25)'!B94</f>
        <v>国土交通省</v>
      </c>
      <c r="C93" s="2" t="str">
        <f>'法人一覧(25)'!C94</f>
        <v>自動車事故対策機構</v>
      </c>
      <c r="D93" s="52">
        <v>1386556789</v>
      </c>
      <c r="E93" s="52">
        <v>747456854</v>
      </c>
      <c r="F93" s="52">
        <v>-1444465738</v>
      </c>
      <c r="G93" s="52">
        <v>0</v>
      </c>
      <c r="H93" s="52">
        <f t="shared" si="6"/>
        <v>689547905</v>
      </c>
      <c r="I93" s="52">
        <v>1358096991</v>
      </c>
      <c r="J93" s="52">
        <v>2047644896</v>
      </c>
    </row>
    <row r="94" spans="1:10">
      <c r="A94" s="14">
        <f>'法人一覧(25)'!A95</f>
        <v>92</v>
      </c>
      <c r="B94" s="2" t="str">
        <f>'法人一覧(25)'!B95</f>
        <v>国土交通省</v>
      </c>
      <c r="C94" s="2" t="str">
        <f>'法人一覧(25)'!C95</f>
        <v>空港周辺整備機構</v>
      </c>
      <c r="D94" s="52">
        <v>210453706</v>
      </c>
      <c r="E94" s="52">
        <v>-360518072</v>
      </c>
      <c r="F94" s="52">
        <v>-109884777</v>
      </c>
      <c r="G94" s="52">
        <v>0</v>
      </c>
      <c r="H94" s="52">
        <f t="shared" si="6"/>
        <v>-259949143</v>
      </c>
      <c r="I94" s="52">
        <v>510794766</v>
      </c>
      <c r="J94" s="52">
        <v>250845623</v>
      </c>
    </row>
    <row r="95" spans="1:10">
      <c r="A95" s="14">
        <f>'法人一覧(25)'!A96</f>
        <v>93</v>
      </c>
      <c r="B95" s="2" t="str">
        <f>'法人一覧(25)'!B96</f>
        <v>国土交通省</v>
      </c>
      <c r="C95" s="2" t="str">
        <f>'法人一覧(25)'!C96</f>
        <v>海上災害防止センター</v>
      </c>
      <c r="D95" s="52">
        <v>-45106866</v>
      </c>
      <c r="E95" s="52">
        <v>947782605</v>
      </c>
      <c r="F95" s="52">
        <v>-809031614</v>
      </c>
      <c r="G95" s="52">
        <v>0</v>
      </c>
      <c r="H95" s="52">
        <f t="shared" si="6"/>
        <v>93644125</v>
      </c>
      <c r="I95" s="52">
        <v>762509689</v>
      </c>
      <c r="J95" s="52">
        <v>856153814</v>
      </c>
    </row>
    <row r="96" spans="1:10">
      <c r="A96" s="14">
        <f>'法人一覧(25)'!A97</f>
        <v>94</v>
      </c>
      <c r="B96" s="2" t="str">
        <f>'法人一覧(25)'!B97</f>
        <v>国土交通省</v>
      </c>
      <c r="C96" s="2" t="str">
        <f>'法人一覧(25)'!C97</f>
        <v>都市再生機構</v>
      </c>
      <c r="D96" s="52">
        <v>476096243770</v>
      </c>
      <c r="E96" s="52">
        <v>-78788287005</v>
      </c>
      <c r="F96" s="52">
        <v>-343251273775</v>
      </c>
      <c r="G96" s="52">
        <v>0</v>
      </c>
      <c r="H96" s="52">
        <f t="shared" si="6"/>
        <v>54056682990</v>
      </c>
      <c r="I96" s="52">
        <v>71503811174</v>
      </c>
      <c r="J96" s="52">
        <v>125560494164</v>
      </c>
    </row>
    <row r="97" spans="1:10">
      <c r="A97" s="14">
        <f>'法人一覧(25)'!A98</f>
        <v>95</v>
      </c>
      <c r="B97" s="2" t="str">
        <f>'法人一覧(25)'!B98</f>
        <v>国土交通省</v>
      </c>
      <c r="C97" s="2" t="str">
        <f>'法人一覧(25)'!C98</f>
        <v>奄美群島振興開発基金</v>
      </c>
      <c r="D97" s="29">
        <v>61562060</v>
      </c>
      <c r="E97" s="29">
        <v>-291606600</v>
      </c>
      <c r="F97" s="29">
        <v>246467008</v>
      </c>
      <c r="G97" s="29">
        <v>0</v>
      </c>
      <c r="H97" s="29">
        <f t="shared" si="6"/>
        <v>16422468</v>
      </c>
      <c r="I97" s="29">
        <v>237323295</v>
      </c>
      <c r="J97" s="29">
        <v>253745763</v>
      </c>
    </row>
    <row r="98" spans="1:10">
      <c r="A98" s="14">
        <f>'法人一覧(25)'!A99</f>
        <v>96</v>
      </c>
      <c r="B98" s="2" t="str">
        <f>'法人一覧(25)'!B99</f>
        <v>国土交通省</v>
      </c>
      <c r="C98" s="2" t="str">
        <f>'法人一覧(25)'!C99</f>
        <v>日本高速道路保有・債務返済機構</v>
      </c>
      <c r="D98" s="52">
        <v>1280151387629</v>
      </c>
      <c r="E98" s="52">
        <v>-36928467981</v>
      </c>
      <c r="F98" s="52">
        <v>-1252423000308</v>
      </c>
      <c r="G98" s="52">
        <v>0</v>
      </c>
      <c r="H98" s="52">
        <f t="shared" si="6"/>
        <v>-9200080660</v>
      </c>
      <c r="I98" s="52">
        <v>11148393121</v>
      </c>
      <c r="J98" s="52">
        <v>1948312461</v>
      </c>
    </row>
    <row r="99" spans="1:10">
      <c r="A99" s="14">
        <f>'法人一覧(25)'!A100</f>
        <v>97</v>
      </c>
      <c r="B99" s="2" t="str">
        <f>'法人一覧(25)'!B100</f>
        <v>国土交通省</v>
      </c>
      <c r="C99" s="2" t="str">
        <f>'法人一覧(25)'!C100</f>
        <v>住宅金融支援機構</v>
      </c>
      <c r="D99" s="29">
        <v>1705292301674</v>
      </c>
      <c r="E99" s="29">
        <v>-178835592190</v>
      </c>
      <c r="F99" s="29">
        <v>-1786223860487</v>
      </c>
      <c r="G99" s="29">
        <v>0</v>
      </c>
      <c r="H99" s="29">
        <v>-259767151003</v>
      </c>
      <c r="I99" s="29">
        <v>584009031480</v>
      </c>
      <c r="J99" s="29">
        <v>324241880477</v>
      </c>
    </row>
    <row r="100" spans="1:10">
      <c r="A100" s="14">
        <f>'法人一覧(25)'!A101</f>
        <v>98</v>
      </c>
      <c r="B100" s="2" t="str">
        <f>'法人一覧(25)'!B101</f>
        <v>環境省</v>
      </c>
      <c r="C100" s="2" t="str">
        <f>'法人一覧(25)'!C101</f>
        <v>国立環境研究所</v>
      </c>
      <c r="D100" s="29">
        <v>2763103422</v>
      </c>
      <c r="E100" s="29">
        <v>-1562284863</v>
      </c>
      <c r="F100" s="29">
        <v>-355067238</v>
      </c>
      <c r="G100" s="29">
        <v>0</v>
      </c>
      <c r="H100" s="29">
        <f t="shared" ref="H100:H103" si="7">SUM(D100:G100)</f>
        <v>845751321</v>
      </c>
      <c r="I100" s="29">
        <v>3536329946</v>
      </c>
      <c r="J100" s="29">
        <v>4382081267</v>
      </c>
    </row>
    <row r="101" spans="1:10">
      <c r="A101" s="14">
        <f>'法人一覧(25)'!A102</f>
        <v>99</v>
      </c>
      <c r="B101" s="2" t="str">
        <f>'法人一覧(25)'!B102</f>
        <v>環境省</v>
      </c>
      <c r="C101" s="2" t="str">
        <f>'法人一覧(25)'!C102</f>
        <v>環境再生保全機構</v>
      </c>
      <c r="D101" s="29">
        <v>27446755050</v>
      </c>
      <c r="E101" s="29">
        <v>-14656974748</v>
      </c>
      <c r="F101" s="29">
        <v>-13684816233</v>
      </c>
      <c r="G101" s="29">
        <v>0</v>
      </c>
      <c r="H101" s="29">
        <f t="shared" si="7"/>
        <v>-895035931</v>
      </c>
      <c r="I101" s="29">
        <v>3930788053</v>
      </c>
      <c r="J101" s="29">
        <v>3035752122</v>
      </c>
    </row>
    <row r="102" spans="1:10">
      <c r="A102" s="14">
        <f>'法人一覧(25)'!A103</f>
        <v>100</v>
      </c>
      <c r="B102" s="2" t="str">
        <f>'法人一覧(25)'!B103</f>
        <v>原子力規制委員会</v>
      </c>
      <c r="C102" s="2" t="str">
        <f>'法人一覧(25)'!C103</f>
        <v>原子力安全基盤機構</v>
      </c>
      <c r="D102" s="29">
        <v>-6869554443</v>
      </c>
      <c r="E102" s="29">
        <v>9661944114</v>
      </c>
      <c r="F102" s="29">
        <v>-1008423750</v>
      </c>
      <c r="G102" s="29">
        <v>0</v>
      </c>
      <c r="H102" s="29">
        <f t="shared" si="7"/>
        <v>1783965921</v>
      </c>
      <c r="I102" s="29">
        <v>2528510119</v>
      </c>
      <c r="J102" s="29">
        <v>4312476040</v>
      </c>
    </row>
    <row r="103" spans="1:10" ht="13.8" thickBot="1">
      <c r="A103" s="116">
        <f>'法人一覧(25)'!A104</f>
        <v>101</v>
      </c>
      <c r="B103" s="117" t="str">
        <f>'法人一覧(25)'!B104</f>
        <v>防衛省</v>
      </c>
      <c r="C103" s="117" t="str">
        <f>'法人一覧(25)'!C104</f>
        <v>駐留軍等労働者労務管理機構</v>
      </c>
      <c r="D103" s="118">
        <v>69004356</v>
      </c>
      <c r="E103" s="118">
        <v>-57709744</v>
      </c>
      <c r="F103" s="118">
        <v>-27422979</v>
      </c>
      <c r="G103" s="118">
        <v>0</v>
      </c>
      <c r="H103" s="118">
        <f t="shared" si="7"/>
        <v>-16128367</v>
      </c>
      <c r="I103" s="118">
        <v>732867944</v>
      </c>
      <c r="J103" s="118">
        <v>716739577</v>
      </c>
    </row>
    <row r="104" spans="1:10" s="37" customFormat="1" ht="18.600000000000001" customHeight="1" thickTop="1">
      <c r="A104" s="167" t="s">
        <v>583</v>
      </c>
      <c r="B104" s="168"/>
      <c r="C104" s="169"/>
      <c r="D104" s="115">
        <f>SUM(D3:D103)</f>
        <v>4413379467225</v>
      </c>
      <c r="E104" s="115">
        <f t="shared" ref="E104:J104" si="8">SUM(E3:E103)</f>
        <v>-538260289619</v>
      </c>
      <c r="F104" s="115">
        <f t="shared" si="8"/>
        <v>-3791223225938</v>
      </c>
      <c r="G104" s="115">
        <f t="shared" si="8"/>
        <v>53302704</v>
      </c>
      <c r="H104" s="115">
        <f t="shared" si="8"/>
        <v>83949254372</v>
      </c>
      <c r="I104" s="115">
        <f t="shared" si="8"/>
        <v>1811675352270</v>
      </c>
      <c r="J104" s="115">
        <f t="shared" si="8"/>
        <v>1895623606642</v>
      </c>
    </row>
    <row r="106" spans="1:10">
      <c r="B106" s="1" t="s">
        <v>586</v>
      </c>
    </row>
  </sheetData>
  <mergeCells count="1">
    <mergeCell ref="A104:C10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zoomScale="80" zoomScaleNormal="80" workbookViewId="0">
      <pane xSplit="3" ySplit="2" topLeftCell="D84" activePane="bottomRight" state="frozen"/>
      <selection activeCell="B2" sqref="B2:B3"/>
      <selection pane="topRight" activeCell="B2" sqref="B2:B3"/>
      <selection pane="bottomLeft" activeCell="B2" sqref="B2:B3"/>
      <selection pane="bottomRight"/>
    </sheetView>
  </sheetViews>
  <sheetFormatPr defaultColWidth="8.88671875" defaultRowHeight="13.2"/>
  <cols>
    <col min="1" max="1" width="5" style="1" customWidth="1"/>
    <col min="2" max="2" width="19.6640625" style="1" customWidth="1"/>
    <col min="3" max="3" width="40.21875" style="1" customWidth="1"/>
    <col min="4" max="10" width="16.21875" style="1" customWidth="1"/>
    <col min="11" max="16384" width="8.88671875" style="1"/>
  </cols>
  <sheetData>
    <row r="1" spans="1:10" ht="19.95" customHeight="1">
      <c r="B1" s="144" t="s">
        <v>225</v>
      </c>
      <c r="J1" s="30" t="s">
        <v>204</v>
      </c>
    </row>
    <row r="2" spans="1:10" ht="26.4">
      <c r="A2" s="14" t="s">
        <v>195</v>
      </c>
      <c r="B2" s="3" t="s">
        <v>0</v>
      </c>
      <c r="C2" s="3" t="s">
        <v>1</v>
      </c>
      <c r="D2" s="6" t="s">
        <v>60</v>
      </c>
      <c r="E2" s="6" t="s">
        <v>61</v>
      </c>
      <c r="F2" s="6" t="s">
        <v>62</v>
      </c>
      <c r="G2" s="7" t="s">
        <v>63</v>
      </c>
      <c r="H2" s="7" t="s">
        <v>64</v>
      </c>
      <c r="I2" s="7" t="s">
        <v>65</v>
      </c>
      <c r="J2" s="7" t="s">
        <v>66</v>
      </c>
    </row>
    <row r="3" spans="1:10">
      <c r="A3" s="14">
        <f>'法人一覧(26)'!A4</f>
        <v>1</v>
      </c>
      <c r="B3" s="2" t="str">
        <f>'法人一覧(26)'!B4</f>
        <v>内閣府</v>
      </c>
      <c r="C3" s="2" t="str">
        <f>'法人一覧(26)'!C4</f>
        <v>国立公文書館</v>
      </c>
      <c r="D3" s="29">
        <v>258862843</v>
      </c>
      <c r="E3" s="29">
        <v>-34287602</v>
      </c>
      <c r="F3" s="29">
        <v>-259861131</v>
      </c>
      <c r="G3" s="29">
        <v>0</v>
      </c>
      <c r="H3" s="29">
        <f t="shared" ref="H3:H4" si="0">SUM(D3:G3)</f>
        <v>-35285890</v>
      </c>
      <c r="I3" s="29">
        <v>422275725</v>
      </c>
      <c r="J3" s="29">
        <v>386989835</v>
      </c>
    </row>
    <row r="4" spans="1:10">
      <c r="A4" s="14">
        <f>'法人一覧(26)'!A5</f>
        <v>2</v>
      </c>
      <c r="B4" s="2" t="str">
        <f>'法人一覧(26)'!B5</f>
        <v>内閣府</v>
      </c>
      <c r="C4" s="2" t="str">
        <f>'法人一覧(26)'!C5</f>
        <v>北方領土問題対策協会</v>
      </c>
      <c r="D4" s="29">
        <v>-139444463</v>
      </c>
      <c r="E4" s="29">
        <v>-61015</v>
      </c>
      <c r="F4" s="29">
        <v>92835754</v>
      </c>
      <c r="G4" s="29">
        <v>0</v>
      </c>
      <c r="H4" s="29">
        <f t="shared" si="0"/>
        <v>-46669724</v>
      </c>
      <c r="I4" s="29">
        <v>489779110</v>
      </c>
      <c r="J4" s="29">
        <v>443109386</v>
      </c>
    </row>
    <row r="5" spans="1:10">
      <c r="A5" s="14">
        <f>'法人一覧(26)'!A6</f>
        <v>3</v>
      </c>
      <c r="B5" s="2" t="str">
        <f>'法人一覧(26)'!B6</f>
        <v>消費者庁</v>
      </c>
      <c r="C5" s="2" t="str">
        <f>'法人一覧(26)'!C6</f>
        <v>国民生活センター</v>
      </c>
      <c r="D5" s="29">
        <v>181966245</v>
      </c>
      <c r="E5" s="29">
        <v>-72330760</v>
      </c>
      <c r="F5" s="29">
        <v>-153957315</v>
      </c>
      <c r="G5" s="29">
        <v>0</v>
      </c>
      <c r="H5" s="29">
        <f t="shared" ref="H5:H9" si="1">SUM(D5:G5)</f>
        <v>-44321830</v>
      </c>
      <c r="I5" s="29">
        <v>1881188858</v>
      </c>
      <c r="J5" s="29">
        <v>1836867028</v>
      </c>
    </row>
    <row r="6" spans="1:10">
      <c r="A6" s="14">
        <f>'法人一覧(26)'!A7</f>
        <v>4</v>
      </c>
      <c r="B6" s="2" t="str">
        <f>'法人一覧(26)'!B7</f>
        <v>総務省</v>
      </c>
      <c r="C6" s="2" t="str">
        <f>'法人一覧(26)'!C7</f>
        <v>情報通信研究機構</v>
      </c>
      <c r="D6" s="52">
        <v>6827450623</v>
      </c>
      <c r="E6" s="52">
        <v>-3480195346</v>
      </c>
      <c r="F6" s="52">
        <v>-93188058</v>
      </c>
      <c r="G6" s="52">
        <v>317762</v>
      </c>
      <c r="H6" s="52">
        <f t="shared" si="1"/>
        <v>3254384981</v>
      </c>
      <c r="I6" s="52">
        <v>10607143492</v>
      </c>
      <c r="J6" s="52">
        <v>13861528473</v>
      </c>
    </row>
    <row r="7" spans="1:10">
      <c r="A7" s="14">
        <f>'法人一覧(26)'!A8</f>
        <v>5</v>
      </c>
      <c r="B7" s="2" t="str">
        <f>'法人一覧(26)'!B8</f>
        <v>総務省</v>
      </c>
      <c r="C7" s="2" t="str">
        <f>'法人一覧(26)'!C8</f>
        <v>統計センター</v>
      </c>
      <c r="D7" s="52">
        <v>1575264213</v>
      </c>
      <c r="E7" s="52">
        <v>-749819440</v>
      </c>
      <c r="F7" s="52">
        <v>-358084511</v>
      </c>
      <c r="G7" s="52">
        <v>0</v>
      </c>
      <c r="H7" s="52">
        <f t="shared" si="1"/>
        <v>467360262</v>
      </c>
      <c r="I7" s="52">
        <v>1536684920</v>
      </c>
      <c r="J7" s="52">
        <v>2004045182</v>
      </c>
    </row>
    <row r="8" spans="1:10">
      <c r="A8" s="14">
        <f>'法人一覧(26)'!A9</f>
        <v>6</v>
      </c>
      <c r="B8" s="2" t="str">
        <f>'法人一覧(26)'!B9</f>
        <v>総務省</v>
      </c>
      <c r="C8" s="2" t="str">
        <f>'法人一覧(26)'!C9</f>
        <v>郵便貯金・簡易生命保険管理機構</v>
      </c>
      <c r="D8" s="52">
        <v>15226841699</v>
      </c>
      <c r="E8" s="52">
        <v>-14307844490</v>
      </c>
      <c r="F8" s="52">
        <v>0</v>
      </c>
      <c r="G8" s="52">
        <v>0</v>
      </c>
      <c r="H8" s="52">
        <f t="shared" si="1"/>
        <v>918997209</v>
      </c>
      <c r="I8" s="52">
        <v>800150632</v>
      </c>
      <c r="J8" s="52">
        <v>1719147841</v>
      </c>
    </row>
    <row r="9" spans="1:10">
      <c r="A9" s="14">
        <f>'法人一覧(26)'!A10</f>
        <v>7</v>
      </c>
      <c r="B9" s="2" t="str">
        <f>'法人一覧(26)'!B10</f>
        <v>外務省</v>
      </c>
      <c r="C9" s="2" t="str">
        <f>'法人一覧(26)'!C10</f>
        <v>国際協力機構</v>
      </c>
      <c r="D9" s="29">
        <v>6416224984</v>
      </c>
      <c r="E9" s="29">
        <v>41192588156</v>
      </c>
      <c r="F9" s="29">
        <v>47912159520</v>
      </c>
      <c r="G9" s="29">
        <v>12130892</v>
      </c>
      <c r="H9" s="29">
        <f t="shared" si="1"/>
        <v>95533103552</v>
      </c>
      <c r="I9" s="29">
        <v>101070767306</v>
      </c>
      <c r="J9" s="29">
        <v>196603870858</v>
      </c>
    </row>
    <row r="10" spans="1:10">
      <c r="A10" s="14">
        <f>'法人一覧(26)'!A11</f>
        <v>8</v>
      </c>
      <c r="B10" s="2" t="str">
        <f>'法人一覧(26)'!B11</f>
        <v>外務省</v>
      </c>
      <c r="C10" s="2" t="str">
        <f>'法人一覧(26)'!C11</f>
        <v>国際交流基金</v>
      </c>
      <c r="D10" s="29">
        <v>1315677512</v>
      </c>
      <c r="E10" s="29">
        <v>1209509970</v>
      </c>
      <c r="F10" s="29">
        <v>-51470437</v>
      </c>
      <c r="G10" s="29">
        <v>9359148</v>
      </c>
      <c r="H10" s="29">
        <f>SUM(D10:G10)</f>
        <v>2483076193</v>
      </c>
      <c r="I10" s="29">
        <v>5705504594</v>
      </c>
      <c r="J10" s="29">
        <v>8188580787</v>
      </c>
    </row>
    <row r="11" spans="1:10">
      <c r="A11" s="14">
        <f>'法人一覧(26)'!A12</f>
        <v>9</v>
      </c>
      <c r="B11" s="2" t="str">
        <f>'法人一覧(26)'!B12</f>
        <v>財務省</v>
      </c>
      <c r="C11" s="2" t="str">
        <f>'法人一覧(26)'!C12</f>
        <v>酒類総合研究所</v>
      </c>
      <c r="D11" s="52">
        <v>123012664</v>
      </c>
      <c r="E11" s="52">
        <v>-94165858</v>
      </c>
      <c r="F11" s="52">
        <v>0</v>
      </c>
      <c r="G11" s="52">
        <v>0</v>
      </c>
      <c r="H11" s="52">
        <f t="shared" ref="H11:H55" si="2">SUM(D11:G11)</f>
        <v>28846806</v>
      </c>
      <c r="I11" s="52">
        <v>346657045</v>
      </c>
      <c r="J11" s="52">
        <v>375503851</v>
      </c>
    </row>
    <row r="12" spans="1:10">
      <c r="A12" s="14">
        <f>'法人一覧(26)'!A13</f>
        <v>10</v>
      </c>
      <c r="B12" s="2" t="str">
        <f>'法人一覧(26)'!B13</f>
        <v>財務省</v>
      </c>
      <c r="C12" s="2" t="str">
        <f>'法人一覧(26)'!C13</f>
        <v>造幣局</v>
      </c>
      <c r="D12" s="52">
        <v>1676876015</v>
      </c>
      <c r="E12" s="52">
        <v>-1719184852</v>
      </c>
      <c r="F12" s="52">
        <v>0</v>
      </c>
      <c r="G12" s="52">
        <v>0</v>
      </c>
      <c r="H12" s="52">
        <f t="shared" si="2"/>
        <v>-42308837</v>
      </c>
      <c r="I12" s="52">
        <v>1601058376</v>
      </c>
      <c r="J12" s="52">
        <v>1558749539</v>
      </c>
    </row>
    <row r="13" spans="1:10">
      <c r="A13" s="14">
        <f>'法人一覧(26)'!A14</f>
        <v>11</v>
      </c>
      <c r="B13" s="2" t="str">
        <f>'法人一覧(26)'!B14</f>
        <v>財務省</v>
      </c>
      <c r="C13" s="2" t="str">
        <f>'法人一覧(26)'!C14</f>
        <v>国立印刷局</v>
      </c>
      <c r="D13" s="52">
        <v>12841229398</v>
      </c>
      <c r="E13" s="52">
        <v>-12541642162</v>
      </c>
      <c r="F13" s="52">
        <v>-43439334</v>
      </c>
      <c r="G13" s="52">
        <v>0</v>
      </c>
      <c r="H13" s="52">
        <f t="shared" si="2"/>
        <v>256147902</v>
      </c>
      <c r="I13" s="52">
        <v>631145778</v>
      </c>
      <c r="J13" s="52">
        <v>887293680</v>
      </c>
    </row>
    <row r="14" spans="1:10">
      <c r="A14" s="14">
        <f>'法人一覧(26)'!A15</f>
        <v>12</v>
      </c>
      <c r="B14" s="2" t="str">
        <f>'法人一覧(26)'!B15</f>
        <v>文部科学省</v>
      </c>
      <c r="C14" s="2" t="str">
        <f>'法人一覧(26)'!C15</f>
        <v>国立特別支援教育総合研究所</v>
      </c>
      <c r="D14" s="29">
        <v>37759384</v>
      </c>
      <c r="E14" s="29">
        <v>-962843</v>
      </c>
      <c r="F14" s="29">
        <v>-29295601</v>
      </c>
      <c r="G14" s="29">
        <v>0</v>
      </c>
      <c r="H14" s="29">
        <f t="shared" si="2"/>
        <v>7500940</v>
      </c>
      <c r="I14" s="29">
        <v>149370433</v>
      </c>
      <c r="J14" s="29">
        <v>156871373</v>
      </c>
    </row>
    <row r="15" spans="1:10">
      <c r="A15" s="14">
        <f>'法人一覧(26)'!A16</f>
        <v>13</v>
      </c>
      <c r="B15" s="2" t="str">
        <f>'法人一覧(26)'!B16</f>
        <v>文部科学省</v>
      </c>
      <c r="C15" s="2" t="str">
        <f>'法人一覧(26)'!C16</f>
        <v>大学入試センター</v>
      </c>
      <c r="D15" s="52">
        <v>162822734</v>
      </c>
      <c r="E15" s="52">
        <v>1296777052</v>
      </c>
      <c r="F15" s="52">
        <v>0</v>
      </c>
      <c r="G15" s="52">
        <v>0</v>
      </c>
      <c r="H15" s="52">
        <f t="shared" si="2"/>
        <v>1459599786</v>
      </c>
      <c r="I15" s="52">
        <v>535302940</v>
      </c>
      <c r="J15" s="52">
        <v>1994902726</v>
      </c>
    </row>
    <row r="16" spans="1:10">
      <c r="A16" s="14">
        <f>'法人一覧(26)'!A17</f>
        <v>14</v>
      </c>
      <c r="B16" s="2" t="str">
        <f>'法人一覧(26)'!B17</f>
        <v>文部科学省</v>
      </c>
      <c r="C16" s="2" t="str">
        <f>'法人一覧(26)'!C17</f>
        <v>国立青少年教育振興機構</v>
      </c>
      <c r="D16" s="52">
        <v>404345415</v>
      </c>
      <c r="E16" s="52">
        <v>-99948175</v>
      </c>
      <c r="F16" s="52">
        <v>682165892</v>
      </c>
      <c r="G16" s="52">
        <v>0</v>
      </c>
      <c r="H16" s="52">
        <f t="shared" si="2"/>
        <v>986563132</v>
      </c>
      <c r="I16" s="52">
        <v>2689191043</v>
      </c>
      <c r="J16" s="52">
        <v>3675754175</v>
      </c>
    </row>
    <row r="17" spans="1:10">
      <c r="A17" s="14">
        <f>'法人一覧(26)'!A18</f>
        <v>15</v>
      </c>
      <c r="B17" s="2" t="str">
        <f>'法人一覧(26)'!B18</f>
        <v>文部科学省</v>
      </c>
      <c r="C17" s="2" t="str">
        <f>'法人一覧(26)'!C18</f>
        <v>国立女性教育会館</v>
      </c>
      <c r="D17" s="52">
        <v>-10482081</v>
      </c>
      <c r="E17" s="52">
        <v>-2210250</v>
      </c>
      <c r="F17" s="52">
        <v>-2717768</v>
      </c>
      <c r="G17" s="52">
        <v>0</v>
      </c>
      <c r="H17" s="52">
        <f t="shared" si="2"/>
        <v>-15410099</v>
      </c>
      <c r="I17" s="52">
        <v>204882716</v>
      </c>
      <c r="J17" s="52">
        <v>189472617</v>
      </c>
    </row>
    <row r="18" spans="1:10">
      <c r="A18" s="14">
        <f>'法人一覧(26)'!A19</f>
        <v>16</v>
      </c>
      <c r="B18" s="2" t="str">
        <f>'法人一覧(26)'!B19</f>
        <v>文部科学省</v>
      </c>
      <c r="C18" s="2" t="str">
        <f>'法人一覧(26)'!C19</f>
        <v>国立科学博物館</v>
      </c>
      <c r="D18" s="52">
        <v>605794183</v>
      </c>
      <c r="E18" s="52">
        <v>301088170</v>
      </c>
      <c r="F18" s="52">
        <v>-42187473</v>
      </c>
      <c r="G18" s="52">
        <v>0</v>
      </c>
      <c r="H18" s="52">
        <f t="shared" si="2"/>
        <v>864694880</v>
      </c>
      <c r="I18" s="52">
        <v>984485116</v>
      </c>
      <c r="J18" s="52">
        <v>1849179996</v>
      </c>
    </row>
    <row r="19" spans="1:10">
      <c r="A19" s="14">
        <f>'法人一覧(26)'!A20</f>
        <v>17</v>
      </c>
      <c r="B19" s="2" t="str">
        <f>'法人一覧(26)'!B20</f>
        <v>文部科学省</v>
      </c>
      <c r="C19" s="2" t="str">
        <f>'法人一覧(26)'!C20</f>
        <v>物質・材料研究機構</v>
      </c>
      <c r="D19" s="52">
        <v>1642432987</v>
      </c>
      <c r="E19" s="52">
        <v>-2396722375</v>
      </c>
      <c r="F19" s="52">
        <v>-303508722</v>
      </c>
      <c r="G19" s="52">
        <v>0</v>
      </c>
      <c r="H19" s="52">
        <f t="shared" si="2"/>
        <v>-1057798110</v>
      </c>
      <c r="I19" s="52">
        <v>8395590304</v>
      </c>
      <c r="J19" s="52">
        <v>7337792194</v>
      </c>
    </row>
    <row r="20" spans="1:10">
      <c r="A20" s="14">
        <f>'法人一覧(26)'!A21</f>
        <v>18</v>
      </c>
      <c r="B20" s="2" t="str">
        <f>'法人一覧(26)'!B21</f>
        <v>文部科学省</v>
      </c>
      <c r="C20" s="2" t="str">
        <f>'法人一覧(26)'!C21</f>
        <v>防災科学技術研究所</v>
      </c>
      <c r="D20" s="52">
        <v>2952377194</v>
      </c>
      <c r="E20" s="52">
        <v>-1819448191</v>
      </c>
      <c r="F20" s="52">
        <v>-241390935</v>
      </c>
      <c r="G20" s="52">
        <v>0</v>
      </c>
      <c r="H20" s="52">
        <f t="shared" si="2"/>
        <v>891538068</v>
      </c>
      <c r="I20" s="52">
        <v>7630831497</v>
      </c>
      <c r="J20" s="52">
        <v>8522369565</v>
      </c>
    </row>
    <row r="21" spans="1:10">
      <c r="A21" s="14">
        <f>'法人一覧(26)'!A22</f>
        <v>19</v>
      </c>
      <c r="B21" s="2" t="str">
        <f>'法人一覧(26)'!B22</f>
        <v>文部科学省</v>
      </c>
      <c r="C21" s="2" t="str">
        <f>'法人一覧(26)'!C22</f>
        <v>放射線医学総合研究所</v>
      </c>
      <c r="D21" s="52">
        <v>1633410461</v>
      </c>
      <c r="E21" s="52">
        <v>-3597959894</v>
      </c>
      <c r="F21" s="52">
        <v>-497510613</v>
      </c>
      <c r="G21" s="52">
        <v>0</v>
      </c>
      <c r="H21" s="52">
        <f t="shared" si="2"/>
        <v>-2462060046</v>
      </c>
      <c r="I21" s="52">
        <v>6603306787</v>
      </c>
      <c r="J21" s="52">
        <v>4141246741</v>
      </c>
    </row>
    <row r="22" spans="1:10">
      <c r="A22" s="14">
        <f>'法人一覧(26)'!A23</f>
        <v>20</v>
      </c>
      <c r="B22" s="2" t="str">
        <f>'法人一覧(26)'!B23</f>
        <v>文部科学省</v>
      </c>
      <c r="C22" s="2" t="str">
        <f>'法人一覧(26)'!C23</f>
        <v>国立美術館</v>
      </c>
      <c r="D22" s="52">
        <v>-325780488</v>
      </c>
      <c r="E22" s="52">
        <v>68385796</v>
      </c>
      <c r="F22" s="52">
        <v>0</v>
      </c>
      <c r="G22" s="52">
        <v>0</v>
      </c>
      <c r="H22" s="52">
        <f t="shared" si="2"/>
        <v>-257394692</v>
      </c>
      <c r="I22" s="52">
        <v>1954539159</v>
      </c>
      <c r="J22" s="52">
        <v>1697144467</v>
      </c>
    </row>
    <row r="23" spans="1:10">
      <c r="A23" s="14">
        <f>'法人一覧(26)'!A24</f>
        <v>21</v>
      </c>
      <c r="B23" s="2" t="str">
        <f>'法人一覧(26)'!B24</f>
        <v>文部科学省</v>
      </c>
      <c r="C23" s="2" t="str">
        <f>'法人一覧(26)'!C24</f>
        <v>国立文化財機構</v>
      </c>
      <c r="D23" s="52">
        <v>1987707087</v>
      </c>
      <c r="E23" s="52">
        <v>-3276765237</v>
      </c>
      <c r="F23" s="52">
        <v>-33907025</v>
      </c>
      <c r="G23" s="52">
        <v>0</v>
      </c>
      <c r="H23" s="52">
        <f t="shared" si="2"/>
        <v>-1322965175</v>
      </c>
      <c r="I23" s="52">
        <v>5193420039</v>
      </c>
      <c r="J23" s="52">
        <v>3870454864</v>
      </c>
    </row>
    <row r="24" spans="1:10">
      <c r="A24" s="14">
        <f>'法人一覧(26)'!A25</f>
        <v>22</v>
      </c>
      <c r="B24" s="2" t="str">
        <f>'法人一覧(26)'!B25</f>
        <v>文部科学省</v>
      </c>
      <c r="C24" s="2" t="str">
        <f>'法人一覧(26)'!C25</f>
        <v>教員研修センター</v>
      </c>
      <c r="D24" s="52">
        <v>124685878</v>
      </c>
      <c r="E24" s="52">
        <v>-19499177</v>
      </c>
      <c r="F24" s="52">
        <v>-9141300</v>
      </c>
      <c r="G24" s="52">
        <v>0</v>
      </c>
      <c r="H24" s="52">
        <f t="shared" si="2"/>
        <v>96045401</v>
      </c>
      <c r="I24" s="52">
        <v>339102890</v>
      </c>
      <c r="J24" s="52">
        <v>435148291</v>
      </c>
    </row>
    <row r="25" spans="1:10">
      <c r="A25" s="14">
        <f>'法人一覧(26)'!A26</f>
        <v>23</v>
      </c>
      <c r="B25" s="2" t="str">
        <f>'法人一覧(26)'!B26</f>
        <v>文部科学省</v>
      </c>
      <c r="C25" s="2" t="str">
        <f>'法人一覧(26)'!C26</f>
        <v>科学技術振興機構</v>
      </c>
      <c r="D25" s="52">
        <v>3883377360</v>
      </c>
      <c r="E25" s="52">
        <v>48677821</v>
      </c>
      <c r="F25" s="52">
        <v>-139504420</v>
      </c>
      <c r="G25" s="52">
        <v>0</v>
      </c>
      <c r="H25" s="52">
        <f t="shared" si="2"/>
        <v>3792550761</v>
      </c>
      <c r="I25" s="52">
        <v>24571798325</v>
      </c>
      <c r="J25" s="52">
        <v>28364349086</v>
      </c>
    </row>
    <row r="26" spans="1:10">
      <c r="A26" s="14">
        <f>'法人一覧(26)'!A27</f>
        <v>24</v>
      </c>
      <c r="B26" s="2" t="str">
        <f>'法人一覧(26)'!B27</f>
        <v>文部科学省</v>
      </c>
      <c r="C26" s="2" t="str">
        <f>'法人一覧(26)'!C27</f>
        <v>日本学術振興会</v>
      </c>
      <c r="D26" s="52">
        <v>-2147608712</v>
      </c>
      <c r="E26" s="52">
        <v>8799446602</v>
      </c>
      <c r="F26" s="52">
        <v>0</v>
      </c>
      <c r="G26" s="52">
        <v>57472</v>
      </c>
      <c r="H26" s="52">
        <f t="shared" si="2"/>
        <v>6651895362</v>
      </c>
      <c r="I26" s="52">
        <f>60967594855-600151599</f>
        <v>60367443256</v>
      </c>
      <c r="J26" s="52">
        <v>67019338618</v>
      </c>
    </row>
    <row r="27" spans="1:10">
      <c r="A27" s="14">
        <f>'法人一覧(26)'!A28</f>
        <v>25</v>
      </c>
      <c r="B27" s="2" t="str">
        <f>'法人一覧(26)'!B28</f>
        <v>文部科学省</v>
      </c>
      <c r="C27" s="2" t="str">
        <f>'法人一覧(26)'!C28</f>
        <v>理化学研究所</v>
      </c>
      <c r="D27" s="52">
        <v>15669386647</v>
      </c>
      <c r="E27" s="52">
        <v>-17954377612</v>
      </c>
      <c r="F27" s="52">
        <v>-572740850</v>
      </c>
      <c r="G27" s="52">
        <v>0</v>
      </c>
      <c r="H27" s="52">
        <f t="shared" si="2"/>
        <v>-2857731815</v>
      </c>
      <c r="I27" s="52">
        <v>30353913886</v>
      </c>
      <c r="J27" s="52">
        <v>27496182071</v>
      </c>
    </row>
    <row r="28" spans="1:10">
      <c r="A28" s="14">
        <f>'法人一覧(26)'!A29</f>
        <v>26</v>
      </c>
      <c r="B28" s="2" t="str">
        <f>'法人一覧(26)'!B29</f>
        <v>文部科学省</v>
      </c>
      <c r="C28" s="2" t="str">
        <f>'法人一覧(26)'!C29</f>
        <v>宇宙航空研究開発機構</v>
      </c>
      <c r="D28" s="52">
        <v>47309762303</v>
      </c>
      <c r="E28" s="52">
        <v>-35857395382</v>
      </c>
      <c r="F28" s="52">
        <v>-819438541</v>
      </c>
      <c r="G28" s="52">
        <v>-835815</v>
      </c>
      <c r="H28" s="52">
        <f t="shared" si="2"/>
        <v>10632092565</v>
      </c>
      <c r="I28" s="52">
        <v>52422348001</v>
      </c>
      <c r="J28" s="52">
        <v>63054440566</v>
      </c>
    </row>
    <row r="29" spans="1:10">
      <c r="A29" s="14">
        <f>'法人一覧(26)'!A30</f>
        <v>27</v>
      </c>
      <c r="B29" s="2" t="str">
        <f>'法人一覧(26)'!B30</f>
        <v>文部科学省</v>
      </c>
      <c r="C29" s="2" t="str">
        <f>'法人一覧(26)'!C30</f>
        <v>日本スポーツ振興センター</v>
      </c>
      <c r="D29" s="52">
        <v>8501958345</v>
      </c>
      <c r="E29" s="52">
        <v>-45236519467</v>
      </c>
      <c r="F29" s="52">
        <v>11602767785</v>
      </c>
      <c r="G29" s="52">
        <v>-1717239</v>
      </c>
      <c r="H29" s="52">
        <f t="shared" si="2"/>
        <v>-25133510576</v>
      </c>
      <c r="I29" s="52">
        <v>42337655019</v>
      </c>
      <c r="J29" s="52">
        <v>17204144443</v>
      </c>
    </row>
    <row r="30" spans="1:10">
      <c r="A30" s="14">
        <f>'法人一覧(26)'!A31</f>
        <v>28</v>
      </c>
      <c r="B30" s="2" t="str">
        <f>'法人一覧(26)'!B31</f>
        <v>文部科学省</v>
      </c>
      <c r="C30" s="2" t="str">
        <f>'法人一覧(26)'!C31</f>
        <v>日本芸術文化振興会</v>
      </c>
      <c r="D30" s="52">
        <v>925641716</v>
      </c>
      <c r="E30" s="52">
        <v>-957524714</v>
      </c>
      <c r="F30" s="52">
        <v>596988537</v>
      </c>
      <c r="G30" s="52">
        <v>0</v>
      </c>
      <c r="H30" s="52">
        <f t="shared" si="2"/>
        <v>565105539</v>
      </c>
      <c r="I30" s="52">
        <v>5646453578</v>
      </c>
      <c r="J30" s="52">
        <v>6211559117</v>
      </c>
    </row>
    <row r="31" spans="1:10">
      <c r="A31" s="14">
        <f>'法人一覧(26)'!A32</f>
        <v>29</v>
      </c>
      <c r="B31" s="2" t="str">
        <f>'法人一覧(26)'!B32</f>
        <v>文部科学省</v>
      </c>
      <c r="C31" s="2" t="str">
        <f>'法人一覧(26)'!C32</f>
        <v>日本学生支援機構</v>
      </c>
      <c r="D31" s="52">
        <v>-511681186</v>
      </c>
      <c r="E31" s="52">
        <v>-4500583781</v>
      </c>
      <c r="F31" s="52">
        <v>-589484039</v>
      </c>
      <c r="G31" s="52">
        <v>0</v>
      </c>
      <c r="H31" s="52">
        <f t="shared" si="2"/>
        <v>-5601749006</v>
      </c>
      <c r="I31" s="52">
        <v>126926797901</v>
      </c>
      <c r="J31" s="52">
        <v>121325048895</v>
      </c>
    </row>
    <row r="32" spans="1:10">
      <c r="A32" s="14">
        <f>'法人一覧(26)'!A33</f>
        <v>30</v>
      </c>
      <c r="B32" s="2" t="str">
        <f>'法人一覧(26)'!B33</f>
        <v>文部科学省</v>
      </c>
      <c r="C32" s="2" t="str">
        <f>'法人一覧(26)'!C33</f>
        <v>海洋研究開発機構</v>
      </c>
      <c r="D32" s="52">
        <v>-1830571939</v>
      </c>
      <c r="E32" s="52">
        <v>1822898470</v>
      </c>
      <c r="F32" s="52">
        <v>-2566158832</v>
      </c>
      <c r="G32" s="52">
        <v>0</v>
      </c>
      <c r="H32" s="52">
        <f t="shared" si="2"/>
        <v>-2573832301</v>
      </c>
      <c r="I32" s="52">
        <v>7608596097</v>
      </c>
      <c r="J32" s="52">
        <v>5034763796</v>
      </c>
    </row>
    <row r="33" spans="1:10">
      <c r="A33" s="14">
        <f>'法人一覧(26)'!A34</f>
        <v>31</v>
      </c>
      <c r="B33" s="2" t="str">
        <f>'法人一覧(26)'!B34</f>
        <v>文部科学省</v>
      </c>
      <c r="C33" s="2" t="str">
        <f>'法人一覧(26)'!C34</f>
        <v>国立高等専門学校機構</v>
      </c>
      <c r="D33" s="68">
        <v>-125231750</v>
      </c>
      <c r="E33" s="68">
        <v>-9386095083</v>
      </c>
      <c r="F33" s="68">
        <v>-547482974</v>
      </c>
      <c r="G33" s="68">
        <v>0</v>
      </c>
      <c r="H33" s="68">
        <f t="shared" si="2"/>
        <v>-10058809807</v>
      </c>
      <c r="I33" s="68">
        <v>18775341108</v>
      </c>
      <c r="J33" s="68">
        <v>8716531301</v>
      </c>
    </row>
    <row r="34" spans="1:10">
      <c r="A34" s="14">
        <f>'法人一覧(26)'!A35</f>
        <v>32</v>
      </c>
      <c r="B34" s="2" t="str">
        <f>'法人一覧(26)'!B35</f>
        <v>文部科学省</v>
      </c>
      <c r="C34" s="2" t="str">
        <f>'法人一覧(26)'!C35</f>
        <v>大学評価・学位授与機構</v>
      </c>
      <c r="D34" s="52">
        <v>37525948</v>
      </c>
      <c r="E34" s="52">
        <v>-250157773</v>
      </c>
      <c r="F34" s="52">
        <v>-12300336</v>
      </c>
      <c r="G34" s="52">
        <v>0</v>
      </c>
      <c r="H34" s="52">
        <f t="shared" si="2"/>
        <v>-224932161</v>
      </c>
      <c r="I34" s="52">
        <v>552457609</v>
      </c>
      <c r="J34" s="52">
        <v>327525448</v>
      </c>
    </row>
    <row r="35" spans="1:10">
      <c r="A35" s="14">
        <f>'法人一覧(26)'!A36</f>
        <v>33</v>
      </c>
      <c r="B35" s="2" t="str">
        <f>'法人一覧(26)'!B36</f>
        <v>文部科学省</v>
      </c>
      <c r="C35" s="2" t="str">
        <f>'法人一覧(26)'!C36</f>
        <v>国立大学財務・経営センター</v>
      </c>
      <c r="D35" s="52">
        <v>18940441117</v>
      </c>
      <c r="E35" s="52">
        <v>2160914360</v>
      </c>
      <c r="F35" s="52">
        <v>-20664638532</v>
      </c>
      <c r="G35" s="52">
        <v>0</v>
      </c>
      <c r="H35" s="52">
        <f t="shared" si="2"/>
        <v>436716945</v>
      </c>
      <c r="I35" s="52">
        <v>4295294473</v>
      </c>
      <c r="J35" s="52">
        <v>4732011418</v>
      </c>
    </row>
    <row r="36" spans="1:10">
      <c r="A36" s="14">
        <f>'法人一覧(26)'!A37</f>
        <v>34</v>
      </c>
      <c r="B36" s="2" t="str">
        <f>'法人一覧(26)'!B37</f>
        <v>文部科学省</v>
      </c>
      <c r="C36" s="2" t="str">
        <f>'法人一覧(26)'!C37</f>
        <v>日本原子力研究開発機構</v>
      </c>
      <c r="D36" s="52">
        <v>17181836420</v>
      </c>
      <c r="E36" s="52">
        <v>-58430572172</v>
      </c>
      <c r="F36" s="52">
        <v>-3320557206</v>
      </c>
      <c r="G36" s="52">
        <v>0</v>
      </c>
      <c r="H36" s="52">
        <f t="shared" si="2"/>
        <v>-44569292958</v>
      </c>
      <c r="I36" s="52">
        <v>152485389284</v>
      </c>
      <c r="J36" s="52">
        <v>107916096326</v>
      </c>
    </row>
    <row r="37" spans="1:10">
      <c r="A37" s="14">
        <f>'法人一覧(26)'!A38</f>
        <v>35</v>
      </c>
      <c r="B37" s="2" t="str">
        <f>'法人一覧(26)'!B38</f>
        <v>厚生労働省</v>
      </c>
      <c r="C37" s="2" t="str">
        <f>'法人一覧(26)'!C38</f>
        <v>国立健康・栄養研究所</v>
      </c>
      <c r="D37" s="52">
        <v>70959403</v>
      </c>
      <c r="E37" s="52">
        <v>-39544200</v>
      </c>
      <c r="F37" s="52">
        <v>0</v>
      </c>
      <c r="G37" s="52">
        <v>0</v>
      </c>
      <c r="H37" s="52">
        <f t="shared" si="2"/>
        <v>31415203</v>
      </c>
      <c r="I37" s="52">
        <v>170352873</v>
      </c>
      <c r="J37" s="52">
        <v>201768076</v>
      </c>
    </row>
    <row r="38" spans="1:10">
      <c r="A38" s="14">
        <f>'法人一覧(26)'!A39</f>
        <v>36</v>
      </c>
      <c r="B38" s="2" t="str">
        <f>'法人一覧(26)'!B39</f>
        <v>厚生労働省</v>
      </c>
      <c r="C38" s="2" t="str">
        <f>'法人一覧(26)'!C39</f>
        <v>労働安全衛生総合研究所</v>
      </c>
      <c r="D38" s="52">
        <v>128759636</v>
      </c>
      <c r="E38" s="52">
        <v>-32639571</v>
      </c>
      <c r="F38" s="52">
        <v>-37404272</v>
      </c>
      <c r="G38" s="52">
        <v>0</v>
      </c>
      <c r="H38" s="52">
        <f t="shared" si="2"/>
        <v>58715793</v>
      </c>
      <c r="I38" s="52">
        <v>843499250</v>
      </c>
      <c r="J38" s="52">
        <v>902215043</v>
      </c>
    </row>
    <row r="39" spans="1:10">
      <c r="A39" s="14">
        <f>'法人一覧(26)'!A40</f>
        <v>37</v>
      </c>
      <c r="B39" s="2" t="str">
        <f>'法人一覧(26)'!B40</f>
        <v>厚生労働省</v>
      </c>
      <c r="C39" s="2" t="str">
        <f>'法人一覧(26)'!C40</f>
        <v>勤労者退職金共済機構</v>
      </c>
      <c r="D39" s="52">
        <v>122584806106</v>
      </c>
      <c r="E39" s="52">
        <v>-55447125024</v>
      </c>
      <c r="F39" s="52">
        <v>-58299663905</v>
      </c>
      <c r="G39" s="52">
        <v>0</v>
      </c>
      <c r="H39" s="52">
        <f t="shared" si="2"/>
        <v>8838017177</v>
      </c>
      <c r="I39" s="52">
        <v>40838756802</v>
      </c>
      <c r="J39" s="52">
        <v>49676773979</v>
      </c>
    </row>
    <row r="40" spans="1:10">
      <c r="A40" s="14">
        <f>'法人一覧(26)'!A41</f>
        <v>38</v>
      </c>
      <c r="B40" s="2" t="str">
        <f>'法人一覧(26)'!B41</f>
        <v>厚生労働省</v>
      </c>
      <c r="C40" s="2" t="str">
        <f>'法人一覧(26)'!C41</f>
        <v>高齢・障害・求職者雇用支援機構</v>
      </c>
      <c r="D40" s="52">
        <v>19036570670</v>
      </c>
      <c r="E40" s="52">
        <v>-6306467309</v>
      </c>
      <c r="F40" s="52">
        <v>-6281523901</v>
      </c>
      <c r="G40" s="52">
        <v>0</v>
      </c>
      <c r="H40" s="52">
        <f t="shared" si="2"/>
        <v>6448579460</v>
      </c>
      <c r="I40" s="52">
        <v>32446734163</v>
      </c>
      <c r="J40" s="52">
        <v>38895313623</v>
      </c>
    </row>
    <row r="41" spans="1:10">
      <c r="A41" s="14">
        <f>'法人一覧(26)'!A42</f>
        <v>39</v>
      </c>
      <c r="B41" s="2" t="str">
        <f>'法人一覧(26)'!B42</f>
        <v>厚生労働省</v>
      </c>
      <c r="C41" s="2" t="str">
        <f>'法人一覧(26)'!C42</f>
        <v>福祉医療機構</v>
      </c>
      <c r="D41" s="52">
        <v>-132373497318</v>
      </c>
      <c r="E41" s="52">
        <v>30509036555</v>
      </c>
      <c r="F41" s="52">
        <v>96154256278</v>
      </c>
      <c r="G41" s="52">
        <v>0</v>
      </c>
      <c r="H41" s="52">
        <f t="shared" si="2"/>
        <v>-5710204485</v>
      </c>
      <c r="I41" s="52">
        <v>11207613459</v>
      </c>
      <c r="J41" s="52">
        <v>5497408974</v>
      </c>
    </row>
    <row r="42" spans="1:10">
      <c r="A42" s="14">
        <f>'法人一覧(26)'!A43</f>
        <v>40</v>
      </c>
      <c r="B42" s="2" t="str">
        <f>'法人一覧(26)'!B43</f>
        <v>厚生労働省</v>
      </c>
      <c r="C42" s="2" t="str">
        <f>'法人一覧(26)'!C43</f>
        <v>国立重度知的障害者総合施設のぞみの園</v>
      </c>
      <c r="D42" s="52">
        <v>416144266</v>
      </c>
      <c r="E42" s="52">
        <v>-32252680</v>
      </c>
      <c r="F42" s="52">
        <v>-2876714</v>
      </c>
      <c r="G42" s="52">
        <v>0</v>
      </c>
      <c r="H42" s="52">
        <f t="shared" si="2"/>
        <v>381014872</v>
      </c>
      <c r="I42" s="52">
        <v>510348143</v>
      </c>
      <c r="J42" s="52">
        <v>891363015</v>
      </c>
    </row>
    <row r="43" spans="1:10">
      <c r="A43" s="14">
        <f>'法人一覧(26)'!A44</f>
        <v>41</v>
      </c>
      <c r="B43" s="2" t="str">
        <f>'法人一覧(26)'!B44</f>
        <v>厚生労働省</v>
      </c>
      <c r="C43" s="2" t="str">
        <f>'法人一覧(26)'!C44</f>
        <v>労働政策研究・研修機構</v>
      </c>
      <c r="D43" s="52">
        <v>174017281</v>
      </c>
      <c r="E43" s="52">
        <v>-21716041</v>
      </c>
      <c r="F43" s="52">
        <v>-32976330</v>
      </c>
      <c r="G43" s="52">
        <v>0</v>
      </c>
      <c r="H43" s="52">
        <f t="shared" si="2"/>
        <v>119324910</v>
      </c>
      <c r="I43" s="52">
        <v>732107638</v>
      </c>
      <c r="J43" s="52">
        <v>851432548</v>
      </c>
    </row>
    <row r="44" spans="1:10">
      <c r="A44" s="14">
        <f>'法人一覧(26)'!A45</f>
        <v>42</v>
      </c>
      <c r="B44" s="2" t="str">
        <f>'法人一覧(26)'!B45</f>
        <v>厚生労働省</v>
      </c>
      <c r="C44" s="2" t="str">
        <f>'法人一覧(26)'!C45</f>
        <v>労働者健康福祉機構</v>
      </c>
      <c r="D44" s="52">
        <v>11385067628</v>
      </c>
      <c r="E44" s="52">
        <v>-10395272149</v>
      </c>
      <c r="F44" s="52">
        <v>-5641548793</v>
      </c>
      <c r="G44" s="52">
        <v>0</v>
      </c>
      <c r="H44" s="52">
        <f t="shared" si="2"/>
        <v>-4651753314</v>
      </c>
      <c r="I44" s="52">
        <v>52318027266</v>
      </c>
      <c r="J44" s="52">
        <v>47666273952</v>
      </c>
    </row>
    <row r="45" spans="1:10">
      <c r="A45" s="14">
        <f>'法人一覧(26)'!A46</f>
        <v>43</v>
      </c>
      <c r="B45" s="2" t="str">
        <f>'法人一覧(26)'!B46</f>
        <v>厚生労働省</v>
      </c>
      <c r="C45" s="2" t="str">
        <f>'法人一覧(26)'!C46</f>
        <v>国立病院機構</v>
      </c>
      <c r="D45" s="52">
        <v>74183588799</v>
      </c>
      <c r="E45" s="52">
        <v>-81201122949</v>
      </c>
      <c r="F45" s="52">
        <v>-22244881342</v>
      </c>
      <c r="G45" s="52">
        <v>0</v>
      </c>
      <c r="H45" s="52">
        <f t="shared" si="2"/>
        <v>-29262415492</v>
      </c>
      <c r="I45" s="52">
        <v>58188505601</v>
      </c>
      <c r="J45" s="52">
        <v>28926090109</v>
      </c>
    </row>
    <row r="46" spans="1:10">
      <c r="A46" s="14">
        <f>'法人一覧(26)'!A47</f>
        <v>44</v>
      </c>
      <c r="B46" s="2" t="str">
        <f>'法人一覧(26)'!B47</f>
        <v>厚生労働省</v>
      </c>
      <c r="C46" s="2" t="str">
        <f>'法人一覧(26)'!C47</f>
        <v>医薬品医療機器総合機構</v>
      </c>
      <c r="D46" s="52">
        <v>1455130711</v>
      </c>
      <c r="E46" s="52">
        <v>-3881425266</v>
      </c>
      <c r="F46" s="52">
        <v>-106005102</v>
      </c>
      <c r="G46" s="52">
        <v>0</v>
      </c>
      <c r="H46" s="52">
        <f t="shared" si="2"/>
        <v>-2532299657</v>
      </c>
      <c r="I46" s="52">
        <v>25452409754</v>
      </c>
      <c r="J46" s="52">
        <v>22920110097</v>
      </c>
    </row>
    <row r="47" spans="1:10">
      <c r="A47" s="14">
        <f>'法人一覧(26)'!A48</f>
        <v>45</v>
      </c>
      <c r="B47" s="2" t="str">
        <f>'法人一覧(26)'!B48</f>
        <v>厚生労働省</v>
      </c>
      <c r="C47" s="2" t="str">
        <f>'法人一覧(26)'!C48</f>
        <v>医薬基盤研究所</v>
      </c>
      <c r="D47" s="52">
        <v>2482424183</v>
      </c>
      <c r="E47" s="52">
        <v>-2585206150</v>
      </c>
      <c r="F47" s="52">
        <v>-126590182</v>
      </c>
      <c r="G47" s="52">
        <v>0</v>
      </c>
      <c r="H47" s="52">
        <f t="shared" si="2"/>
        <v>-229372149</v>
      </c>
      <c r="I47" s="52">
        <v>5175892430</v>
      </c>
      <c r="J47" s="52">
        <v>4946520281</v>
      </c>
    </row>
    <row r="48" spans="1:10">
      <c r="A48" s="14">
        <f>'法人一覧(26)'!A49</f>
        <v>46</v>
      </c>
      <c r="B48" s="2" t="str">
        <f>'法人一覧(26)'!B49</f>
        <v>厚生労働省</v>
      </c>
      <c r="C48" s="2" t="str">
        <f>'法人一覧(26)'!C49</f>
        <v>地域医療機能推進機構</v>
      </c>
      <c r="D48" s="52">
        <v>28243550584</v>
      </c>
      <c r="E48" s="52">
        <v>-31628702121</v>
      </c>
      <c r="F48" s="52">
        <v>-461435841</v>
      </c>
      <c r="G48" s="52">
        <v>0</v>
      </c>
      <c r="H48" s="52">
        <f t="shared" si="2"/>
        <v>-3846587378</v>
      </c>
      <c r="I48" s="52">
        <v>31775442975</v>
      </c>
      <c r="J48" s="52">
        <v>27928855597</v>
      </c>
    </row>
    <row r="49" spans="1:10">
      <c r="A49" s="14">
        <f>'法人一覧(26)'!A50</f>
        <v>47</v>
      </c>
      <c r="B49" s="2" t="str">
        <f>'法人一覧(26)'!B50</f>
        <v>厚生労働省</v>
      </c>
      <c r="C49" s="2" t="str">
        <f>'法人一覧(26)'!C50</f>
        <v>年金積立金管理運用</v>
      </c>
      <c r="D49" s="52">
        <v>39743127</v>
      </c>
      <c r="E49" s="52">
        <v>-181718</v>
      </c>
      <c r="F49" s="52">
        <v>-38212723</v>
      </c>
      <c r="G49" s="52">
        <v>0</v>
      </c>
      <c r="H49" s="52">
        <f t="shared" si="2"/>
        <v>1348686</v>
      </c>
      <c r="I49" s="52">
        <v>4612860</v>
      </c>
      <c r="J49" s="52">
        <v>5961546</v>
      </c>
    </row>
    <row r="50" spans="1:10">
      <c r="A50" s="14">
        <f>'法人一覧(26)'!A51</f>
        <v>48</v>
      </c>
      <c r="B50" s="2" t="str">
        <f>'法人一覧(26)'!B51</f>
        <v>厚生労働省</v>
      </c>
      <c r="C50" s="2" t="str">
        <f>'法人一覧(26)'!C51</f>
        <v>国立がん研究センター</v>
      </c>
      <c r="D50" s="52">
        <v>5096258001</v>
      </c>
      <c r="E50" s="52">
        <v>7639434068</v>
      </c>
      <c r="F50" s="52">
        <v>-2761955543</v>
      </c>
      <c r="G50" s="52">
        <v>0</v>
      </c>
      <c r="H50" s="52">
        <f t="shared" si="2"/>
        <v>9973736526</v>
      </c>
      <c r="I50" s="52">
        <v>5454154412</v>
      </c>
      <c r="J50" s="52">
        <v>15427890938</v>
      </c>
    </row>
    <row r="51" spans="1:10">
      <c r="A51" s="14">
        <f>'法人一覧(26)'!A52</f>
        <v>49</v>
      </c>
      <c r="B51" s="2" t="str">
        <f>'法人一覧(26)'!B52</f>
        <v>厚生労働省</v>
      </c>
      <c r="C51" s="2" t="str">
        <f>'法人一覧(26)'!C52</f>
        <v>国立循環器病研究センター</v>
      </c>
      <c r="D51" s="52">
        <v>1454717533</v>
      </c>
      <c r="E51" s="52">
        <v>4035627962</v>
      </c>
      <c r="F51" s="52">
        <v>-322149792</v>
      </c>
      <c r="G51" s="52">
        <v>0</v>
      </c>
      <c r="H51" s="52">
        <f t="shared" si="2"/>
        <v>5168195703</v>
      </c>
      <c r="I51" s="52">
        <v>5368474244</v>
      </c>
      <c r="J51" s="52">
        <v>10536669947</v>
      </c>
    </row>
    <row r="52" spans="1:10">
      <c r="A52" s="14">
        <f>'法人一覧(26)'!A53</f>
        <v>50</v>
      </c>
      <c r="B52" s="2" t="str">
        <f>'法人一覧(26)'!B53</f>
        <v>厚生労働省</v>
      </c>
      <c r="C52" s="2" t="str">
        <f>'法人一覧(26)'!C53</f>
        <v>国立精神・神経医療研究センター</v>
      </c>
      <c r="D52" s="52">
        <v>587028551</v>
      </c>
      <c r="E52" s="52">
        <v>-711369204</v>
      </c>
      <c r="F52" s="52">
        <v>-185323063</v>
      </c>
      <c r="G52" s="52">
        <v>0</v>
      </c>
      <c r="H52" s="52">
        <f t="shared" si="2"/>
        <v>-309663716</v>
      </c>
      <c r="I52" s="52">
        <v>2699513694</v>
      </c>
      <c r="J52" s="52">
        <v>2389849978</v>
      </c>
    </row>
    <row r="53" spans="1:10">
      <c r="A53" s="14">
        <f>'法人一覧(26)'!A54</f>
        <v>51</v>
      </c>
      <c r="B53" s="2" t="str">
        <f>'法人一覧(26)'!B54</f>
        <v>厚生労働省</v>
      </c>
      <c r="C53" s="2" t="str">
        <f>'法人一覧(26)'!C54</f>
        <v>国立国際医療研究センター</v>
      </c>
      <c r="D53" s="52">
        <v>2263759757</v>
      </c>
      <c r="E53" s="52">
        <v>-4564892516</v>
      </c>
      <c r="F53" s="52">
        <v>568597946</v>
      </c>
      <c r="G53" s="52">
        <v>0</v>
      </c>
      <c r="H53" s="52">
        <f t="shared" si="2"/>
        <v>-1732534813</v>
      </c>
      <c r="I53" s="52">
        <v>5495842699</v>
      </c>
      <c r="J53" s="52">
        <v>3763307886</v>
      </c>
    </row>
    <row r="54" spans="1:10">
      <c r="A54" s="14">
        <f>'法人一覧(26)'!A55</f>
        <v>52</v>
      </c>
      <c r="B54" s="2" t="str">
        <f>'法人一覧(26)'!B55</f>
        <v>厚生労働省</v>
      </c>
      <c r="C54" s="2" t="str">
        <f>'法人一覧(26)'!C55</f>
        <v>国立成育医療研究センター</v>
      </c>
      <c r="D54" s="52">
        <v>-1200686947</v>
      </c>
      <c r="E54" s="52">
        <v>-2189764337</v>
      </c>
      <c r="F54" s="52">
        <v>-1084446648</v>
      </c>
      <c r="G54" s="52">
        <v>0</v>
      </c>
      <c r="H54" s="52">
        <f t="shared" si="2"/>
        <v>-4474897932</v>
      </c>
      <c r="I54" s="52">
        <v>5635423303</v>
      </c>
      <c r="J54" s="52">
        <v>1160525371</v>
      </c>
    </row>
    <row r="55" spans="1:10">
      <c r="A55" s="14">
        <f>'法人一覧(26)'!A56</f>
        <v>53</v>
      </c>
      <c r="B55" s="2" t="str">
        <f>'法人一覧(26)'!B56</f>
        <v>厚生労働省</v>
      </c>
      <c r="C55" s="2" t="str">
        <f>'法人一覧(26)'!C56</f>
        <v>国立長寿医療研究センター</v>
      </c>
      <c r="D55" s="52">
        <v>748488110</v>
      </c>
      <c r="E55" s="52">
        <v>-132048355</v>
      </c>
      <c r="F55" s="52">
        <v>-179919304</v>
      </c>
      <c r="G55" s="52">
        <v>0</v>
      </c>
      <c r="H55" s="52">
        <f t="shared" si="2"/>
        <v>436520451</v>
      </c>
      <c r="I55" s="52">
        <v>2732722579</v>
      </c>
      <c r="J55" s="52">
        <v>3169243030</v>
      </c>
    </row>
    <row r="56" spans="1:10">
      <c r="A56" s="14">
        <f>'法人一覧(26)'!A57</f>
        <v>54</v>
      </c>
      <c r="B56" s="2" t="str">
        <f>'法人一覧(26)'!B57</f>
        <v>農林水産省</v>
      </c>
      <c r="C56" s="2" t="str">
        <f>'法人一覧(26)'!C57</f>
        <v>農林水産消費安全技術センター</v>
      </c>
      <c r="D56" s="52">
        <v>51299997</v>
      </c>
      <c r="E56" s="52">
        <v>-137315884</v>
      </c>
      <c r="F56" s="52">
        <v>-3188151</v>
      </c>
      <c r="G56" s="52">
        <v>0</v>
      </c>
      <c r="H56" s="52">
        <f t="shared" ref="H56:H74" si="3">SUM(D56:G56)</f>
        <v>-89204038</v>
      </c>
      <c r="I56" s="52">
        <v>1692974675</v>
      </c>
      <c r="J56" s="52">
        <v>1603770637</v>
      </c>
    </row>
    <row r="57" spans="1:10">
      <c r="A57" s="14">
        <f>'法人一覧(26)'!A58</f>
        <v>55</v>
      </c>
      <c r="B57" s="2" t="str">
        <f>'法人一覧(26)'!B58</f>
        <v>農林水産省</v>
      </c>
      <c r="C57" s="2" t="str">
        <f>'法人一覧(26)'!C58</f>
        <v>種苗管理センター</v>
      </c>
      <c r="D57" s="29">
        <v>77257998</v>
      </c>
      <c r="E57" s="29">
        <v>61133284</v>
      </c>
      <c r="F57" s="29">
        <v>-1065384</v>
      </c>
      <c r="G57" s="29">
        <v>0</v>
      </c>
      <c r="H57" s="29">
        <f t="shared" si="3"/>
        <v>137325898</v>
      </c>
      <c r="I57" s="29">
        <v>395457483</v>
      </c>
      <c r="J57" s="29">
        <v>532783381</v>
      </c>
    </row>
    <row r="58" spans="1:10">
      <c r="A58" s="14">
        <f>'法人一覧(26)'!A59</f>
        <v>56</v>
      </c>
      <c r="B58" s="2" t="str">
        <f>'法人一覧(26)'!B59</f>
        <v>農林水産省</v>
      </c>
      <c r="C58" s="2" t="str">
        <f>'法人一覧(26)'!C59</f>
        <v>家畜改良センター</v>
      </c>
      <c r="D58" s="29">
        <v>1579404655</v>
      </c>
      <c r="E58" s="29">
        <v>-1511483319</v>
      </c>
      <c r="F58" s="29">
        <v>-33187752</v>
      </c>
      <c r="G58" s="29">
        <v>0</v>
      </c>
      <c r="H58" s="29">
        <f t="shared" si="3"/>
        <v>34733584</v>
      </c>
      <c r="I58" s="29">
        <v>1618446509</v>
      </c>
      <c r="J58" s="29">
        <v>1653180093</v>
      </c>
    </row>
    <row r="59" spans="1:10">
      <c r="A59" s="14">
        <f>'法人一覧(26)'!A60</f>
        <v>57</v>
      </c>
      <c r="B59" s="2" t="str">
        <f>'法人一覧(26)'!B60</f>
        <v>農林水産省</v>
      </c>
      <c r="C59" s="2" t="str">
        <f>'法人一覧(26)'!C60</f>
        <v>水産大学校</v>
      </c>
      <c r="D59" s="29">
        <v>109994787</v>
      </c>
      <c r="E59" s="29">
        <v>-48419125</v>
      </c>
      <c r="F59" s="29">
        <v>0</v>
      </c>
      <c r="G59" s="29">
        <v>0</v>
      </c>
      <c r="H59" s="29">
        <f t="shared" si="3"/>
        <v>61575662</v>
      </c>
      <c r="I59" s="29">
        <v>611768078</v>
      </c>
      <c r="J59" s="29">
        <v>673343740</v>
      </c>
    </row>
    <row r="60" spans="1:10">
      <c r="A60" s="14">
        <f>'法人一覧(26)'!A61</f>
        <v>58</v>
      </c>
      <c r="B60" s="2" t="str">
        <f>'法人一覧(26)'!B61</f>
        <v>農林水産省</v>
      </c>
      <c r="C60" s="2" t="str">
        <f>'法人一覧(26)'!C61</f>
        <v>農業・食品産業技術総合研究機構</v>
      </c>
      <c r="D60" s="29">
        <v>-1089821881</v>
      </c>
      <c r="E60" s="29">
        <v>-756402764</v>
      </c>
      <c r="F60" s="29">
        <v>-889885784</v>
      </c>
      <c r="G60" s="29">
        <v>0</v>
      </c>
      <c r="H60" s="29">
        <f t="shared" si="3"/>
        <v>-2736110429</v>
      </c>
      <c r="I60" s="29">
        <v>18426431929</v>
      </c>
      <c r="J60" s="29">
        <v>15690321500</v>
      </c>
    </row>
    <row r="61" spans="1:10">
      <c r="A61" s="14">
        <f>'法人一覧(26)'!A62</f>
        <v>59</v>
      </c>
      <c r="B61" s="2" t="str">
        <f>'法人一覧(26)'!B62</f>
        <v>農林水産省</v>
      </c>
      <c r="C61" s="2" t="str">
        <f>'法人一覧(26)'!C62</f>
        <v>農業生物資源研究所</v>
      </c>
      <c r="D61" s="29">
        <v>716148304</v>
      </c>
      <c r="E61" s="29">
        <v>-358483215</v>
      </c>
      <c r="F61" s="29">
        <v>-170652574</v>
      </c>
      <c r="G61" s="29">
        <v>0</v>
      </c>
      <c r="H61" s="29">
        <f t="shared" si="3"/>
        <v>187012515</v>
      </c>
      <c r="I61" s="29">
        <v>1266633893</v>
      </c>
      <c r="J61" s="29">
        <v>1453646408</v>
      </c>
    </row>
    <row r="62" spans="1:10">
      <c r="A62" s="14">
        <f>'法人一覧(26)'!A63</f>
        <v>60</v>
      </c>
      <c r="B62" s="2" t="str">
        <f>'法人一覧(26)'!B63</f>
        <v>農林水産省</v>
      </c>
      <c r="C62" s="2" t="str">
        <f>'法人一覧(26)'!C63</f>
        <v>農業環境技術研究所</v>
      </c>
      <c r="D62" s="29">
        <v>134396507</v>
      </c>
      <c r="E62" s="29">
        <v>-169534868</v>
      </c>
      <c r="F62" s="29">
        <v>-4107600</v>
      </c>
      <c r="G62" s="29">
        <v>0</v>
      </c>
      <c r="H62" s="29">
        <f t="shared" si="3"/>
        <v>-39245961</v>
      </c>
      <c r="I62" s="29">
        <v>498395562</v>
      </c>
      <c r="J62" s="29">
        <v>459149601</v>
      </c>
    </row>
    <row r="63" spans="1:10">
      <c r="A63" s="14">
        <f>'法人一覧(26)'!A64</f>
        <v>61</v>
      </c>
      <c r="B63" s="2" t="str">
        <f>'法人一覧(26)'!B64</f>
        <v>農林水産省</v>
      </c>
      <c r="C63" s="2" t="str">
        <f>'法人一覧(26)'!C64</f>
        <v>国際農林水産業研究センター</v>
      </c>
      <c r="D63" s="29">
        <v>324517801</v>
      </c>
      <c r="E63" s="29">
        <v>-101058325</v>
      </c>
      <c r="F63" s="29">
        <v>0</v>
      </c>
      <c r="G63" s="29">
        <v>0</v>
      </c>
      <c r="H63" s="29">
        <f t="shared" si="3"/>
        <v>223459476</v>
      </c>
      <c r="I63" s="29">
        <v>340621097</v>
      </c>
      <c r="J63" s="29">
        <v>564080573</v>
      </c>
    </row>
    <row r="64" spans="1:10">
      <c r="A64" s="14">
        <f>'法人一覧(26)'!A65</f>
        <v>62</v>
      </c>
      <c r="B64" s="2" t="str">
        <f>'法人一覧(26)'!B65</f>
        <v>農林水産省</v>
      </c>
      <c r="C64" s="2" t="str">
        <f>'法人一覧(26)'!C65</f>
        <v>森林総合研究所</v>
      </c>
      <c r="D64" s="52">
        <v>12039783937</v>
      </c>
      <c r="E64" s="52">
        <v>60745741</v>
      </c>
      <c r="F64" s="52">
        <v>-12669438941</v>
      </c>
      <c r="G64" s="52">
        <v>0</v>
      </c>
      <c r="H64" s="52">
        <f t="shared" si="3"/>
        <v>-568909263</v>
      </c>
      <c r="I64" s="52">
        <v>4614888642</v>
      </c>
      <c r="J64" s="52">
        <v>4045979379</v>
      </c>
    </row>
    <row r="65" spans="1:10">
      <c r="A65" s="14">
        <f>'法人一覧(26)'!A66</f>
        <v>63</v>
      </c>
      <c r="B65" s="2" t="str">
        <f>'法人一覧(26)'!B66</f>
        <v>農林水産省</v>
      </c>
      <c r="C65" s="2" t="str">
        <f>'法人一覧(26)'!C66</f>
        <v>水産総合研究センター</v>
      </c>
      <c r="D65" s="29">
        <v>635402208</v>
      </c>
      <c r="E65" s="29">
        <v>-714749611</v>
      </c>
      <c r="F65" s="29">
        <v>0</v>
      </c>
      <c r="G65" s="29">
        <v>0</v>
      </c>
      <c r="H65" s="29">
        <f t="shared" si="3"/>
        <v>-79347403</v>
      </c>
      <c r="I65" s="29">
        <v>3591121678</v>
      </c>
      <c r="J65" s="29">
        <v>3511774275</v>
      </c>
    </row>
    <row r="66" spans="1:10">
      <c r="A66" s="14">
        <f>'法人一覧(26)'!A67</f>
        <v>64</v>
      </c>
      <c r="B66" s="2" t="str">
        <f>'法人一覧(26)'!B67</f>
        <v>農林水産省</v>
      </c>
      <c r="C66" s="2" t="str">
        <f>'法人一覧(26)'!C67</f>
        <v>農畜産業振興機構</v>
      </c>
      <c r="D66" s="29">
        <v>1227779480</v>
      </c>
      <c r="E66" s="29">
        <v>-38201027319</v>
      </c>
      <c r="F66" s="29">
        <v>-81723423876</v>
      </c>
      <c r="G66" s="29">
        <v>0</v>
      </c>
      <c r="H66" s="29">
        <f t="shared" si="3"/>
        <v>-118696671715</v>
      </c>
      <c r="I66" s="29">
        <v>170548243673</v>
      </c>
      <c r="J66" s="29">
        <v>51851571958</v>
      </c>
    </row>
    <row r="67" spans="1:10">
      <c r="A67" s="14">
        <f>'法人一覧(26)'!A68</f>
        <v>65</v>
      </c>
      <c r="B67" s="2" t="str">
        <f>'法人一覧(26)'!B68</f>
        <v>農林水産省</v>
      </c>
      <c r="C67" s="2" t="str">
        <f>'法人一覧(26)'!C68</f>
        <v>農業者年金基金</v>
      </c>
      <c r="D67" s="29">
        <v>19222525001</v>
      </c>
      <c r="E67" s="29">
        <v>-18967128977</v>
      </c>
      <c r="F67" s="29">
        <v>-5400000000</v>
      </c>
      <c r="G67" s="29">
        <v>0</v>
      </c>
      <c r="H67" s="29">
        <f t="shared" si="3"/>
        <v>-5144603976</v>
      </c>
      <c r="I67" s="29">
        <v>10882500953</v>
      </c>
      <c r="J67" s="29">
        <v>5737896977</v>
      </c>
    </row>
    <row r="68" spans="1:10">
      <c r="A68" s="14">
        <f>'法人一覧(26)'!A69</f>
        <v>66</v>
      </c>
      <c r="B68" s="2" t="str">
        <f>'法人一覧(26)'!B69</f>
        <v>農林水産省</v>
      </c>
      <c r="C68" s="2" t="str">
        <f>'法人一覧(26)'!C69</f>
        <v>農林漁業信用基金</v>
      </c>
      <c r="D68" s="29">
        <v>7463526712</v>
      </c>
      <c r="E68" s="29">
        <v>-4052823071</v>
      </c>
      <c r="F68" s="29">
        <v>-269150000</v>
      </c>
      <c r="G68" s="29">
        <v>0</v>
      </c>
      <c r="H68" s="29">
        <f t="shared" si="3"/>
        <v>3141553641</v>
      </c>
      <c r="I68" s="29">
        <v>34461204178</v>
      </c>
      <c r="J68" s="29">
        <v>37602757819</v>
      </c>
    </row>
    <row r="69" spans="1:10">
      <c r="A69" s="14">
        <f>'法人一覧(26)'!A70</f>
        <v>67</v>
      </c>
      <c r="B69" s="2" t="str">
        <f>'法人一覧(26)'!B70</f>
        <v>経済産業省</v>
      </c>
      <c r="C69" s="2" t="str">
        <f>'法人一覧(26)'!C70</f>
        <v>経済産業研究所</v>
      </c>
      <c r="D69" s="29">
        <v>50674931</v>
      </c>
      <c r="E69" s="29">
        <v>-10107450</v>
      </c>
      <c r="F69" s="29">
        <v>0</v>
      </c>
      <c r="G69" s="29">
        <v>0</v>
      </c>
      <c r="H69" s="29">
        <f t="shared" si="3"/>
        <v>40567481</v>
      </c>
      <c r="I69" s="29">
        <v>633037894</v>
      </c>
      <c r="J69" s="29">
        <v>673605375</v>
      </c>
    </row>
    <row r="70" spans="1:10">
      <c r="A70" s="14">
        <f>'法人一覧(26)'!A71</f>
        <v>68</v>
      </c>
      <c r="B70" s="2" t="str">
        <f>'法人一覧(26)'!B71</f>
        <v>経済産業省</v>
      </c>
      <c r="C70" s="2" t="str">
        <f>'法人一覧(26)'!C71</f>
        <v>工業所有権情報・研修館</v>
      </c>
      <c r="D70" s="29">
        <v>2220868784</v>
      </c>
      <c r="E70" s="29">
        <v>-996351998</v>
      </c>
      <c r="F70" s="29">
        <v>0</v>
      </c>
      <c r="G70" s="29">
        <v>0</v>
      </c>
      <c r="H70" s="29">
        <f t="shared" si="3"/>
        <v>1224516786</v>
      </c>
      <c r="I70" s="29">
        <v>5105752777</v>
      </c>
      <c r="J70" s="29">
        <v>6330269563</v>
      </c>
    </row>
    <row r="71" spans="1:10">
      <c r="A71" s="14">
        <f>'法人一覧(26)'!A72</f>
        <v>69</v>
      </c>
      <c r="B71" s="2" t="str">
        <f>'法人一覧(26)'!B72</f>
        <v>経済産業省</v>
      </c>
      <c r="C71" s="2" t="str">
        <f>'法人一覧(26)'!C72</f>
        <v>日本貿易保険</v>
      </c>
      <c r="D71" s="29">
        <v>34914000000</v>
      </c>
      <c r="E71" s="29">
        <v>-31737000000</v>
      </c>
      <c r="F71" s="29">
        <v>0</v>
      </c>
      <c r="G71" s="29">
        <v>216000000</v>
      </c>
      <c r="H71" s="29">
        <f t="shared" si="3"/>
        <v>3393000000</v>
      </c>
      <c r="I71" s="29">
        <v>9101000000</v>
      </c>
      <c r="J71" s="29">
        <v>12494000000</v>
      </c>
    </row>
    <row r="72" spans="1:10">
      <c r="A72" s="14">
        <f>'法人一覧(26)'!A73</f>
        <v>70</v>
      </c>
      <c r="B72" s="2" t="str">
        <f>'法人一覧(26)'!B73</f>
        <v>経済産業省</v>
      </c>
      <c r="C72" s="2" t="str">
        <f>'法人一覧(26)'!C73</f>
        <v>産業技術総合研究所</v>
      </c>
      <c r="D72" s="29">
        <v>8479981079</v>
      </c>
      <c r="E72" s="29">
        <v>-8121347338</v>
      </c>
      <c r="F72" s="29">
        <v>-608979</v>
      </c>
      <c r="G72" s="29">
        <v>0</v>
      </c>
      <c r="H72" s="29">
        <f t="shared" si="3"/>
        <v>358024762</v>
      </c>
      <c r="I72" s="29">
        <v>18902872676</v>
      </c>
      <c r="J72" s="29">
        <v>19260897438</v>
      </c>
    </row>
    <row r="73" spans="1:10">
      <c r="A73" s="14">
        <f>'法人一覧(26)'!A74</f>
        <v>71</v>
      </c>
      <c r="B73" s="2" t="str">
        <f>'法人一覧(26)'!B74</f>
        <v>経済産業省</v>
      </c>
      <c r="C73" s="2" t="str">
        <f>'法人一覧(26)'!C74</f>
        <v>製品評価技術基盤機構</v>
      </c>
      <c r="D73" s="29">
        <v>426514177</v>
      </c>
      <c r="E73" s="29">
        <v>-1254237052</v>
      </c>
      <c r="F73" s="29">
        <v>-244746467</v>
      </c>
      <c r="G73" s="29">
        <v>0</v>
      </c>
      <c r="H73" s="29">
        <f t="shared" si="3"/>
        <v>-1072469342</v>
      </c>
      <c r="I73" s="29">
        <v>3098727339</v>
      </c>
      <c r="J73" s="29">
        <v>2026257997</v>
      </c>
    </row>
    <row r="74" spans="1:10">
      <c r="A74" s="14">
        <f>'法人一覧(26)'!A75</f>
        <v>72</v>
      </c>
      <c r="B74" s="2" t="str">
        <f>'法人一覧(26)'!B75</f>
        <v>経済産業省</v>
      </c>
      <c r="C74" s="2" t="str">
        <f>'法人一覧(26)'!C75</f>
        <v>新エネルギー・産業技術総合開発機構</v>
      </c>
      <c r="D74" s="52">
        <v>28164020258</v>
      </c>
      <c r="E74" s="52">
        <v>-28762777605</v>
      </c>
      <c r="F74" s="52">
        <v>0</v>
      </c>
      <c r="G74" s="52">
        <v>0</v>
      </c>
      <c r="H74" s="52">
        <f t="shared" si="3"/>
        <v>-598757347</v>
      </c>
      <c r="I74" s="52">
        <v>1243041453</v>
      </c>
      <c r="J74" s="52">
        <v>644284106</v>
      </c>
    </row>
    <row r="75" spans="1:10">
      <c r="A75" s="14">
        <f>'法人一覧(26)'!A76</f>
        <v>73</v>
      </c>
      <c r="B75" s="2" t="str">
        <f>'法人一覧(26)'!B76</f>
        <v>経済産業省</v>
      </c>
      <c r="C75" s="2" t="str">
        <f>'法人一覧(26)'!C76</f>
        <v>日本貿易振興機構</v>
      </c>
      <c r="D75" s="52">
        <v>-3524874254</v>
      </c>
      <c r="E75" s="52">
        <v>-306652139</v>
      </c>
      <c r="F75" s="52">
        <v>-6934826837</v>
      </c>
      <c r="G75" s="52">
        <v>35473410</v>
      </c>
      <c r="H75" s="52">
        <f t="shared" ref="H75:H97" si="4">SUM(D75:G75)</f>
        <v>-10730879820</v>
      </c>
      <c r="I75" s="52">
        <v>14542635507</v>
      </c>
      <c r="J75" s="52">
        <v>3811755687</v>
      </c>
    </row>
    <row r="76" spans="1:10">
      <c r="A76" s="14">
        <f>'法人一覧(26)'!A77</f>
        <v>74</v>
      </c>
      <c r="B76" s="2" t="str">
        <f>'法人一覧(26)'!B77</f>
        <v>経済産業省</v>
      </c>
      <c r="C76" s="2" t="str">
        <f>'法人一覧(26)'!C77</f>
        <v>情報処理推進機構</v>
      </c>
      <c r="D76" s="52">
        <v>-42564252</v>
      </c>
      <c r="E76" s="52">
        <v>-1247531142</v>
      </c>
      <c r="F76" s="52">
        <v>-21953470</v>
      </c>
      <c r="G76" s="52">
        <v>0</v>
      </c>
      <c r="H76" s="52">
        <f t="shared" si="4"/>
        <v>-1312048864</v>
      </c>
      <c r="I76" s="52">
        <v>4109052075</v>
      </c>
      <c r="J76" s="52">
        <v>2797003211</v>
      </c>
    </row>
    <row r="77" spans="1:10">
      <c r="A77" s="14">
        <f>'法人一覧(26)'!A78</f>
        <v>75</v>
      </c>
      <c r="B77" s="2" t="str">
        <f>'法人一覧(26)'!B78</f>
        <v>経済産業省</v>
      </c>
      <c r="C77" s="2" t="str">
        <f>'法人一覧(26)'!C78</f>
        <v>石油天然ガス・金属鉱物資源機構</v>
      </c>
      <c r="D77" s="29">
        <v>-54583349359</v>
      </c>
      <c r="E77" s="29">
        <v>-40584020761</v>
      </c>
      <c r="F77" s="29">
        <v>81004179427</v>
      </c>
      <c r="G77" s="29">
        <v>6142223</v>
      </c>
      <c r="H77" s="29">
        <f t="shared" si="4"/>
        <v>-14157048470</v>
      </c>
      <c r="I77" s="29">
        <v>28511992053</v>
      </c>
      <c r="J77" s="29">
        <v>14354943583</v>
      </c>
    </row>
    <row r="78" spans="1:10">
      <c r="A78" s="14">
        <f>'法人一覧(26)'!A79</f>
        <v>76</v>
      </c>
      <c r="B78" s="2" t="str">
        <f>'法人一覧(26)'!B79</f>
        <v>経済産業省</v>
      </c>
      <c r="C78" s="2" t="str">
        <f>'法人一覧(26)'!C79</f>
        <v>中小企業基盤整備機構</v>
      </c>
      <c r="D78" s="29">
        <v>278019678547</v>
      </c>
      <c r="E78" s="29">
        <v>-273662872005</v>
      </c>
      <c r="F78" s="29">
        <v>-806977472</v>
      </c>
      <c r="G78" s="29">
        <v>0</v>
      </c>
      <c r="H78" s="29">
        <f t="shared" si="4"/>
        <v>3549829070</v>
      </c>
      <c r="I78" s="29">
        <v>18447473199</v>
      </c>
      <c r="J78" s="29">
        <v>21997302269</v>
      </c>
    </row>
    <row r="79" spans="1:10">
      <c r="A79" s="14">
        <f>'法人一覧(26)'!A80</f>
        <v>77</v>
      </c>
      <c r="B79" s="2" t="str">
        <f>'法人一覧(26)'!B80</f>
        <v>国土交通省</v>
      </c>
      <c r="C79" s="2" t="str">
        <f>'法人一覧(26)'!C80</f>
        <v>土木研究所</v>
      </c>
      <c r="D79" s="52">
        <v>192297623</v>
      </c>
      <c r="E79" s="52">
        <v>369074940</v>
      </c>
      <c r="F79" s="52">
        <v>-9361364</v>
      </c>
      <c r="G79" s="52">
        <v>0</v>
      </c>
      <c r="H79" s="52">
        <f t="shared" si="4"/>
        <v>552011199</v>
      </c>
      <c r="I79" s="52">
        <v>2340912532</v>
      </c>
      <c r="J79" s="52">
        <v>2892923731</v>
      </c>
    </row>
    <row r="80" spans="1:10">
      <c r="A80" s="14">
        <f>'法人一覧(26)'!A81</f>
        <v>78</v>
      </c>
      <c r="B80" s="2" t="str">
        <f>'法人一覧(26)'!B81</f>
        <v>国土交通省</v>
      </c>
      <c r="C80" s="2" t="str">
        <f>'法人一覧(26)'!C81</f>
        <v>建築研究所</v>
      </c>
      <c r="D80" s="52">
        <v>85284125</v>
      </c>
      <c r="E80" s="52">
        <v>180557088</v>
      </c>
      <c r="F80" s="52">
        <v>-7233301</v>
      </c>
      <c r="G80" s="52">
        <v>0</v>
      </c>
      <c r="H80" s="52">
        <f t="shared" si="4"/>
        <v>258607912</v>
      </c>
      <c r="I80" s="52">
        <v>293144367</v>
      </c>
      <c r="J80" s="52">
        <v>551752279</v>
      </c>
    </row>
    <row r="81" spans="1:10">
      <c r="A81" s="14">
        <f>'法人一覧(26)'!A82</f>
        <v>79</v>
      </c>
      <c r="B81" s="2" t="str">
        <f>'法人一覧(26)'!B82</f>
        <v>国土交通省</v>
      </c>
      <c r="C81" s="2" t="str">
        <f>'法人一覧(26)'!C82</f>
        <v>交通安全環境研究所</v>
      </c>
      <c r="D81" s="52">
        <v>400822215</v>
      </c>
      <c r="E81" s="52">
        <v>-99225941</v>
      </c>
      <c r="F81" s="52">
        <v>-36189835</v>
      </c>
      <c r="G81" s="52">
        <v>0</v>
      </c>
      <c r="H81" s="52">
        <f t="shared" si="4"/>
        <v>265406439</v>
      </c>
      <c r="I81" s="52">
        <v>149146250</v>
      </c>
      <c r="J81" s="52">
        <v>414552689</v>
      </c>
    </row>
    <row r="82" spans="1:10">
      <c r="A82" s="14">
        <f>'法人一覧(26)'!A83</f>
        <v>80</v>
      </c>
      <c r="B82" s="2" t="str">
        <f>'法人一覧(26)'!B83</f>
        <v>国土交通省</v>
      </c>
      <c r="C82" s="2" t="str">
        <f>'法人一覧(26)'!C83</f>
        <v>海上技術安全研究所</v>
      </c>
      <c r="D82" s="52">
        <v>985192859</v>
      </c>
      <c r="E82" s="52">
        <v>-607936434</v>
      </c>
      <c r="F82" s="52">
        <v>-4529040</v>
      </c>
      <c r="G82" s="52">
        <v>0</v>
      </c>
      <c r="H82" s="52">
        <f t="shared" si="4"/>
        <v>372727385</v>
      </c>
      <c r="I82" s="52">
        <v>399180945</v>
      </c>
      <c r="J82" s="52">
        <v>771908330</v>
      </c>
    </row>
    <row r="83" spans="1:10">
      <c r="A83" s="14">
        <f>'法人一覧(26)'!A84</f>
        <v>81</v>
      </c>
      <c r="B83" s="2" t="str">
        <f>'法人一覧(26)'!B84</f>
        <v>国土交通省</v>
      </c>
      <c r="C83" s="2" t="str">
        <f>'法人一覧(26)'!C84</f>
        <v>港湾空港技術研究所</v>
      </c>
      <c r="D83" s="52">
        <v>300454304</v>
      </c>
      <c r="E83" s="52">
        <v>59889314</v>
      </c>
      <c r="F83" s="52">
        <v>-38193075</v>
      </c>
      <c r="G83" s="52">
        <v>0</v>
      </c>
      <c r="H83" s="52">
        <f t="shared" si="4"/>
        <v>322150543</v>
      </c>
      <c r="I83" s="52">
        <v>649430711</v>
      </c>
      <c r="J83" s="52">
        <v>971581254</v>
      </c>
    </row>
    <row r="84" spans="1:10">
      <c r="A84" s="14">
        <f>'法人一覧(26)'!A85</f>
        <v>82</v>
      </c>
      <c r="B84" s="2" t="str">
        <f>'法人一覧(26)'!B85</f>
        <v>国土交通省</v>
      </c>
      <c r="C84" s="2" t="str">
        <f>'法人一覧(26)'!C85</f>
        <v>電子航法研究所</v>
      </c>
      <c r="D84" s="52">
        <v>338414071</v>
      </c>
      <c r="E84" s="52">
        <v>-248738083</v>
      </c>
      <c r="F84" s="52">
        <v>-9162341</v>
      </c>
      <c r="G84" s="52">
        <v>0</v>
      </c>
      <c r="H84" s="52">
        <f t="shared" si="4"/>
        <v>80513647</v>
      </c>
      <c r="I84" s="52">
        <v>545099827</v>
      </c>
      <c r="J84" s="52">
        <v>625613474</v>
      </c>
    </row>
    <row r="85" spans="1:10">
      <c r="A85" s="14">
        <f>'法人一覧(26)'!A86</f>
        <v>83</v>
      </c>
      <c r="B85" s="2" t="str">
        <f>'法人一覧(26)'!B86</f>
        <v>国土交通省</v>
      </c>
      <c r="C85" s="2" t="str">
        <f>'法人一覧(26)'!C86</f>
        <v>航海訓練所</v>
      </c>
      <c r="D85" s="52">
        <v>286908897</v>
      </c>
      <c r="E85" s="52">
        <v>-203446860</v>
      </c>
      <c r="F85" s="52">
        <v>-348878539</v>
      </c>
      <c r="G85" s="52">
        <v>0</v>
      </c>
      <c r="H85" s="52">
        <f t="shared" si="4"/>
        <v>-265416502</v>
      </c>
      <c r="I85" s="52">
        <v>1251296969</v>
      </c>
      <c r="J85" s="52">
        <v>985880467</v>
      </c>
    </row>
    <row r="86" spans="1:10">
      <c r="A86" s="14">
        <f>'法人一覧(26)'!A87</f>
        <v>84</v>
      </c>
      <c r="B86" s="2" t="str">
        <f>'法人一覧(26)'!B87</f>
        <v>国土交通省</v>
      </c>
      <c r="C86" s="2" t="str">
        <f>'法人一覧(26)'!C87</f>
        <v>海技教育機構</v>
      </c>
      <c r="D86" s="52">
        <v>245348020</v>
      </c>
      <c r="E86" s="52">
        <v>-91907760</v>
      </c>
      <c r="F86" s="52">
        <v>-84272219</v>
      </c>
      <c r="G86" s="52">
        <v>0</v>
      </c>
      <c r="H86" s="52">
        <f t="shared" si="4"/>
        <v>69168041</v>
      </c>
      <c r="I86" s="52">
        <v>777415528</v>
      </c>
      <c r="J86" s="52">
        <v>846583569</v>
      </c>
    </row>
    <row r="87" spans="1:10">
      <c r="A87" s="14">
        <f>'法人一覧(26)'!A88</f>
        <v>85</v>
      </c>
      <c r="B87" s="2" t="str">
        <f>'法人一覧(26)'!B88</f>
        <v>国土交通省</v>
      </c>
      <c r="C87" s="2" t="str">
        <f>'法人一覧(26)'!C88</f>
        <v>航空大学校</v>
      </c>
      <c r="D87" s="52">
        <v>295758587</v>
      </c>
      <c r="E87" s="52">
        <v>5344365</v>
      </c>
      <c r="F87" s="52">
        <v>-96114937</v>
      </c>
      <c r="G87" s="52">
        <v>0</v>
      </c>
      <c r="H87" s="52">
        <f t="shared" si="4"/>
        <v>204988015</v>
      </c>
      <c r="I87" s="52">
        <v>430004848</v>
      </c>
      <c r="J87" s="52">
        <v>634992863</v>
      </c>
    </row>
    <row r="88" spans="1:10">
      <c r="A88" s="14">
        <f>'法人一覧(26)'!A89</f>
        <v>86</v>
      </c>
      <c r="B88" s="2" t="str">
        <f>'法人一覧(26)'!B89</f>
        <v>国土交通省</v>
      </c>
      <c r="C88" s="2" t="str">
        <f>'法人一覧(26)'!C89</f>
        <v>自動車検査</v>
      </c>
      <c r="D88" s="52">
        <v>752245755</v>
      </c>
      <c r="E88" s="52">
        <v>-1057482801</v>
      </c>
      <c r="F88" s="52">
        <v>-23591267</v>
      </c>
      <c r="G88" s="52">
        <v>0</v>
      </c>
      <c r="H88" s="52">
        <f t="shared" si="4"/>
        <v>-328828313</v>
      </c>
      <c r="I88" s="52">
        <v>2722081643</v>
      </c>
      <c r="J88" s="52">
        <v>2393253330</v>
      </c>
    </row>
    <row r="89" spans="1:10">
      <c r="A89" s="14">
        <f>'法人一覧(26)'!A90</f>
        <v>87</v>
      </c>
      <c r="B89" s="2" t="str">
        <f>'法人一覧(26)'!B90</f>
        <v>国土交通省</v>
      </c>
      <c r="C89" s="2" t="str">
        <f>'法人一覧(26)'!C90</f>
        <v>鉄道建設・運輸施設整備支援機構</v>
      </c>
      <c r="D89" s="52">
        <v>347498230076</v>
      </c>
      <c r="E89" s="52">
        <v>-21720498683</v>
      </c>
      <c r="F89" s="52">
        <v>-349653543168</v>
      </c>
      <c r="G89" s="69" t="s">
        <v>311</v>
      </c>
      <c r="H89" s="52">
        <f t="shared" si="4"/>
        <v>-23875811775</v>
      </c>
      <c r="I89" s="52">
        <v>72988914925</v>
      </c>
      <c r="J89" s="52">
        <v>49113103150</v>
      </c>
    </row>
    <row r="90" spans="1:10">
      <c r="A90" s="14">
        <f>'法人一覧(26)'!A91</f>
        <v>88</v>
      </c>
      <c r="B90" s="2" t="str">
        <f>'法人一覧(26)'!B91</f>
        <v>国土交通省</v>
      </c>
      <c r="C90" s="2" t="str">
        <f>'法人一覧(26)'!C91</f>
        <v>国際観光振興機構</v>
      </c>
      <c r="D90" s="52">
        <v>3768571740</v>
      </c>
      <c r="E90" s="52">
        <v>-21000387</v>
      </c>
      <c r="F90" s="52">
        <v>0</v>
      </c>
      <c r="G90" s="52">
        <v>173945</v>
      </c>
      <c r="H90" s="52">
        <f t="shared" si="4"/>
        <v>3747745298</v>
      </c>
      <c r="I90" s="52">
        <v>719429934</v>
      </c>
      <c r="J90" s="52">
        <v>4467175232</v>
      </c>
    </row>
    <row r="91" spans="1:10">
      <c r="A91" s="14">
        <f>'法人一覧(26)'!A92</f>
        <v>89</v>
      </c>
      <c r="B91" s="2" t="str">
        <f>'法人一覧(26)'!B92</f>
        <v>国土交通省</v>
      </c>
      <c r="C91" s="2" t="str">
        <f>'法人一覧(26)'!C92</f>
        <v>水資源機構</v>
      </c>
      <c r="D91" s="52">
        <v>38904093535</v>
      </c>
      <c r="E91" s="52">
        <v>18628428527</v>
      </c>
      <c r="F91" s="52">
        <v>-56006308344</v>
      </c>
      <c r="G91" s="52">
        <v>0</v>
      </c>
      <c r="H91" s="52">
        <f t="shared" si="4"/>
        <v>1526213718</v>
      </c>
      <c r="I91" s="52">
        <v>6885308446</v>
      </c>
      <c r="J91" s="52">
        <v>8411522164</v>
      </c>
    </row>
    <row r="92" spans="1:10">
      <c r="A92" s="14">
        <f>'法人一覧(26)'!A93</f>
        <v>90</v>
      </c>
      <c r="B92" s="2" t="str">
        <f>'法人一覧(26)'!B93</f>
        <v>国土交通省</v>
      </c>
      <c r="C92" s="2" t="str">
        <f>'法人一覧(26)'!C93</f>
        <v>自動車事故対策機構</v>
      </c>
      <c r="D92" s="52">
        <v>1226396895</v>
      </c>
      <c r="E92" s="52">
        <v>-239197335</v>
      </c>
      <c r="F92" s="52">
        <v>-1317868941</v>
      </c>
      <c r="G92" s="52">
        <v>0</v>
      </c>
      <c r="H92" s="52">
        <f t="shared" si="4"/>
        <v>-330669381</v>
      </c>
      <c r="I92" s="52">
        <v>2047644896</v>
      </c>
      <c r="J92" s="52">
        <v>1716975515</v>
      </c>
    </row>
    <row r="93" spans="1:10">
      <c r="A93" s="14">
        <f>'法人一覧(26)'!A94</f>
        <v>91</v>
      </c>
      <c r="B93" s="2" t="str">
        <f>'法人一覧(26)'!B94</f>
        <v>国土交通省</v>
      </c>
      <c r="C93" s="2" t="str">
        <f>'法人一覧(26)'!C94</f>
        <v>空港周辺整備機構</v>
      </c>
      <c r="D93" s="52">
        <v>224041403</v>
      </c>
      <c r="E93" s="52">
        <v>-101669000</v>
      </c>
      <c r="F93" s="52">
        <v>-100375457</v>
      </c>
      <c r="G93" s="52">
        <v>0</v>
      </c>
      <c r="H93" s="52">
        <f t="shared" si="4"/>
        <v>21996946</v>
      </c>
      <c r="I93" s="52">
        <v>250845623</v>
      </c>
      <c r="J93" s="52">
        <v>272842569</v>
      </c>
    </row>
    <row r="94" spans="1:10">
      <c r="A94" s="14">
        <f>'法人一覧(26)'!A95</f>
        <v>92</v>
      </c>
      <c r="B94" s="2" t="str">
        <f>'法人一覧(26)'!B95</f>
        <v>国土交通省</v>
      </c>
      <c r="C94" s="2" t="str">
        <f>'法人一覧(26)'!C95</f>
        <v>都市再生機構</v>
      </c>
      <c r="D94" s="52">
        <v>410294348820</v>
      </c>
      <c r="E94" s="52">
        <v>-33082332050</v>
      </c>
      <c r="F94" s="52">
        <v>-416555912451</v>
      </c>
      <c r="G94" s="52">
        <v>0</v>
      </c>
      <c r="H94" s="52">
        <f t="shared" si="4"/>
        <v>-39343895681</v>
      </c>
      <c r="I94" s="52">
        <v>125560494164</v>
      </c>
      <c r="J94" s="52">
        <v>86216598483</v>
      </c>
    </row>
    <row r="95" spans="1:10">
      <c r="A95" s="14">
        <f>'法人一覧(26)'!A96</f>
        <v>93</v>
      </c>
      <c r="B95" s="2" t="str">
        <f>'法人一覧(26)'!B96</f>
        <v>国土交通省</v>
      </c>
      <c r="C95" s="2" t="str">
        <f>'法人一覧(26)'!C96</f>
        <v>奄美群島振興開発基金</v>
      </c>
      <c r="D95" s="52">
        <v>367461112</v>
      </c>
      <c r="E95" s="52">
        <v>3824299350</v>
      </c>
      <c r="F95" s="52">
        <v>275624189</v>
      </c>
      <c r="G95" s="52">
        <v>0</v>
      </c>
      <c r="H95" s="52">
        <f t="shared" si="4"/>
        <v>4467384651</v>
      </c>
      <c r="I95" s="52">
        <v>253745763</v>
      </c>
      <c r="J95" s="52">
        <v>4721130414</v>
      </c>
    </row>
    <row r="96" spans="1:10">
      <c r="A96" s="14">
        <f>'法人一覧(26)'!A97</f>
        <v>94</v>
      </c>
      <c r="B96" s="2" t="str">
        <f>'法人一覧(26)'!B97</f>
        <v>国土交通省</v>
      </c>
      <c r="C96" s="2" t="str">
        <f>'法人一覧(26)'!C97</f>
        <v>日本高速道路保有・債務返済機構</v>
      </c>
      <c r="D96" s="52">
        <v>1462146627099</v>
      </c>
      <c r="E96" s="52">
        <v>142491071782</v>
      </c>
      <c r="F96" s="52">
        <v>-1554405224328</v>
      </c>
      <c r="G96" s="52">
        <v>0</v>
      </c>
      <c r="H96" s="52">
        <f t="shared" si="4"/>
        <v>50232474553</v>
      </c>
      <c r="I96" s="52">
        <v>1948312461</v>
      </c>
      <c r="J96" s="52">
        <v>52180787014</v>
      </c>
    </row>
    <row r="97" spans="1:10">
      <c r="A97" s="14">
        <f>'法人一覧(26)'!A98</f>
        <v>95</v>
      </c>
      <c r="B97" s="2" t="str">
        <f>'法人一覧(26)'!B98</f>
        <v>国土交通省</v>
      </c>
      <c r="C97" s="2" t="str">
        <f>'法人一覧(26)'!C98</f>
        <v>住宅金融支援機構</v>
      </c>
      <c r="D97" s="52">
        <v>1781950109051</v>
      </c>
      <c r="E97" s="52">
        <v>292792039650</v>
      </c>
      <c r="F97" s="52">
        <v>-2039738571944</v>
      </c>
      <c r="G97" s="52">
        <v>0</v>
      </c>
      <c r="H97" s="52">
        <f t="shared" si="4"/>
        <v>35003576757</v>
      </c>
      <c r="I97" s="52">
        <v>324241880477</v>
      </c>
      <c r="J97" s="52">
        <v>359245457234</v>
      </c>
    </row>
    <row r="98" spans="1:10">
      <c r="A98" s="14">
        <f>'法人一覧(26)'!A99</f>
        <v>96</v>
      </c>
      <c r="B98" s="2" t="str">
        <f>'法人一覧(26)'!B99</f>
        <v>環境省</v>
      </c>
      <c r="C98" s="2" t="str">
        <f>'法人一覧(26)'!C99</f>
        <v>国立環境研究所</v>
      </c>
      <c r="D98" s="29">
        <v>3910615974</v>
      </c>
      <c r="E98" s="29">
        <v>-941169796</v>
      </c>
      <c r="F98" s="29">
        <v>-435946401</v>
      </c>
      <c r="G98" s="29">
        <v>0</v>
      </c>
      <c r="H98" s="29">
        <f t="shared" ref="H98:H100" si="5">SUM(D98:G98)</f>
        <v>2533499777</v>
      </c>
      <c r="I98" s="29">
        <v>4382081267</v>
      </c>
      <c r="J98" s="29">
        <v>6915581044</v>
      </c>
    </row>
    <row r="99" spans="1:10">
      <c r="A99" s="14">
        <f>'法人一覧(26)'!A100</f>
        <v>97</v>
      </c>
      <c r="B99" s="2" t="str">
        <f>'法人一覧(26)'!B100</f>
        <v>環境省</v>
      </c>
      <c r="C99" s="2" t="str">
        <f>'法人一覧(26)'!C100</f>
        <v>環境再生保全機構</v>
      </c>
      <c r="D99" s="29">
        <v>12949240404</v>
      </c>
      <c r="E99" s="29">
        <v>-3805842109</v>
      </c>
      <c r="F99" s="29">
        <v>-8694523854</v>
      </c>
      <c r="G99" s="29">
        <v>0</v>
      </c>
      <c r="H99" s="29">
        <f t="shared" si="5"/>
        <v>448874441</v>
      </c>
      <c r="I99" s="29">
        <v>3035752122</v>
      </c>
      <c r="J99" s="29">
        <v>3484626563</v>
      </c>
    </row>
    <row r="100" spans="1:10" ht="13.8" thickBot="1">
      <c r="A100" s="116">
        <f>'法人一覧(26)'!A101</f>
        <v>98</v>
      </c>
      <c r="B100" s="117" t="str">
        <f>'法人一覧(26)'!B101</f>
        <v>防衛省</v>
      </c>
      <c r="C100" s="117" t="str">
        <f>'法人一覧(26)'!C101</f>
        <v>駐留軍等労働者労務管理機構</v>
      </c>
      <c r="D100" s="118">
        <v>309872688</v>
      </c>
      <c r="E100" s="118">
        <v>-55577025</v>
      </c>
      <c r="F100" s="118">
        <v>-25084847</v>
      </c>
      <c r="G100" s="118">
        <v>0</v>
      </c>
      <c r="H100" s="118">
        <f t="shared" si="5"/>
        <v>229210816</v>
      </c>
      <c r="I100" s="118">
        <v>716739577</v>
      </c>
      <c r="J100" s="118">
        <v>945950393</v>
      </c>
    </row>
    <row r="101" spans="1:10" s="37" customFormat="1" ht="21.6" customHeight="1" thickTop="1">
      <c r="A101" s="167" t="s">
        <v>584</v>
      </c>
      <c r="B101" s="168"/>
      <c r="C101" s="170"/>
      <c r="D101" s="115">
        <f>SUM(D3:D100)</f>
        <v>4704180201507</v>
      </c>
      <c r="E101" s="115">
        <f t="shared" ref="E101:J101" si="6">SUM(E3:E100)</f>
        <v>-372376382450</v>
      </c>
      <c r="F101" s="115">
        <f t="shared" si="6"/>
        <v>-4427033403020</v>
      </c>
      <c r="G101" s="115">
        <f t="shared" si="6"/>
        <v>277101798</v>
      </c>
      <c r="H101" s="115">
        <f t="shared" si="6"/>
        <v>-94952482165</v>
      </c>
      <c r="I101" s="115">
        <f t="shared" si="6"/>
        <v>1878399438040</v>
      </c>
      <c r="J101" s="115">
        <f t="shared" si="6"/>
        <v>1783446955875</v>
      </c>
    </row>
    <row r="103" spans="1:10">
      <c r="B103" s="1" t="s">
        <v>587</v>
      </c>
    </row>
  </sheetData>
  <mergeCells count="1">
    <mergeCell ref="A101:C10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★目次★</vt:lpstr>
      <vt:lpstr>法人一覧(25)</vt:lpstr>
      <vt:lpstr>法人一覧(26)</vt:lpstr>
      <vt:lpstr>１①貸借対照表(25)</vt:lpstr>
      <vt:lpstr>１②貸借対照表(26)</vt:lpstr>
      <vt:lpstr>２①損益計算書(25)</vt:lpstr>
      <vt:lpstr>２②損益計算書(26)</vt:lpstr>
      <vt:lpstr>３①CF計算書(25)</vt:lpstr>
      <vt:lpstr>３②CF計算書(26)</vt:lpstr>
      <vt:lpstr>４①利益剰余金等（25）</vt:lpstr>
      <vt:lpstr>４②利益剰余金等（26）</vt:lpstr>
      <vt:lpstr>５①行コス(25)</vt:lpstr>
      <vt:lpstr>５②行コス(26)</vt:lpstr>
      <vt:lpstr>６①国庫納付(25)</vt:lpstr>
      <vt:lpstr>６②国庫納付(26)</vt:lpstr>
      <vt:lpstr>７①勘定・セグメント(25)</vt:lpstr>
      <vt:lpstr>７②勘定・セグメント(26)</vt:lpstr>
      <vt:lpstr>８①収益化基準(25)</vt:lpstr>
      <vt:lpstr>８②収益化基準(26)</vt:lpstr>
      <vt:lpstr>９①関係法人（25）</vt:lpstr>
      <vt:lpstr>９②関係法人（26）</vt:lpstr>
      <vt:lpstr>10　収入予算(27)</vt:lpstr>
      <vt:lpstr>11　支出予算(27)</vt:lpstr>
      <vt:lpstr>12①収入決算(25)</vt:lpstr>
      <vt:lpstr>12②収入決算(26)</vt:lpstr>
      <vt:lpstr>13①支出決算(25)</vt:lpstr>
      <vt:lpstr>13②支出決算(26)</vt:lpstr>
      <vt:lpstr>14①役職員の状況(25)</vt:lpstr>
      <vt:lpstr>14②役職員の状況(26)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2016-06-29T05:30:27Z</dcterms:created>
  <dcterms:modified xsi:type="dcterms:W3CDTF">2016-07-04T09:02:42Z</dcterms:modified>
</cp:coreProperties>
</file>