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mc:AlternateContent xmlns:mc="http://schemas.openxmlformats.org/markup-compatibility/2006">
    <mc:Choice Requires="x15">
      <x15ac:absPath xmlns:x15ac="http://schemas.microsoft.com/office/spreadsheetml/2010/11/ac" url="\\fs-02.mic5.soumu.go.jp\org1106\自治行政局(1106)\#住民制度課G\4行政経営支援室（新）\Ｅ 地方行革\Ｇ 地方行革取組状況調査\Ａ Ｒ３年度調査（保存期限Ｒ６年度末　廃棄）\12 公表用\03_見える化\"/>
    </mc:Choice>
  </mc:AlternateContent>
  <xr:revisionPtr revIDLastSave="0" documentId="13_ncr:1_{47FD668D-83CA-4194-BE69-EA5CED12AE1E}" xr6:coauthVersionLast="36" xr6:coauthVersionMax="36" xr10:uidLastSave="{00000000-0000-0000-0000-000000000000}"/>
  <bookViews>
    <workbookView xWindow="0" yWindow="0" windowWidth="19200" windowHeight="8090" tabRatio="607" firstSheet="1" activeTab="1" xr2:uid="{00000000-000D-0000-FFFF-FFFF00000000}"/>
  </bookViews>
  <sheets>
    <sheet name="調査票①" sheetId="49" state="hidden" r:id="rId1"/>
    <sheet name="公開用シート （指定都市）" sheetId="72" r:id="rId2"/>
    <sheet name="【別表】自治体コード" sheetId="73" r:id="rId3"/>
  </sheets>
  <definedNames>
    <definedName name="_xlnm._FilterDatabase" localSheetId="0" hidden="1">調査票①!$A$8:$HJ$8</definedName>
    <definedName name="_xlnm.Print_Area" localSheetId="1">'公開用シート （指定都市）'!$B$2:$ET$117</definedName>
    <definedName name="_xlnm.Print_Area" localSheetId="0">調査票①!$A$1:$HJ$30</definedName>
  </definedNames>
  <calcPr calcId="191029" calcOnSave="0"/>
</workbook>
</file>

<file path=xl/calcChain.xml><?xml version="1.0" encoding="utf-8"?>
<calcChain xmlns="http://schemas.openxmlformats.org/spreadsheetml/2006/main">
  <c r="BO40" i="72" l="1"/>
  <c r="AE30" i="49"/>
  <c r="CM68" i="72" l="1"/>
  <c r="DO71" i="72"/>
  <c r="N11" i="72"/>
  <c r="DO68" i="72"/>
  <c r="EI103" i="72"/>
  <c r="DL103" i="72"/>
  <c r="CL103" i="72"/>
  <c r="EG82" i="72"/>
  <c r="DL82" i="72"/>
  <c r="CM82" i="72"/>
  <c r="DJ54" i="72"/>
  <c r="CM54" i="72"/>
  <c r="CM46" i="72"/>
  <c r="ED39" i="72"/>
  <c r="DZ39" i="72"/>
  <c r="DV39" i="72"/>
  <c r="DR39" i="72"/>
  <c r="DN39" i="72"/>
  <c r="DJ39" i="72"/>
  <c r="DF39" i="72"/>
  <c r="DB39" i="72"/>
  <c r="CM37" i="72"/>
  <c r="CC37" i="72"/>
  <c r="DJ26" i="72"/>
  <c r="CM26" i="72"/>
  <c r="EG20" i="72"/>
  <c r="DJ20" i="72"/>
  <c r="CM20" i="72"/>
  <c r="AM112" i="72"/>
  <c r="AM110" i="72"/>
  <c r="AM108" i="72"/>
  <c r="AM106" i="72"/>
  <c r="AM104" i="72"/>
  <c r="AM102" i="72"/>
  <c r="AM100" i="72"/>
  <c r="AM98" i="72"/>
  <c r="AM96" i="72"/>
  <c r="AM94" i="72"/>
  <c r="AM92" i="72"/>
  <c r="AM90" i="72"/>
  <c r="AM88" i="72"/>
  <c r="AM86" i="72"/>
  <c r="AM84" i="72"/>
  <c r="AM82" i="72"/>
  <c r="AM80" i="72"/>
  <c r="AM78" i="72"/>
  <c r="AM76" i="72"/>
  <c r="AM74" i="72"/>
  <c r="AM72" i="72"/>
  <c r="AM70" i="72"/>
  <c r="AM68" i="72"/>
  <c r="AJ112" i="72"/>
  <c r="AJ110" i="72"/>
  <c r="AJ108" i="72"/>
  <c r="AJ106" i="72"/>
  <c r="AJ104" i="72"/>
  <c r="AJ102" i="72"/>
  <c r="AJ100" i="72"/>
  <c r="AJ98" i="72"/>
  <c r="AJ96" i="72"/>
  <c r="AJ94" i="72"/>
  <c r="AJ92" i="72"/>
  <c r="AJ90" i="72"/>
  <c r="AJ88" i="72"/>
  <c r="AJ86" i="72"/>
  <c r="AJ84" i="72"/>
  <c r="AJ82" i="72"/>
  <c r="AJ80" i="72"/>
  <c r="AJ78" i="72"/>
  <c r="AJ76" i="72"/>
  <c r="AJ74" i="72"/>
  <c r="AJ72" i="72"/>
  <c r="AJ70" i="72"/>
  <c r="AJ68" i="72"/>
  <c r="U112" i="72"/>
  <c r="U110" i="72"/>
  <c r="U108" i="72"/>
  <c r="U106" i="72"/>
  <c r="U104" i="72"/>
  <c r="U102" i="72"/>
  <c r="U100" i="72"/>
  <c r="U98" i="72"/>
  <c r="U96" i="72"/>
  <c r="U94" i="72"/>
  <c r="U92" i="72"/>
  <c r="U90" i="72"/>
  <c r="U88" i="72"/>
  <c r="U86" i="72"/>
  <c r="U84" i="72"/>
  <c r="U82" i="72"/>
  <c r="U80" i="72"/>
  <c r="U78" i="72"/>
  <c r="U76" i="72"/>
  <c r="U74" i="72"/>
  <c r="U72" i="72"/>
  <c r="U70" i="72"/>
  <c r="U68" i="72"/>
  <c r="R112" i="72"/>
  <c r="R110" i="72"/>
  <c r="R108" i="72"/>
  <c r="R106" i="72"/>
  <c r="R104" i="72"/>
  <c r="R102" i="72"/>
  <c r="R100" i="72"/>
  <c r="R98" i="72"/>
  <c r="R96" i="72"/>
  <c r="R94" i="72"/>
  <c r="R92" i="72"/>
  <c r="R90" i="72"/>
  <c r="R88" i="72"/>
  <c r="R86" i="72"/>
  <c r="R84" i="72"/>
  <c r="R82" i="72"/>
  <c r="R80" i="72"/>
  <c r="R78" i="72"/>
  <c r="R76" i="72"/>
  <c r="R74" i="72"/>
  <c r="R72" i="72"/>
  <c r="R70" i="72"/>
  <c r="R68" i="72"/>
  <c r="O112" i="72"/>
  <c r="O110" i="72"/>
  <c r="O108" i="72"/>
  <c r="O106" i="72"/>
  <c r="O104" i="72"/>
  <c r="O102" i="72"/>
  <c r="O100" i="72"/>
  <c r="O98" i="72"/>
  <c r="O96" i="72"/>
  <c r="O94" i="72"/>
  <c r="O92" i="72"/>
  <c r="O90" i="72"/>
  <c r="O88" i="72"/>
  <c r="O86" i="72"/>
  <c r="O84" i="72"/>
  <c r="O82" i="72"/>
  <c r="O80" i="72"/>
  <c r="O78" i="72"/>
  <c r="O76" i="72"/>
  <c r="O74" i="72"/>
  <c r="O72" i="72"/>
  <c r="O70" i="72"/>
  <c r="O68" i="72"/>
  <c r="L112" i="72"/>
  <c r="L110" i="72"/>
  <c r="L108" i="72"/>
  <c r="L106" i="72"/>
  <c r="L104" i="72"/>
  <c r="L102" i="72"/>
  <c r="L100" i="72"/>
  <c r="L98" i="72"/>
  <c r="L96" i="72"/>
  <c r="L94" i="72"/>
  <c r="L92" i="72"/>
  <c r="L90" i="72"/>
  <c r="L88" i="72"/>
  <c r="L86" i="72"/>
  <c r="L84" i="72"/>
  <c r="L82" i="72"/>
  <c r="L80" i="72"/>
  <c r="L78" i="72"/>
  <c r="L76" i="72"/>
  <c r="L74" i="72"/>
  <c r="L72" i="72"/>
  <c r="L70" i="72"/>
  <c r="L68" i="72"/>
  <c r="R54" i="72"/>
  <c r="R52" i="72"/>
  <c r="R50" i="72"/>
  <c r="R48" i="72"/>
  <c r="R46" i="72"/>
  <c r="R44" i="72"/>
  <c r="R42" i="72"/>
  <c r="R40" i="72"/>
  <c r="N54" i="72"/>
  <c r="N52" i="72"/>
  <c r="N50" i="72"/>
  <c r="N48" i="72"/>
  <c r="N46" i="72"/>
  <c r="N44" i="72"/>
  <c r="N42" i="72"/>
  <c r="N40" i="72"/>
  <c r="EW23" i="49" l="1"/>
  <c r="R38" i="72" l="1"/>
  <c r="N38" i="72"/>
  <c r="R36" i="72"/>
  <c r="N36" i="72"/>
  <c r="R34" i="72"/>
  <c r="N34" i="72"/>
  <c r="R32" i="72"/>
  <c r="N32" i="72"/>
  <c r="R30" i="72"/>
  <c r="N30" i="72"/>
  <c r="R28" i="72"/>
  <c r="N28" i="72"/>
  <c r="R26" i="72"/>
  <c r="N26" i="72"/>
  <c r="R24" i="72"/>
  <c r="N24" i="72"/>
  <c r="R22" i="72"/>
  <c r="N22" i="72"/>
  <c r="AA11" i="72"/>
  <c r="GK29" i="49" l="1"/>
  <c r="K29" i="49" l="1"/>
  <c r="J29" i="49"/>
  <c r="D29" i="49"/>
  <c r="GZ29" i="49"/>
  <c r="GY29" i="49"/>
  <c r="GX29" i="49"/>
  <c r="GW29" i="49"/>
  <c r="EP29" i="49"/>
  <c r="EO29" i="49"/>
  <c r="N29" i="49"/>
  <c r="EQ29" i="49" l="1"/>
  <c r="BO98" i="72" s="1"/>
  <c r="J30" i="49"/>
  <c r="BO26" i="72" s="1"/>
  <c r="GG22" i="49" l="1"/>
  <c r="GA22" i="49"/>
  <c r="FU22" i="49"/>
  <c r="FO22" i="49"/>
  <c r="FI22" i="49"/>
  <c r="FC22" i="49"/>
  <c r="EW22" i="49"/>
  <c r="EQ22" i="49"/>
  <c r="EK22" i="49"/>
  <c r="EE22" i="49"/>
  <c r="DY22" i="49"/>
  <c r="DS22" i="49"/>
  <c r="DM22" i="49"/>
  <c r="DG22" i="49"/>
  <c r="DA22" i="49"/>
  <c r="CU22" i="49"/>
  <c r="CO22" i="49"/>
  <c r="CI22" i="49"/>
  <c r="CC22" i="49"/>
  <c r="BW22" i="49"/>
  <c r="BQ22" i="49"/>
  <c r="BK22" i="49"/>
  <c r="BE22" i="49"/>
  <c r="GG23" i="49" l="1"/>
  <c r="GA23" i="49"/>
  <c r="FU23" i="49"/>
  <c r="FO23" i="49"/>
  <c r="FI23" i="49"/>
  <c r="FC23" i="49"/>
  <c r="EQ23" i="49"/>
  <c r="EK23" i="49"/>
  <c r="EE23" i="49"/>
  <c r="DY23" i="49"/>
  <c r="DS23" i="49"/>
  <c r="DM23" i="49"/>
  <c r="DG23" i="49"/>
  <c r="DA23" i="49"/>
  <c r="CU23" i="49"/>
  <c r="CO23" i="49"/>
  <c r="CI23" i="49"/>
  <c r="CC23" i="49"/>
  <c r="BW23" i="49"/>
  <c r="BQ23" i="49"/>
  <c r="BK23" i="49"/>
  <c r="BE23" i="49"/>
  <c r="GG20" i="49" l="1"/>
  <c r="GA20" i="49"/>
  <c r="FU20" i="49"/>
  <c r="FO20" i="49"/>
  <c r="FI20" i="49"/>
  <c r="FC20" i="49"/>
  <c r="EW20" i="49"/>
  <c r="EQ20" i="49"/>
  <c r="EK20" i="49"/>
  <c r="EE20" i="49"/>
  <c r="DY20" i="49"/>
  <c r="DS20" i="49"/>
  <c r="DM20" i="49"/>
  <c r="DG20" i="49"/>
  <c r="DA20" i="49"/>
  <c r="CU20" i="49"/>
  <c r="CO20" i="49"/>
  <c r="CI20" i="49"/>
  <c r="CC20" i="49"/>
  <c r="BW20" i="49"/>
  <c r="BQ20" i="49"/>
  <c r="BK20" i="49"/>
  <c r="BE20" i="49"/>
  <c r="GG27" i="49" l="1"/>
  <c r="GA27" i="49"/>
  <c r="FU27" i="49"/>
  <c r="FO27" i="49"/>
  <c r="FI27" i="49"/>
  <c r="FC27" i="49"/>
  <c r="EW27" i="49"/>
  <c r="EQ27" i="49"/>
  <c r="EK27" i="49"/>
  <c r="EE27" i="49"/>
  <c r="DY27" i="49"/>
  <c r="DS27" i="49"/>
  <c r="DM27" i="49"/>
  <c r="DG27" i="49"/>
  <c r="DA27" i="49"/>
  <c r="CU27" i="49"/>
  <c r="CO27" i="49"/>
  <c r="CI27" i="49"/>
  <c r="CC27" i="49"/>
  <c r="BW27" i="49"/>
  <c r="BQ27" i="49"/>
  <c r="BK27" i="49"/>
  <c r="BE27" i="49"/>
  <c r="GG26" i="49" l="1"/>
  <c r="GA26" i="49"/>
  <c r="FU26" i="49"/>
  <c r="FO26" i="49"/>
  <c r="FI26" i="49"/>
  <c r="FC26" i="49"/>
  <c r="EW26" i="49"/>
  <c r="EQ26" i="49"/>
  <c r="EK26" i="49"/>
  <c r="EE26" i="49"/>
  <c r="DY26" i="49"/>
  <c r="DS26" i="49"/>
  <c r="DM26" i="49"/>
  <c r="DG26" i="49"/>
  <c r="DA26" i="49"/>
  <c r="CU26" i="49"/>
  <c r="CO26" i="49"/>
  <c r="CI26" i="49"/>
  <c r="CC26" i="49"/>
  <c r="BW26" i="49"/>
  <c r="BQ26" i="49"/>
  <c r="BK26" i="49"/>
  <c r="BE26" i="49"/>
  <c r="GG25" i="49" l="1"/>
  <c r="GA25" i="49"/>
  <c r="FI25" i="49"/>
  <c r="FC25" i="49"/>
  <c r="EW25" i="49"/>
  <c r="EQ25" i="49"/>
  <c r="EK25" i="49"/>
  <c r="EE25" i="49"/>
  <c r="DY25" i="49"/>
  <c r="DS25" i="49"/>
  <c r="DM25" i="49"/>
  <c r="DG25" i="49"/>
  <c r="DA25" i="49"/>
  <c r="CO25" i="49"/>
  <c r="CI25" i="49"/>
  <c r="CC25" i="49"/>
  <c r="BQ25" i="49"/>
  <c r="BK25" i="49"/>
  <c r="BE25" i="49"/>
  <c r="GG28" i="49" l="1"/>
  <c r="GA28" i="49"/>
  <c r="FU28" i="49"/>
  <c r="FO28" i="49"/>
  <c r="FI28" i="49"/>
  <c r="FC28" i="49"/>
  <c r="EW28" i="49"/>
  <c r="EQ28" i="49"/>
  <c r="EK28" i="49"/>
  <c r="EE28" i="49"/>
  <c r="DY28" i="49"/>
  <c r="DS28" i="49"/>
  <c r="DM28" i="49"/>
  <c r="DG28" i="49"/>
  <c r="DA28" i="49"/>
  <c r="CU28" i="49"/>
  <c r="CO28" i="49"/>
  <c r="CI28" i="49"/>
  <c r="CC28" i="49"/>
  <c r="BW28" i="49"/>
  <c r="BQ28" i="49"/>
  <c r="BK28" i="49"/>
  <c r="BE28" i="49"/>
  <c r="GG21" i="49" l="1"/>
  <c r="GA21" i="49"/>
  <c r="FU21" i="49"/>
  <c r="FO21" i="49"/>
  <c r="FI21" i="49"/>
  <c r="FC21" i="49"/>
  <c r="EW21" i="49"/>
  <c r="EQ21" i="49"/>
  <c r="EK21" i="49"/>
  <c r="EE21" i="49"/>
  <c r="DY21" i="49"/>
  <c r="DS21" i="49"/>
  <c r="DM21" i="49"/>
  <c r="DG21" i="49"/>
  <c r="DA21" i="49"/>
  <c r="CU21" i="49"/>
  <c r="CO21" i="49"/>
  <c r="CI21" i="49"/>
  <c r="CC21" i="49"/>
  <c r="BW21" i="49"/>
  <c r="BQ21" i="49"/>
  <c r="BK21" i="49"/>
  <c r="BE21" i="49"/>
  <c r="GG15" i="49" l="1"/>
  <c r="GA15" i="49"/>
  <c r="FU15" i="49"/>
  <c r="FO15" i="49"/>
  <c r="FI15" i="49"/>
  <c r="FC15" i="49"/>
  <c r="EW15" i="49"/>
  <c r="EQ15" i="49"/>
  <c r="EK15" i="49"/>
  <c r="EE15" i="49"/>
  <c r="DY15" i="49"/>
  <c r="DS15" i="49"/>
  <c r="DM15" i="49"/>
  <c r="DG15" i="49"/>
  <c r="DA15" i="49"/>
  <c r="CU15" i="49"/>
  <c r="CO15" i="49"/>
  <c r="CI15" i="49"/>
  <c r="CC15" i="49"/>
  <c r="BW15" i="49"/>
  <c r="BQ15" i="49"/>
  <c r="BK15" i="49"/>
  <c r="BE15" i="49"/>
  <c r="GG13" i="49" l="1"/>
  <c r="GA13" i="49"/>
  <c r="FU13" i="49"/>
  <c r="FO13" i="49"/>
  <c r="FI13" i="49"/>
  <c r="FC13" i="49"/>
  <c r="EW13" i="49"/>
  <c r="EQ13" i="49"/>
  <c r="EK13" i="49"/>
  <c r="EE13" i="49"/>
  <c r="DY13" i="49"/>
  <c r="DS13" i="49"/>
  <c r="DM13" i="49"/>
  <c r="DG13" i="49"/>
  <c r="DA13" i="49"/>
  <c r="CU13" i="49"/>
  <c r="CO13" i="49"/>
  <c r="CI13" i="49"/>
  <c r="CC13" i="49"/>
  <c r="BW13" i="49"/>
  <c r="BQ13" i="49"/>
  <c r="BK13" i="49"/>
  <c r="BE13" i="49"/>
  <c r="GG12" i="49" l="1"/>
  <c r="GA12" i="49"/>
  <c r="FU12" i="49"/>
  <c r="FO12" i="49"/>
  <c r="FI12" i="49"/>
  <c r="FC12" i="49"/>
  <c r="EW12" i="49"/>
  <c r="EQ12" i="49"/>
  <c r="EK12" i="49"/>
  <c r="EE12" i="49"/>
  <c r="DY12" i="49"/>
  <c r="DS12" i="49"/>
  <c r="DM12" i="49"/>
  <c r="DG12" i="49"/>
  <c r="DA12" i="49"/>
  <c r="CU12" i="49"/>
  <c r="CO12" i="49"/>
  <c r="CI12" i="49"/>
  <c r="CC12" i="49"/>
  <c r="BW12" i="49"/>
  <c r="BQ12" i="49"/>
  <c r="BK12" i="49"/>
  <c r="BE12" i="49"/>
  <c r="GG19" i="49" l="1"/>
  <c r="GA19" i="49"/>
  <c r="FU19" i="49"/>
  <c r="FO19" i="49"/>
  <c r="FI19" i="49"/>
  <c r="FC19" i="49"/>
  <c r="EW19" i="49"/>
  <c r="EQ19" i="49"/>
  <c r="EK19" i="49"/>
  <c r="EE19" i="49"/>
  <c r="DY19" i="49"/>
  <c r="DS19" i="49"/>
  <c r="DM19" i="49"/>
  <c r="DG19" i="49"/>
  <c r="DA19" i="49"/>
  <c r="CU19" i="49"/>
  <c r="CO19" i="49"/>
  <c r="CI19" i="49"/>
  <c r="CC19" i="49"/>
  <c r="BW19" i="49"/>
  <c r="BQ19" i="49"/>
  <c r="BK19" i="49"/>
  <c r="BE19" i="49"/>
  <c r="GG9" i="49" l="1"/>
  <c r="GA9" i="49"/>
  <c r="FU9" i="49"/>
  <c r="FO9" i="49"/>
  <c r="FI9" i="49"/>
  <c r="FC9" i="49"/>
  <c r="EW9" i="49"/>
  <c r="EQ9" i="49"/>
  <c r="EK9" i="49"/>
  <c r="EE9" i="49"/>
  <c r="DY9" i="49"/>
  <c r="DS9" i="49"/>
  <c r="DM9" i="49"/>
  <c r="DG9" i="49"/>
  <c r="DA9" i="49"/>
  <c r="CU9" i="49"/>
  <c r="CO9" i="49"/>
  <c r="CI9" i="49"/>
  <c r="CC9" i="49"/>
  <c r="BW9" i="49"/>
  <c r="BQ9" i="49"/>
  <c r="BK9" i="49"/>
  <c r="BE9" i="49"/>
  <c r="GG18" i="49" l="1"/>
  <c r="GA18" i="49"/>
  <c r="FU18" i="49"/>
  <c r="FO18" i="49"/>
  <c r="FI18" i="49"/>
  <c r="FC18" i="49"/>
  <c r="EW18" i="49"/>
  <c r="EQ18" i="49"/>
  <c r="EK18" i="49"/>
  <c r="EE18" i="49"/>
  <c r="DY18" i="49"/>
  <c r="DS18" i="49"/>
  <c r="DM18" i="49"/>
  <c r="DG18" i="49"/>
  <c r="DA18" i="49"/>
  <c r="CU18" i="49"/>
  <c r="CO18" i="49"/>
  <c r="CI18" i="49"/>
  <c r="CC18" i="49"/>
  <c r="BW18" i="49"/>
  <c r="BQ18" i="49"/>
  <c r="BK18" i="49"/>
  <c r="BE18" i="49"/>
  <c r="GG17" i="49" l="1"/>
  <c r="GA17" i="49"/>
  <c r="FU17" i="49"/>
  <c r="FO17" i="49"/>
  <c r="FI17" i="49"/>
  <c r="FC17" i="49"/>
  <c r="EW17" i="49"/>
  <c r="EQ17" i="49"/>
  <c r="EK17" i="49"/>
  <c r="EE17" i="49"/>
  <c r="DY17" i="49"/>
  <c r="DS17" i="49"/>
  <c r="DM17" i="49"/>
  <c r="DG17" i="49"/>
  <c r="DA17" i="49"/>
  <c r="CU17" i="49"/>
  <c r="CO17" i="49"/>
  <c r="CI17" i="49"/>
  <c r="CC17" i="49"/>
  <c r="BW17" i="49"/>
  <c r="BQ17" i="49"/>
  <c r="BK17" i="49"/>
  <c r="BE17" i="49"/>
  <c r="GG14" i="49" l="1"/>
  <c r="GA14" i="49"/>
  <c r="FU14" i="49"/>
  <c r="FO14" i="49"/>
  <c r="FI14" i="49"/>
  <c r="FC14" i="49"/>
  <c r="EW14" i="49"/>
  <c r="EQ14" i="49"/>
  <c r="EK14" i="49"/>
  <c r="EE14" i="49"/>
  <c r="DY14" i="49"/>
  <c r="DS14" i="49"/>
  <c r="DM14" i="49"/>
  <c r="DG14" i="49"/>
  <c r="DA14" i="49"/>
  <c r="CU14" i="49"/>
  <c r="CO14" i="49"/>
  <c r="CI14" i="49"/>
  <c r="CC14" i="49"/>
  <c r="BW14" i="49"/>
  <c r="BQ14" i="49"/>
  <c r="BK14" i="49"/>
  <c r="BE14" i="49"/>
  <c r="GG11" i="49" l="1"/>
  <c r="GA11" i="49"/>
  <c r="FU11" i="49"/>
  <c r="FO11" i="49"/>
  <c r="FI11" i="49"/>
  <c r="FC11" i="49"/>
  <c r="EW11" i="49"/>
  <c r="EQ11" i="49"/>
  <c r="EK11" i="49"/>
  <c r="EE11" i="49"/>
  <c r="DY11" i="49"/>
  <c r="DS11" i="49"/>
  <c r="DM11" i="49"/>
  <c r="DG11" i="49"/>
  <c r="DA11" i="49"/>
  <c r="CU11" i="49"/>
  <c r="CO11" i="49"/>
  <c r="CI11" i="49"/>
  <c r="CC11" i="49"/>
  <c r="BW11" i="49"/>
  <c r="BQ11" i="49"/>
  <c r="BK11" i="49"/>
  <c r="BE11" i="49"/>
  <c r="GG16" i="49" l="1"/>
  <c r="GA16" i="49"/>
  <c r="FU16" i="49"/>
  <c r="FO16" i="49"/>
  <c r="FI16" i="49"/>
  <c r="FC16" i="49"/>
  <c r="EW16" i="49"/>
  <c r="EQ16" i="49"/>
  <c r="EK16" i="49"/>
  <c r="EE16" i="49"/>
  <c r="DY16" i="49"/>
  <c r="DS16" i="49"/>
  <c r="DM16" i="49"/>
  <c r="DG16" i="49"/>
  <c r="DA16" i="49"/>
  <c r="CU16" i="49"/>
  <c r="CO16" i="49"/>
  <c r="CI16" i="49"/>
  <c r="CC16" i="49"/>
  <c r="BW16" i="49"/>
  <c r="BQ16" i="49"/>
  <c r="BK16" i="49"/>
  <c r="BE16" i="49"/>
  <c r="HJ30" i="49" l="1"/>
  <c r="HI30" i="49"/>
  <c r="HH30" i="49"/>
  <c r="CC112" i="72" s="1"/>
  <c r="HG30" i="49"/>
  <c r="HF30" i="49"/>
  <c r="HE30" i="49"/>
  <c r="CC91" i="72" s="1"/>
  <c r="HC30" i="49"/>
  <c r="HJ29" i="49"/>
  <c r="HI29" i="49"/>
  <c r="HH29" i="49"/>
  <c r="HG29" i="49"/>
  <c r="HF29" i="49"/>
  <c r="HE29" i="49"/>
  <c r="HD29" i="49"/>
  <c r="HC29" i="49"/>
  <c r="HB29" i="49"/>
  <c r="HB30" i="49" s="1"/>
  <c r="HA29" i="49"/>
  <c r="HA30" i="49" s="1"/>
  <c r="GU29" i="49"/>
  <c r="GT29" i="49"/>
  <c r="GS29" i="49"/>
  <c r="GR29" i="49"/>
  <c r="GQ29" i="49"/>
  <c r="GQ30" i="49" s="1"/>
  <c r="EM38" i="72" s="1"/>
  <c r="GP29" i="49"/>
  <c r="GP30" i="49" s="1"/>
  <c r="EI38" i="72" s="1"/>
  <c r="GO29" i="49"/>
  <c r="GO30" i="49" s="1"/>
  <c r="GN29" i="49"/>
  <c r="GN30" i="49" s="1"/>
  <c r="GM29" i="49"/>
  <c r="GM30" i="49" s="1"/>
  <c r="EE27" i="72" s="1"/>
  <c r="GK30" i="49"/>
  <c r="EE25" i="72" s="1"/>
  <c r="GI29" i="49"/>
  <c r="GF29" i="49"/>
  <c r="GE29" i="49"/>
  <c r="GC29" i="49"/>
  <c r="FZ29" i="49"/>
  <c r="FY29" i="49"/>
  <c r="FW29" i="49"/>
  <c r="FT29" i="49"/>
  <c r="FS29" i="49"/>
  <c r="FQ29" i="49"/>
  <c r="FN29" i="49"/>
  <c r="FM29" i="49"/>
  <c r="FK29" i="49"/>
  <c r="FH29" i="49"/>
  <c r="FG29" i="49"/>
  <c r="FE29" i="49"/>
  <c r="FB29" i="49"/>
  <c r="FA29" i="49"/>
  <c r="EY29" i="49"/>
  <c r="EV29" i="49"/>
  <c r="EU29" i="49"/>
  <c r="ES29" i="49"/>
  <c r="EM29" i="49"/>
  <c r="EJ29" i="49"/>
  <c r="EI29" i="49"/>
  <c r="EG29" i="49"/>
  <c r="ED29" i="49"/>
  <c r="EC29" i="49"/>
  <c r="EA29" i="49"/>
  <c r="DX29" i="49"/>
  <c r="DW29" i="49"/>
  <c r="DU29" i="49"/>
  <c r="DR29" i="49"/>
  <c r="DQ29" i="49"/>
  <c r="DO29" i="49"/>
  <c r="DL29" i="49"/>
  <c r="DK29" i="49"/>
  <c r="DI29" i="49"/>
  <c r="DF29" i="49"/>
  <c r="DE29" i="49"/>
  <c r="DC29" i="49"/>
  <c r="CZ29" i="49"/>
  <c r="CY29" i="49"/>
  <c r="CW29" i="49"/>
  <c r="CT29" i="49"/>
  <c r="CS29" i="49"/>
  <c r="CQ29" i="49"/>
  <c r="CN29" i="49"/>
  <c r="CM29" i="49"/>
  <c r="CK29" i="49"/>
  <c r="CH29" i="49"/>
  <c r="CG29" i="49"/>
  <c r="CE29" i="49"/>
  <c r="CB29" i="49"/>
  <c r="CA29" i="49"/>
  <c r="BY29" i="49"/>
  <c r="BV29" i="49"/>
  <c r="BU29" i="49"/>
  <c r="BS29" i="49"/>
  <c r="BP29" i="49"/>
  <c r="BO29" i="49"/>
  <c r="BM29" i="49"/>
  <c r="BJ29" i="49"/>
  <c r="BI29" i="49"/>
  <c r="BG29" i="49"/>
  <c r="BD29" i="49"/>
  <c r="BC29" i="49"/>
  <c r="BA29" i="49"/>
  <c r="AZ29" i="49"/>
  <c r="AX29" i="49"/>
  <c r="AW29" i="49"/>
  <c r="AU29" i="49"/>
  <c r="AT29" i="49"/>
  <c r="AR29" i="49"/>
  <c r="AQ29" i="49"/>
  <c r="AO29" i="49"/>
  <c r="AN29" i="49"/>
  <c r="AL29" i="49"/>
  <c r="AK29" i="49"/>
  <c r="AI29" i="49"/>
  <c r="AH29" i="49"/>
  <c r="AG29" i="49"/>
  <c r="AC29" i="49"/>
  <c r="AB29" i="49"/>
  <c r="Z29" i="49"/>
  <c r="Y29" i="49"/>
  <c r="W29" i="49"/>
  <c r="V29" i="49"/>
  <c r="T29" i="49"/>
  <c r="S29" i="49"/>
  <c r="Q29" i="49"/>
  <c r="P29" i="49"/>
  <c r="M29" i="49"/>
  <c r="M30" i="49" s="1"/>
  <c r="BO28" i="72" s="1"/>
  <c r="H29" i="49"/>
  <c r="G29" i="49"/>
  <c r="E29" i="49"/>
  <c r="AE29" i="49"/>
  <c r="AF29" i="49"/>
  <c r="HD30" i="49" l="1"/>
  <c r="EK67" i="72" s="1"/>
  <c r="EO67" i="72" s="1"/>
  <c r="Y30" i="49"/>
  <c r="BO36" i="72" s="1"/>
  <c r="V30" i="49"/>
  <c r="BO34" i="72" s="1"/>
  <c r="P30" i="49"/>
  <c r="BO30" i="72" s="1"/>
  <c r="AB30" i="49"/>
  <c r="BO38" i="72" s="1"/>
  <c r="BE29" i="49"/>
  <c r="BO68" i="72" s="1"/>
  <c r="BK29" i="49"/>
  <c r="BO70" i="72" s="1"/>
  <c r="G30" i="49"/>
  <c r="BO24" i="72" s="1"/>
  <c r="CU29" i="49"/>
  <c r="BO82" i="72" s="1"/>
  <c r="BW29" i="49"/>
  <c r="S30" i="49"/>
  <c r="BO32" i="72" s="1"/>
  <c r="BQ29" i="49"/>
  <c r="BO72" i="72" s="1"/>
  <c r="CI29" i="49"/>
  <c r="BO78" i="72" s="1"/>
  <c r="EE29" i="49"/>
  <c r="BO94" i="72" s="1"/>
  <c r="GA29" i="49"/>
  <c r="BO110" i="72" s="1"/>
  <c r="DS29" i="49"/>
  <c r="BO90" i="72" s="1"/>
  <c r="FO29" i="49"/>
  <c r="BO106" i="72" s="1"/>
  <c r="FC29" i="49"/>
  <c r="BO102" i="72" s="1"/>
  <c r="DG29" i="49"/>
  <c r="BO86" i="72" s="1"/>
  <c r="DY29" i="49"/>
  <c r="BO92" i="72" s="1"/>
  <c r="FI29" i="49"/>
  <c r="BO104" i="72" s="1"/>
  <c r="DA29" i="49"/>
  <c r="BO84" i="72" s="1"/>
  <c r="CO29" i="49"/>
  <c r="BO80" i="72" s="1"/>
  <c r="GG29" i="49"/>
  <c r="BO112" i="72" s="1"/>
  <c r="CC29" i="49"/>
  <c r="BO76" i="72" s="1"/>
  <c r="FU29" i="49"/>
  <c r="BO108" i="72" s="1"/>
  <c r="EW29" i="49"/>
  <c r="BO100" i="72" s="1"/>
  <c r="EK29" i="49"/>
  <c r="BO96" i="72" s="1"/>
  <c r="D30" i="49"/>
  <c r="BO22" i="72" s="1"/>
  <c r="DM29" i="49"/>
  <c r="BO88" i="72" s="1"/>
  <c r="AH30" i="49"/>
  <c r="BO42" i="72" s="1"/>
  <c r="AT30" i="49"/>
  <c r="BO50" i="72" s="1"/>
  <c r="AN30" i="49"/>
  <c r="BO46" i="72" s="1"/>
  <c r="AZ30" i="49"/>
  <c r="BO54" i="72" s="1"/>
  <c r="AK30" i="49"/>
  <c r="BO44" i="72" s="1"/>
  <c r="AW30" i="49"/>
  <c r="BO52" i="72" s="1"/>
  <c r="AQ30" i="49"/>
  <c r="BO48" i="72" s="1"/>
  <c r="BO74" i="7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佐藤　輝明(912353)</author>
  </authors>
  <commentList>
    <comment ref="D11" authorId="0" shapeId="0" xr:uid="{4C0F367A-94AE-45AC-B1B0-8FC53564C56C}">
      <text>
        <r>
          <rPr>
            <sz val="16"/>
            <color indexed="81"/>
            <rFont val="MS P ゴシック"/>
            <family val="3"/>
            <charset val="128"/>
          </rPr>
          <t>「【別表】自治体コード」シートを参考に選択してください。</t>
        </r>
      </text>
    </comment>
  </commentList>
</comments>
</file>

<file path=xl/sharedStrings.xml><?xml version="1.0" encoding="utf-8"?>
<sst xmlns="http://schemas.openxmlformats.org/spreadsheetml/2006/main" count="2896" uniqueCount="575">
  <si>
    <t>委託状況</t>
    <rPh sb="0" eb="2">
      <t>イタク</t>
    </rPh>
    <rPh sb="2" eb="4">
      <t>ジョウキョウ</t>
    </rPh>
    <phoneticPr fontId="5"/>
  </si>
  <si>
    <t>首長部局</t>
    <rPh sb="0" eb="2">
      <t>シュチョウ</t>
    </rPh>
    <rPh sb="2" eb="4">
      <t>ブキョク</t>
    </rPh>
    <phoneticPr fontId="5"/>
  </si>
  <si>
    <t>導入率</t>
    <rPh sb="0" eb="3">
      <t>ドウニュウリツ</t>
    </rPh>
    <phoneticPr fontId="5"/>
  </si>
  <si>
    <t>自治体コード</t>
    <rPh sb="0" eb="3">
      <t>ジチタイ</t>
    </rPh>
    <phoneticPr fontId="5"/>
  </si>
  <si>
    <t>公の
施設数</t>
    <rPh sb="0" eb="1">
      <t>オオヤケ</t>
    </rPh>
    <rPh sb="3" eb="6">
      <t>シセツスウ</t>
    </rPh>
    <phoneticPr fontId="5"/>
  </si>
  <si>
    <t>その他</t>
    <rPh sb="2" eb="3">
      <t>タ</t>
    </rPh>
    <phoneticPr fontId="5"/>
  </si>
  <si>
    <t>都道府県名</t>
    <rPh sb="0" eb="4">
      <t>トドウフケン</t>
    </rPh>
    <rPh sb="4" eb="5">
      <t>メイ</t>
    </rPh>
    <phoneticPr fontId="5"/>
  </si>
  <si>
    <t>教育委員会</t>
    <rPh sb="0" eb="2">
      <t>キョウイク</t>
    </rPh>
    <rPh sb="2" eb="5">
      <t>イインカイ</t>
    </rPh>
    <phoneticPr fontId="5"/>
  </si>
  <si>
    <t>実施済</t>
    <rPh sb="0" eb="2">
      <t>ジッシ</t>
    </rPh>
    <rPh sb="2" eb="3">
      <t>ズ</t>
    </rPh>
    <phoneticPr fontId="5"/>
  </si>
  <si>
    <t>企業局</t>
    <rPh sb="0" eb="2">
      <t>キギョウ</t>
    </rPh>
    <rPh sb="2" eb="3">
      <t>キョク</t>
    </rPh>
    <phoneticPr fontId="5"/>
  </si>
  <si>
    <t>単独
クラウド</t>
    <rPh sb="0" eb="2">
      <t>タンドク</t>
    </rPh>
    <phoneticPr fontId="5"/>
  </si>
  <si>
    <t>策定予定</t>
    <rPh sb="0" eb="2">
      <t>サクテイ</t>
    </rPh>
    <rPh sb="2" eb="4">
      <t>ヨテイ</t>
    </rPh>
    <phoneticPr fontId="5"/>
  </si>
  <si>
    <t>①本庁舎の清掃</t>
    <rPh sb="5" eb="7">
      <t>セイソウ</t>
    </rPh>
    <phoneticPr fontId="5"/>
  </si>
  <si>
    <t>｢直営｣かつ｢専任有｣団体</t>
    <rPh sb="9" eb="10">
      <t>ア</t>
    </rPh>
    <rPh sb="11" eb="13">
      <t>ダンタイ</t>
    </rPh>
    <phoneticPr fontId="5"/>
  </si>
  <si>
    <t>④電話交換</t>
    <rPh sb="1" eb="3">
      <t>デンワ</t>
    </rPh>
    <rPh sb="3" eb="5">
      <t>コウカン</t>
    </rPh>
    <phoneticPr fontId="3"/>
  </si>
  <si>
    <t>⑤公用車運転</t>
    <rPh sb="1" eb="4">
      <t>コウヨウシャ</t>
    </rPh>
    <rPh sb="4" eb="6">
      <t>ウンテン</t>
    </rPh>
    <phoneticPr fontId="3"/>
  </si>
  <si>
    <t>⑧学校給食（調理）</t>
    <rPh sb="1" eb="3">
      <t>ガッコウ</t>
    </rPh>
    <rPh sb="3" eb="5">
      <t>キュウショク</t>
    </rPh>
    <rPh sb="6" eb="8">
      <t>チョウリ</t>
    </rPh>
    <phoneticPr fontId="3"/>
  </si>
  <si>
    <t>⑪水道メーター検針</t>
    <rPh sb="1" eb="3">
      <t>スイドウ</t>
    </rPh>
    <rPh sb="7" eb="9">
      <t>ケンシン</t>
    </rPh>
    <phoneticPr fontId="5"/>
  </si>
  <si>
    <t>⑫道路維持補修・清掃等</t>
    <rPh sb="1" eb="3">
      <t>ドウロ</t>
    </rPh>
    <rPh sb="3" eb="5">
      <t>イジ</t>
    </rPh>
    <rPh sb="5" eb="7">
      <t>ホシュウ</t>
    </rPh>
    <rPh sb="8" eb="10">
      <t>セイソウ</t>
    </rPh>
    <rPh sb="10" eb="11">
      <t>トウ</t>
    </rPh>
    <phoneticPr fontId="5"/>
  </si>
  <si>
    <t>⑮情報処理・庁内情報システム維持</t>
    <rPh sb="1" eb="3">
      <t>ジョウホウ</t>
    </rPh>
    <rPh sb="3" eb="5">
      <t>ショリ</t>
    </rPh>
    <rPh sb="6" eb="8">
      <t>チョウナイ</t>
    </rPh>
    <rPh sb="8" eb="10">
      <t>ジョウホウ</t>
    </rPh>
    <rPh sb="14" eb="16">
      <t>イジ</t>
    </rPh>
    <phoneticPr fontId="5"/>
  </si>
  <si>
    <t>⑯ホームページ作成・運営</t>
    <rPh sb="7" eb="9">
      <t>サクセイ</t>
    </rPh>
    <rPh sb="10" eb="12">
      <t>ウンエイ</t>
    </rPh>
    <phoneticPr fontId="3"/>
  </si>
  <si>
    <t>⑰調査・集計</t>
    <rPh sb="1" eb="3">
      <t>チョウサ</t>
    </rPh>
    <rPh sb="4" eb="6">
      <t>シュウケイ</t>
    </rPh>
    <phoneticPr fontId="3"/>
  </si>
  <si>
    <t>旅費業務</t>
    <rPh sb="0" eb="2">
      <t>リョヒ</t>
    </rPh>
    <rPh sb="2" eb="4">
      <t>ギョウム</t>
    </rPh>
    <phoneticPr fontId="5"/>
  </si>
  <si>
    <t>福利厚生業務</t>
    <rPh sb="0" eb="2">
      <t>フクリ</t>
    </rPh>
    <rPh sb="2" eb="4">
      <t>コウセイ</t>
    </rPh>
    <rPh sb="4" eb="6">
      <t>ギョウム</t>
    </rPh>
    <phoneticPr fontId="5"/>
  </si>
  <si>
    <t>財務会計業務</t>
    <rPh sb="0" eb="2">
      <t>ザイム</t>
    </rPh>
    <rPh sb="2" eb="4">
      <t>カイケイ</t>
    </rPh>
    <rPh sb="4" eb="6">
      <t>ギョウム</t>
    </rPh>
    <phoneticPr fontId="5"/>
  </si>
  <si>
    <t>（１）民間委託の実施状況</t>
    <rPh sb="3" eb="5">
      <t>ミンカン</t>
    </rPh>
    <rPh sb="5" eb="7">
      <t>イタク</t>
    </rPh>
    <rPh sb="8" eb="10">
      <t>ジッシ</t>
    </rPh>
    <rPh sb="10" eb="12">
      <t>ジョウキョウ</t>
    </rPh>
    <phoneticPr fontId="5"/>
  </si>
  <si>
    <t>対象業務
【複数回答可】</t>
    <rPh sb="0" eb="2">
      <t>タイショウ</t>
    </rPh>
    <rPh sb="2" eb="4">
      <t>ギョウム</t>
    </rPh>
    <phoneticPr fontId="5"/>
  </si>
  <si>
    <t>対象部局
【複数回答可】</t>
    <rPh sb="0" eb="2">
      <t>タイショウ</t>
    </rPh>
    <rPh sb="2" eb="4">
      <t>ブキョク</t>
    </rPh>
    <phoneticPr fontId="5"/>
  </si>
  <si>
    <t>①体育館</t>
    <rPh sb="1" eb="4">
      <t>タイイクカン</t>
    </rPh>
    <phoneticPr fontId="5"/>
  </si>
  <si>
    <t>②競技場（野球場、テニスコート等）</t>
    <rPh sb="5" eb="8">
      <t>ヤキュウジョウ</t>
    </rPh>
    <rPh sb="15" eb="16">
      <t>トウ</t>
    </rPh>
    <phoneticPr fontId="5"/>
  </si>
  <si>
    <t>⑤宿泊休養施設（ホテル、国民宿舎等）</t>
    <rPh sb="12" eb="14">
      <t>コクミン</t>
    </rPh>
    <rPh sb="14" eb="16">
      <t>シュクシャ</t>
    </rPh>
    <rPh sb="16" eb="17">
      <t>トウ</t>
    </rPh>
    <phoneticPr fontId="5"/>
  </si>
  <si>
    <t>⑥休養施設（公衆浴場、海・山の家等）</t>
    <rPh sb="16" eb="17">
      <t>トウ</t>
    </rPh>
    <phoneticPr fontId="5"/>
  </si>
  <si>
    <t>⑦キャンプ場等</t>
    <rPh sb="5" eb="6">
      <t>ジョウ</t>
    </rPh>
    <rPh sb="6" eb="7">
      <t>トウ</t>
    </rPh>
    <phoneticPr fontId="5"/>
  </si>
  <si>
    <t>⑪大規模公園</t>
    <rPh sb="1" eb="4">
      <t>ダイキボ</t>
    </rPh>
    <rPh sb="4" eb="6">
      <t>コウエン</t>
    </rPh>
    <phoneticPr fontId="5"/>
  </si>
  <si>
    <t>⑫公営住宅</t>
    <rPh sb="1" eb="3">
      <t>コウエイ</t>
    </rPh>
    <rPh sb="3" eb="5">
      <t>ジュウタク</t>
    </rPh>
    <phoneticPr fontId="5"/>
  </si>
  <si>
    <t>⑭大規模霊園、斎場等</t>
    <rPh sb="1" eb="4">
      <t>ダイキボ</t>
    </rPh>
    <rPh sb="4" eb="6">
      <t>レイエン</t>
    </rPh>
    <rPh sb="7" eb="9">
      <t>サイジョウ</t>
    </rPh>
    <rPh sb="9" eb="10">
      <t>トウ</t>
    </rPh>
    <phoneticPr fontId="5"/>
  </si>
  <si>
    <t>⑮図書館</t>
    <rPh sb="1" eb="4">
      <t>トショカン</t>
    </rPh>
    <phoneticPr fontId="5"/>
  </si>
  <si>
    <t>⑯博物館（美術館、科学館、歴史館、動物園等）</t>
    <rPh sb="1" eb="4">
      <t>ハクブツカン</t>
    </rPh>
    <rPh sb="5" eb="8">
      <t>ビジュツカン</t>
    </rPh>
    <rPh sb="9" eb="12">
      <t>カガクカン</t>
    </rPh>
    <rPh sb="13" eb="16">
      <t>レキシカン</t>
    </rPh>
    <rPh sb="17" eb="20">
      <t>ドウブツエン</t>
    </rPh>
    <rPh sb="20" eb="21">
      <t>ナド</t>
    </rPh>
    <phoneticPr fontId="5"/>
  </si>
  <si>
    <t>⑲合宿所、研修所等（青少年の家を含む）</t>
    <rPh sb="1" eb="4">
      <t>ガッシュクジョ</t>
    </rPh>
    <rPh sb="5" eb="8">
      <t>ケンシュウジョ</t>
    </rPh>
    <rPh sb="8" eb="9">
      <t>トウ</t>
    </rPh>
    <rPh sb="10" eb="13">
      <t>セイショウネン</t>
    </rPh>
    <rPh sb="14" eb="15">
      <t>イエ</t>
    </rPh>
    <rPh sb="16" eb="17">
      <t>フク</t>
    </rPh>
    <phoneticPr fontId="5"/>
  </si>
  <si>
    <t>給与業務</t>
    <rPh sb="0" eb="2">
      <t>キュウヨ</t>
    </rPh>
    <rPh sb="2" eb="4">
      <t>ギョウム</t>
    </rPh>
    <phoneticPr fontId="5"/>
  </si>
  <si>
    <t>市区町村名</t>
    <rPh sb="0" eb="4">
      <t>シクチョウソン</t>
    </rPh>
    <rPh sb="4" eb="5">
      <t>メイ</t>
    </rPh>
    <phoneticPr fontId="5"/>
  </si>
  <si>
    <t>制度導入
施設数</t>
    <rPh sb="0" eb="2">
      <t>セイド</t>
    </rPh>
    <rPh sb="5" eb="7">
      <t>シセツ</t>
    </rPh>
    <phoneticPr fontId="5"/>
  </si>
  <si>
    <t>窓口業務の民間委託</t>
  </si>
  <si>
    <t>自治体職員を常駐で配置している事に対する考え方</t>
    <rPh sb="0" eb="3">
      <t>ジチタイ</t>
    </rPh>
    <rPh sb="3" eb="5">
      <t>ショクイン</t>
    </rPh>
    <rPh sb="6" eb="8">
      <t>ジョウチュウ</t>
    </rPh>
    <rPh sb="9" eb="11">
      <t>ハイチ</t>
    </rPh>
    <rPh sb="15" eb="16">
      <t>コト</t>
    </rPh>
    <rPh sb="17" eb="18">
      <t>タイ</t>
    </rPh>
    <rPh sb="20" eb="21">
      <t>カンガ</t>
    </rPh>
    <rPh sb="22" eb="23">
      <t>カタ</t>
    </rPh>
    <phoneticPr fontId="5"/>
  </si>
  <si>
    <t>うち
自治体職員常駐施設数</t>
    <rPh sb="3" eb="6">
      <t>ジチタイ</t>
    </rPh>
    <rPh sb="6" eb="8">
      <t>ショクイン</t>
    </rPh>
    <rPh sb="8" eb="10">
      <t>ジョウチュウ</t>
    </rPh>
    <rPh sb="10" eb="12">
      <t>シセツ</t>
    </rPh>
    <rPh sb="12" eb="13">
      <t>カズ</t>
    </rPh>
    <phoneticPr fontId="5"/>
  </si>
  <si>
    <t>㉓児童クラブ、学童館等</t>
    <rPh sb="1" eb="3">
      <t>ジドウ</t>
    </rPh>
    <rPh sb="7" eb="9">
      <t>ガクドウ</t>
    </rPh>
    <rPh sb="9" eb="10">
      <t>カン</t>
    </rPh>
    <rPh sb="10" eb="11">
      <t>トウ</t>
    </rPh>
    <phoneticPr fontId="5"/>
  </si>
  <si>
    <t>（４）庶務業務の集約化状況</t>
    <rPh sb="3" eb="5">
      <t>ショム</t>
    </rPh>
    <rPh sb="5" eb="7">
      <t>ギョウム</t>
    </rPh>
    <rPh sb="8" eb="11">
      <t>シュウヤクカ</t>
    </rPh>
    <phoneticPr fontId="5"/>
  </si>
  <si>
    <t>実施状況</t>
    <rPh sb="0" eb="2">
      <t>ジッシ</t>
    </rPh>
    <phoneticPr fontId="5"/>
  </si>
  <si>
    <t>(3)窓口業務改革の実施状況</t>
    <rPh sb="3" eb="5">
      <t>マドグチ</t>
    </rPh>
    <rPh sb="5" eb="7">
      <t>ギョウム</t>
    </rPh>
    <rPh sb="7" eb="9">
      <t>カイカク</t>
    </rPh>
    <rPh sb="10" eb="12">
      <t>ジッシ</t>
    </rPh>
    <rPh sb="12" eb="14">
      <t>ジョウキョウ</t>
    </rPh>
    <phoneticPr fontId="5"/>
  </si>
  <si>
    <r>
      <t xml:space="preserve">博物館
</t>
    </r>
    <r>
      <rPr>
        <sz val="6"/>
        <color theme="1"/>
        <rFont val="ＭＳ Ｐゴシック"/>
        <family val="3"/>
        <charset val="128"/>
        <scheme val="minor"/>
      </rPr>
      <t>（美術館、科学館、歴史館、動物園等）</t>
    </r>
    <phoneticPr fontId="5"/>
  </si>
  <si>
    <t>単独クラウド</t>
    <phoneticPr fontId="5"/>
  </si>
  <si>
    <t>自治体クラウド</t>
    <phoneticPr fontId="5"/>
  </si>
  <si>
    <t>類型</t>
    <phoneticPr fontId="5"/>
  </si>
  <si>
    <t>市区町村名</t>
    <rPh sb="0" eb="2">
      <t>シク</t>
    </rPh>
    <rPh sb="2" eb="4">
      <t>チョウソン</t>
    </rPh>
    <rPh sb="4" eb="5">
      <t>メイ</t>
    </rPh>
    <phoneticPr fontId="5"/>
  </si>
  <si>
    <t>（５）自治体情報ｼｽﾃﾑのクラウド化</t>
    <rPh sb="3" eb="6">
      <t>ジチタイ</t>
    </rPh>
    <rPh sb="6" eb="8">
      <t>ジョウホウ</t>
    </rPh>
    <rPh sb="17" eb="18">
      <t>カ</t>
    </rPh>
    <phoneticPr fontId="5"/>
  </si>
  <si>
    <t>業務改革においてBPRの手法を用いた業務分析に取り組んだことがありますか</t>
    <rPh sb="0" eb="2">
      <t>ギョウム</t>
    </rPh>
    <rPh sb="2" eb="4">
      <t>カイカク</t>
    </rPh>
    <rPh sb="12" eb="14">
      <t>シュホウ</t>
    </rPh>
    <rPh sb="15" eb="16">
      <t>モチ</t>
    </rPh>
    <rPh sb="18" eb="20">
      <t>ギョウム</t>
    </rPh>
    <rPh sb="20" eb="22">
      <t>ブンセキ</t>
    </rPh>
    <rPh sb="23" eb="24">
      <t>ト</t>
    </rPh>
    <rPh sb="25" eb="26">
      <t>ク</t>
    </rPh>
    <phoneticPr fontId="31"/>
  </si>
  <si>
    <t>BPRの手法を用いた業務分析</t>
    <rPh sb="4" eb="6">
      <t>シュホウ</t>
    </rPh>
    <rPh sb="7" eb="8">
      <t>モチ</t>
    </rPh>
    <rPh sb="10" eb="12">
      <t>ギョウム</t>
    </rPh>
    <rPh sb="12" eb="14">
      <t>ブンセキ</t>
    </rPh>
    <phoneticPr fontId="5"/>
  </si>
  <si>
    <t>取組状況</t>
    <rPh sb="0" eb="2">
      <t>トリクミ</t>
    </rPh>
    <rPh sb="2" eb="4">
      <t>ジョウキョウ</t>
    </rPh>
    <phoneticPr fontId="5"/>
  </si>
  <si>
    <t>総合窓口の
設置状況</t>
    <rPh sb="0" eb="2">
      <t>ソウゴウ</t>
    </rPh>
    <rPh sb="2" eb="4">
      <t>マドグチ</t>
    </rPh>
    <phoneticPr fontId="5"/>
  </si>
  <si>
    <t>自治体職員
常駐施設数</t>
    <rPh sb="0" eb="3">
      <t>ジチタイ</t>
    </rPh>
    <rPh sb="3" eb="5">
      <t>ショクイン</t>
    </rPh>
    <rPh sb="6" eb="8">
      <t>ジョウチュウ</t>
    </rPh>
    <rPh sb="8" eb="10">
      <t>シセツ</t>
    </rPh>
    <rPh sb="10" eb="11">
      <t>カズ</t>
    </rPh>
    <phoneticPr fontId="5"/>
  </si>
  <si>
    <t>自治体クラウド又は
単独クラウド実施済み</t>
    <rPh sb="0" eb="3">
      <t>ジチタイ</t>
    </rPh>
    <rPh sb="7" eb="8">
      <t>マタ</t>
    </rPh>
    <rPh sb="10" eb="12">
      <t>タンドク</t>
    </rPh>
    <rPh sb="16" eb="18">
      <t>ジッシ</t>
    </rPh>
    <rPh sb="18" eb="19">
      <t>ズ</t>
    </rPh>
    <phoneticPr fontId="5"/>
  </si>
  <si>
    <t>業務改革効果</t>
    <rPh sb="0" eb="2">
      <t>ギョウム</t>
    </rPh>
    <rPh sb="2" eb="4">
      <t>カイカク</t>
    </rPh>
    <rPh sb="4" eb="6">
      <t>コウカ</t>
    </rPh>
    <phoneticPr fontId="5"/>
  </si>
  <si>
    <t>○</t>
  </si>
  <si>
    <t>実施済</t>
  </si>
  <si>
    <t>委託有</t>
  </si>
  <si>
    <t>北海道</t>
    <rPh sb="0" eb="3">
      <t>ホッカイドウ</t>
    </rPh>
    <phoneticPr fontId="5"/>
  </si>
  <si>
    <t>札幌市</t>
    <rPh sb="0" eb="3">
      <t>サッポロシ</t>
    </rPh>
    <phoneticPr fontId="5"/>
  </si>
  <si>
    <t>設置予定</t>
  </si>
  <si>
    <t>（６）公共施設等総合管理計画</t>
    <rPh sb="3" eb="8">
      <t>コウキョウシセツナド</t>
    </rPh>
    <rPh sb="8" eb="10">
      <t>ソウゴウ</t>
    </rPh>
    <rPh sb="10" eb="12">
      <t>カンリ</t>
    </rPh>
    <rPh sb="12" eb="14">
      <t>ケイカク</t>
    </rPh>
    <phoneticPr fontId="5"/>
  </si>
  <si>
    <t>（７）地方公会計の整備</t>
    <rPh sb="3" eb="5">
      <t>チホウ</t>
    </rPh>
    <rPh sb="5" eb="8">
      <t>コウカイケイ</t>
    </rPh>
    <rPh sb="9" eb="11">
      <t>セイビ</t>
    </rPh>
    <phoneticPr fontId="5"/>
  </si>
  <si>
    <t>総合管理計画の策定状況</t>
    <rPh sb="0" eb="2">
      <t>ソウゴウ</t>
    </rPh>
    <rPh sb="2" eb="4">
      <t>カンリ</t>
    </rPh>
    <rPh sb="4" eb="6">
      <t>ケイカク</t>
    </rPh>
    <rPh sb="7" eb="9">
      <t>サクテイ</t>
    </rPh>
    <rPh sb="9" eb="11">
      <t>ジョウキョウ</t>
    </rPh>
    <phoneticPr fontId="5"/>
  </si>
  <si>
    <t>策定済</t>
    <rPh sb="0" eb="2">
      <t>サクテイ</t>
    </rPh>
    <rPh sb="2" eb="3">
      <t>ズミ</t>
    </rPh>
    <phoneticPr fontId="5"/>
  </si>
  <si>
    <t>策定予定時期</t>
    <rPh sb="0" eb="2">
      <t>サクテイ</t>
    </rPh>
    <rPh sb="2" eb="4">
      <t>ヨテイ</t>
    </rPh>
    <rPh sb="4" eb="6">
      <t>ジキ</t>
    </rPh>
    <phoneticPr fontId="5"/>
  </si>
  <si>
    <t>作成済</t>
    <rPh sb="0" eb="2">
      <t>サクセイ</t>
    </rPh>
    <rPh sb="2" eb="3">
      <t>ズ</t>
    </rPh>
    <phoneticPr fontId="5"/>
  </si>
  <si>
    <t>総合窓口の設置</t>
    <phoneticPr fontId="5"/>
  </si>
  <si>
    <t>直営(※)</t>
    <phoneticPr fontId="5"/>
  </si>
  <si>
    <t>今後の対応方針　【直営（※）を選択した団体のみ回答】</t>
    <phoneticPr fontId="5"/>
  </si>
  <si>
    <t>全国（指定都市）
委託率</t>
    <rPh sb="0" eb="2">
      <t>ゼンコク</t>
    </rPh>
    <rPh sb="3" eb="5">
      <t>シテイ</t>
    </rPh>
    <rPh sb="5" eb="7">
      <t>トシ</t>
    </rPh>
    <rPh sb="9" eb="12">
      <t>イタクリツ</t>
    </rPh>
    <phoneticPr fontId="5"/>
  </si>
  <si>
    <t>設置状況</t>
    <phoneticPr fontId="5"/>
  </si>
  <si>
    <t>予定時期</t>
    <phoneticPr fontId="5"/>
  </si>
  <si>
    <t>委託状況</t>
    <phoneticPr fontId="5"/>
  </si>
  <si>
    <t>本庁舎の清掃</t>
    <phoneticPr fontId="5"/>
  </si>
  <si>
    <t>【参考】</t>
    <rPh sb="1" eb="3">
      <t>サンコウ</t>
    </rPh>
    <phoneticPr fontId="5"/>
  </si>
  <si>
    <t>本庁舎の夜間警備</t>
    <phoneticPr fontId="5"/>
  </si>
  <si>
    <t>全国（指定都市）</t>
    <rPh sb="0" eb="2">
      <t>ゼンコク</t>
    </rPh>
    <rPh sb="3" eb="5">
      <t>シテイ</t>
    </rPh>
    <rPh sb="5" eb="7">
      <t>トシ</t>
    </rPh>
    <phoneticPr fontId="5"/>
  </si>
  <si>
    <t>設置率</t>
    <rPh sb="0" eb="3">
      <t>セッチリツ</t>
    </rPh>
    <phoneticPr fontId="5"/>
  </si>
  <si>
    <t>案内・受付</t>
    <phoneticPr fontId="5"/>
  </si>
  <si>
    <t>委託率</t>
    <rPh sb="0" eb="3">
      <t>イタクリツ</t>
    </rPh>
    <phoneticPr fontId="5"/>
  </si>
  <si>
    <t>電話交換</t>
    <phoneticPr fontId="5"/>
  </si>
  <si>
    <t>公用車運転</t>
    <phoneticPr fontId="5"/>
  </si>
  <si>
    <t>し尿収集</t>
    <phoneticPr fontId="5"/>
  </si>
  <si>
    <t>一般ごみ収集</t>
    <phoneticPr fontId="5"/>
  </si>
  <si>
    <t>対象部局</t>
    <phoneticPr fontId="5"/>
  </si>
  <si>
    <t>対象業務</t>
    <phoneticPr fontId="5"/>
  </si>
  <si>
    <t>学校給食（調理）</t>
    <phoneticPr fontId="5"/>
  </si>
  <si>
    <t>実施率</t>
    <rPh sb="0" eb="3">
      <t>ジッシリツ</t>
    </rPh>
    <phoneticPr fontId="5"/>
  </si>
  <si>
    <t>首長部局</t>
    <phoneticPr fontId="5"/>
  </si>
  <si>
    <t>企業局</t>
    <phoneticPr fontId="5"/>
  </si>
  <si>
    <t>教育委員会</t>
    <phoneticPr fontId="5"/>
  </si>
  <si>
    <t>その他</t>
    <phoneticPr fontId="5"/>
  </si>
  <si>
    <t>給与</t>
    <phoneticPr fontId="5"/>
  </si>
  <si>
    <t>旅費</t>
    <phoneticPr fontId="5"/>
  </si>
  <si>
    <t>福利厚生</t>
    <phoneticPr fontId="5"/>
  </si>
  <si>
    <t>財務会計</t>
    <phoneticPr fontId="5"/>
  </si>
  <si>
    <t>学校給食（運搬）</t>
    <phoneticPr fontId="5"/>
  </si>
  <si>
    <t>学校用務員事務</t>
    <phoneticPr fontId="5"/>
  </si>
  <si>
    <t>水道メーター検針</t>
    <phoneticPr fontId="5"/>
  </si>
  <si>
    <t>道路維持補修・清掃等</t>
    <phoneticPr fontId="5"/>
  </si>
  <si>
    <t>｢実施予定無し｣及び｢首長部局未設置団体｣は「未実施の理由」を、｢実施予定あり｣の団体は｢実施予定時期｣を記述してください。</t>
    <phoneticPr fontId="5"/>
  </si>
  <si>
    <t>ホームヘルパー派遣</t>
    <phoneticPr fontId="5"/>
  </si>
  <si>
    <t>在宅配食サービス</t>
    <phoneticPr fontId="5"/>
  </si>
  <si>
    <t>情報処理・庁内情報システム維持</t>
    <phoneticPr fontId="5"/>
  </si>
  <si>
    <t>ホームページ作成・運営</t>
    <phoneticPr fontId="5"/>
  </si>
  <si>
    <t>BPRの手法を用いた業務分析</t>
  </si>
  <si>
    <t>調査・集計</t>
    <phoneticPr fontId="5"/>
  </si>
  <si>
    <t>実施率（指定都市）</t>
    <rPh sb="0" eb="3">
      <t>ジッシリツ</t>
    </rPh>
    <rPh sb="4" eb="6">
      <t>シテイ</t>
    </rPh>
    <rPh sb="6" eb="8">
      <t>トシ</t>
    </rPh>
    <phoneticPr fontId="5"/>
  </si>
  <si>
    <t>公の
施設数</t>
    <phoneticPr fontId="5"/>
  </si>
  <si>
    <t>導入率</t>
    <phoneticPr fontId="5"/>
  </si>
  <si>
    <t>前年度以降、導入が進んでいない理由</t>
    <phoneticPr fontId="5"/>
  </si>
  <si>
    <t>自治体
クラウド</t>
    <rPh sb="0" eb="3">
      <t>ジチタイ</t>
    </rPh>
    <phoneticPr fontId="5"/>
  </si>
  <si>
    <t>体育館</t>
    <phoneticPr fontId="5"/>
  </si>
  <si>
    <t>プール</t>
    <phoneticPr fontId="5"/>
  </si>
  <si>
    <t>海水浴場</t>
    <phoneticPr fontId="5"/>
  </si>
  <si>
    <t>キャンプ場等</t>
    <phoneticPr fontId="5"/>
  </si>
  <si>
    <t>産業情報提供施設</t>
    <phoneticPr fontId="5"/>
  </si>
  <si>
    <t>展示場施設、見本市施設</t>
    <phoneticPr fontId="5"/>
  </si>
  <si>
    <t>開放型研究施設等</t>
    <phoneticPr fontId="5"/>
  </si>
  <si>
    <t>大規模公園</t>
    <phoneticPr fontId="5"/>
  </si>
  <si>
    <t>公営住宅</t>
    <phoneticPr fontId="5"/>
  </si>
  <si>
    <t>駐車場</t>
    <phoneticPr fontId="5"/>
  </si>
  <si>
    <t>大規模霊園、斎場等</t>
    <phoneticPr fontId="5"/>
  </si>
  <si>
    <t>図書館</t>
    <phoneticPr fontId="5"/>
  </si>
  <si>
    <t>策定予定時期</t>
    <phoneticPr fontId="5"/>
  </si>
  <si>
    <t>【参考】</t>
    <phoneticPr fontId="5"/>
  </si>
  <si>
    <t>公民館、市民会館</t>
    <phoneticPr fontId="5"/>
  </si>
  <si>
    <t>策定割合（全国（指定都市））</t>
    <rPh sb="8" eb="10">
      <t>シテイ</t>
    </rPh>
    <rPh sb="10" eb="12">
      <t>トシ</t>
    </rPh>
    <phoneticPr fontId="5"/>
  </si>
  <si>
    <t>文化会館</t>
    <phoneticPr fontId="5"/>
  </si>
  <si>
    <t>特別養護老人ホーム</t>
    <phoneticPr fontId="5"/>
  </si>
  <si>
    <t>介護支援センター</t>
    <phoneticPr fontId="5"/>
  </si>
  <si>
    <t>福祉・保健センター</t>
    <phoneticPr fontId="5"/>
  </si>
  <si>
    <t>児童クラブ、学童館等</t>
    <phoneticPr fontId="5"/>
  </si>
  <si>
    <t>作成割合（全国（指定都市））</t>
    <rPh sb="0" eb="2">
      <t>サクセイ</t>
    </rPh>
    <rPh sb="8" eb="10">
      <t>シテイ</t>
    </rPh>
    <rPh sb="10" eb="12">
      <t>トシ</t>
    </rPh>
    <phoneticPr fontId="5"/>
  </si>
  <si>
    <r>
      <rPr>
        <sz val="12"/>
        <color theme="1"/>
        <rFont val="ＭＳ Ｐゴシック"/>
        <family val="3"/>
        <charset val="128"/>
        <scheme val="minor"/>
      </rPr>
      <t>宿泊休養施設</t>
    </r>
    <r>
      <rPr>
        <sz val="10"/>
        <color theme="1"/>
        <rFont val="ＭＳ Ｐゴシック"/>
        <family val="3"/>
        <charset val="128"/>
        <scheme val="minor"/>
      </rPr>
      <t xml:space="preserve">
</t>
    </r>
    <r>
      <rPr>
        <sz val="8"/>
        <color theme="1"/>
        <rFont val="ＭＳ Ｐゴシック"/>
        <family val="3"/>
        <charset val="128"/>
        <scheme val="minor"/>
      </rPr>
      <t>（ホテル、国民宿舎等）</t>
    </r>
    <phoneticPr fontId="5"/>
  </si>
  <si>
    <r>
      <rPr>
        <sz val="12"/>
        <color theme="1"/>
        <rFont val="ＭＳ Ｐゴシック"/>
        <family val="3"/>
        <charset val="128"/>
        <scheme val="minor"/>
      </rPr>
      <t>休養施設</t>
    </r>
    <r>
      <rPr>
        <sz val="10"/>
        <color theme="1"/>
        <rFont val="ＭＳ Ｐゴシック"/>
        <family val="3"/>
        <charset val="128"/>
        <scheme val="minor"/>
      </rPr>
      <t xml:space="preserve">
</t>
    </r>
    <r>
      <rPr>
        <sz val="8"/>
        <color theme="1"/>
        <rFont val="ＭＳ Ｐゴシック"/>
        <family val="3"/>
        <charset val="128"/>
        <scheme val="minor"/>
      </rPr>
      <t>（公衆浴場、海・山の家等）</t>
    </r>
    <phoneticPr fontId="5"/>
  </si>
  <si>
    <r>
      <rPr>
        <sz val="11"/>
        <color theme="1"/>
        <rFont val="ＭＳ Ｐゴシック"/>
        <family val="3"/>
        <charset val="128"/>
        <scheme val="minor"/>
      </rPr>
      <t>合宿所、研修所等</t>
    </r>
    <r>
      <rPr>
        <sz val="10"/>
        <color theme="1"/>
        <rFont val="ＭＳ Ｐゴシック"/>
        <family val="3"/>
        <charset val="128"/>
        <scheme val="minor"/>
      </rPr>
      <t xml:space="preserve">
</t>
    </r>
    <r>
      <rPr>
        <sz val="8"/>
        <color theme="1"/>
        <rFont val="ＭＳ Ｐゴシック"/>
        <family val="3"/>
        <charset val="128"/>
        <scheme val="minor"/>
      </rPr>
      <t>（青少年の家を含む）</t>
    </r>
    <phoneticPr fontId="5"/>
  </si>
  <si>
    <r>
      <t xml:space="preserve">競技場
</t>
    </r>
    <r>
      <rPr>
        <sz val="9"/>
        <color theme="1"/>
        <rFont val="ＭＳ Ｐゴシック"/>
        <family val="3"/>
        <charset val="128"/>
        <scheme val="minor"/>
      </rPr>
      <t>（野球場、テニスコート等）</t>
    </r>
    <phoneticPr fontId="5"/>
  </si>
  <si>
    <t>宮城県</t>
    <rPh sb="0" eb="3">
      <t>ミヤギケン</t>
    </rPh>
    <phoneticPr fontId="5"/>
  </si>
  <si>
    <t>仙台市</t>
    <rPh sb="0" eb="3">
      <t>センダイシ</t>
    </rPh>
    <phoneticPr fontId="5"/>
  </si>
  <si>
    <t>　</t>
  </si>
  <si>
    <t>施設の設置趣旨（保健所機能の一部であり、保健所との連携が必要である）から、直営で運営し、自治体職員を常駐で配置する必要があるため。また、自治体職員が直接実施すべき専門性の高い業務（健康相談・保健指導等）を行っているため。</t>
  </si>
  <si>
    <t>委託予定無し</t>
  </si>
  <si>
    <t>埼玉県</t>
    <rPh sb="0" eb="3">
      <t>サイタマケン</t>
    </rPh>
    <phoneticPr fontId="5"/>
  </si>
  <si>
    <t>さいたま市</t>
    <rPh sb="4" eb="5">
      <t>シ</t>
    </rPh>
    <phoneticPr fontId="5"/>
  </si>
  <si>
    <t>直営で運営すべき施設と考えているため。</t>
  </si>
  <si>
    <t xml:space="preserve">設置済 </t>
  </si>
  <si>
    <t>千葉県</t>
    <rPh sb="0" eb="3">
      <t>チバケン</t>
    </rPh>
    <phoneticPr fontId="5"/>
  </si>
  <si>
    <t>千葉市</t>
    <rPh sb="0" eb="3">
      <t>チバシ</t>
    </rPh>
    <phoneticPr fontId="5"/>
  </si>
  <si>
    <t>用務員の配置基準等について検討中。</t>
  </si>
  <si>
    <t>動物公園においては、継続的な専門知識の蓄積・研究を行い、教育普及・市民サービス向上を図るため。</t>
  </si>
  <si>
    <t>継続的な専門知識の蓄積・研究を行い、教育普及・市民サービス向上を図るため。</t>
  </si>
  <si>
    <t>博物館においては、継続的な専門知識の蓄積・研究を行い、教育普及・市民サービス向上を図るため。</t>
  </si>
  <si>
    <t>実施予定無し</t>
  </si>
  <si>
    <t>神奈川県</t>
    <rPh sb="0" eb="4">
      <t>カナガワケン</t>
    </rPh>
    <phoneticPr fontId="5"/>
  </si>
  <si>
    <t>横浜市</t>
    <rPh sb="0" eb="3">
      <t>ヨコハマシ</t>
    </rPh>
    <phoneticPr fontId="5"/>
  </si>
  <si>
    <t>－</t>
  </si>
  <si>
    <t>事業の効率的な運営について検討中</t>
    <rPh sb="15" eb="16">
      <t>チュウ</t>
    </rPh>
    <phoneticPr fontId="5"/>
  </si>
  <si>
    <t>危機管理への対応や、指定管理者や市民ボランティアとの連携の拠点として、一部の公園は直営を維持する方針であるため。</t>
  </si>
  <si>
    <t>多くの公園や公園施設を適正に管理するためには、一部を直営することで管理手法等のノウハウを本市の中で蓄え、適切な指導・連携していくべきであると考えている。</t>
  </si>
  <si>
    <t>PFI事業でPFI契約を締結しているため。</t>
  </si>
  <si>
    <t>設置予定無し</t>
  </si>
  <si>
    <t>川崎市</t>
    <rPh sb="0" eb="3">
      <t>カワサキシ</t>
    </rPh>
    <phoneticPr fontId="5"/>
  </si>
  <si>
    <t>公営住宅法47条に規定されている管理代行制度を導入し、川崎市住宅供給公社に委託しており、これにより入居者の募集・決定などの権限の行使を伴う業務を委託するなど管理の効率化を図っているため。</t>
  </si>
  <si>
    <t>相模原市</t>
    <rPh sb="0" eb="4">
      <t>サガミハラシ</t>
    </rPh>
    <phoneticPr fontId="5"/>
  </si>
  <si>
    <t>教育委員会の指導主事を配置し、学校等と連携して事業を実施していることから、直営としている。</t>
  </si>
  <si>
    <t>教育委員会の指導主事を配置し、学校等と連携して事業を実施していることから、職員が常駐している。</t>
  </si>
  <si>
    <t>１施設は、直営としている公民館との複合施設であるため、直営としている。</t>
  </si>
  <si>
    <t>児童館、こどもセンター、児童クラブ等の児童厚生施設は、児童・青少年の健全育成や地域活動の拠点であり、地域に根ざした効率的な管理運営を行っていることから、直営としている。</t>
  </si>
  <si>
    <t>児童館、こどもセンター、児童クラブ等の児童厚生施設は、児童・青少年の健全育成や地域活動の拠点であり、地域に根ざした効率的な管理運営を行っていることから、職員が常駐し直営としている。</t>
  </si>
  <si>
    <t>新潟県</t>
    <rPh sb="0" eb="3">
      <t>ニイガタケン</t>
    </rPh>
    <phoneticPr fontId="5"/>
  </si>
  <si>
    <t>新潟市</t>
    <rPh sb="0" eb="3">
      <t>ニイガタシ</t>
    </rPh>
    <phoneticPr fontId="5"/>
  </si>
  <si>
    <t>静岡県</t>
  </si>
  <si>
    <t>浜松市</t>
  </si>
  <si>
    <t>非導入となっている施設は、導入によって財政的効果が見込められる施設ではないため。</t>
  </si>
  <si>
    <t>「浜松市指定管理者制度の実施に関する基本方針」で規定する対象外施設に該当するため。</t>
  </si>
  <si>
    <t>非導入となっている施設は、市が直接管理することが施設の効用を図る上で望ましい施設であるため。</t>
  </si>
  <si>
    <t>市が直接管理することが施設の効用を図る上で望ましい施設</t>
  </si>
  <si>
    <t>非導入の施設は、導入することによる財政的効果が見込めない施設であるため。</t>
  </si>
  <si>
    <t>非導入となっている施設は、導入によって財政的効果が見込めない施設であるため。</t>
  </si>
  <si>
    <t>非導入となっている施設は、導入によって財政的効果が見込めない、または市が直接管理することが必要であると認める施設であるため。</t>
  </si>
  <si>
    <t>市が直接管理することが必要であると認める施設</t>
  </si>
  <si>
    <t>非導入となっている施設は、導入によって財政的効果が見込めない、または市が直接管理することが必要であると認める施設であるため</t>
  </si>
  <si>
    <t>非導入となっている施設は、市が直接実施すべき業務と一体として管理している施設であるため。</t>
  </si>
  <si>
    <t>市が直接実施すべき業務と一体として管理している施設</t>
  </si>
  <si>
    <t>非導入である施設は、市が直接実施すべき業務と一体として管理している施設や導入することによる財政的効果が見込めない施設、また市が直接管理することが必要と認める施設であるため。</t>
  </si>
  <si>
    <t>非導入となっている施設は、市が直接管理することが施設の効用を図る上で望ましい、また市が直接実施すべき業務と一体として管理している施設であるため。</t>
  </si>
  <si>
    <t>市が直接管理することが施設の効用を図る上で望ましい施設であるほか、導入することによる財政的効果が見込めない施設であるため。</t>
  </si>
  <si>
    <t>非導入となっている施設は、地域住民が利用することを目的として設置された小規模施設であるため。</t>
  </si>
  <si>
    <t>愛知県</t>
    <rPh sb="0" eb="3">
      <t>アイチケン</t>
    </rPh>
    <phoneticPr fontId="1"/>
  </si>
  <si>
    <t>名古屋市</t>
    <rPh sb="0" eb="4">
      <t>ナゴヤシ</t>
    </rPh>
    <phoneticPr fontId="1"/>
  </si>
  <si>
    <t>検討中</t>
    <rPh sb="0" eb="2">
      <t>ケントウ</t>
    </rPh>
    <rPh sb="2" eb="3">
      <t>チュウ</t>
    </rPh>
    <phoneticPr fontId="5"/>
  </si>
  <si>
    <t>公園内スポーツ施設について市民との密接なつながりがあり、市の施策を反映した公園づくり等を行う必要があるため。</t>
  </si>
  <si>
    <t>住宅セーフティー機能を有する公共性の強い施設であり、市営住宅を一元的・一体的に管理し、安定的に市内均一のサービスの提供をする必要があるため、管理代行制度を導入している。</t>
  </si>
  <si>
    <t>古くからのお墓が多く権利関係が複雑になっているものもあり、管理に経験に基づく知識や判断が必要となるため。狭隘な施設や老朽化した火葬設備などの管理運営に、経験に基づくノウハウや配慮が必要となるため。</t>
  </si>
  <si>
    <t>斎場の狭隘な施設や老朽化した火葬設備、権利関係が複雑になっている古くからのお墓の管理運営には、経験に基づくノウハウや配慮、判断が必要。また、使用者等の戸籍調査や改葬手続きは市が直接実施する必要がある。</t>
  </si>
  <si>
    <t>社会教育施設として長期的・計画的な蔵書管理や業務の継続が必要であるため。</t>
  </si>
  <si>
    <t>博物館等における重要文化財の保存・公開、動植物園における種の保存・環境教育等、専門職員の高度な知識と豊富な経験を要し、長期的かつ継続的な事業運営を市が責任を持って行う必要があるため。</t>
  </si>
  <si>
    <t>京都府</t>
    <rPh sb="0" eb="2">
      <t>キョウト</t>
    </rPh>
    <rPh sb="2" eb="3">
      <t>フ</t>
    </rPh>
    <phoneticPr fontId="5"/>
  </si>
  <si>
    <t>京都市</t>
    <rPh sb="0" eb="2">
      <t>キョウト</t>
    </rPh>
    <rPh sb="2" eb="3">
      <t>シ</t>
    </rPh>
    <phoneticPr fontId="5"/>
  </si>
  <si>
    <t>行政責任や職員配置等の必要があるため導入を検討していない。</t>
  </si>
  <si>
    <t>火葬業務は専門性が高く，自治体職員配置は必須である。</t>
  </si>
  <si>
    <t>直営の部分で，施設の管理・運営方針の決定など根幹業務を行いながら，図書館事業の企画実施などの専門業務を委託することで，効果的な運営を行っているため。</t>
  </si>
  <si>
    <t>当該施設における事業は，本市立学校における教育と密接な連携が必要であり，高い専門性が求められるため，指定管理者制度はそぐわない。</t>
  </si>
  <si>
    <t>教職員研修の実施や教育計画・教育内容の調査研究，また施設で実施している事業を各学校での教育活動と関連づけて実施する等の市職員が行うべき根幹業務が存在するため。</t>
  </si>
  <si>
    <t>大阪府</t>
    <rPh sb="0" eb="3">
      <t>オオサカフ</t>
    </rPh>
    <phoneticPr fontId="7"/>
  </si>
  <si>
    <t>大阪市</t>
    <rPh sb="0" eb="3">
      <t>オオサカシ</t>
    </rPh>
    <phoneticPr fontId="7"/>
  </si>
  <si>
    <t>指定管理導入公園、導入時期について検討中であるため。</t>
  </si>
  <si>
    <t>当該公園は動物園を併設し、専門性を有する業務であるため。</t>
  </si>
  <si>
    <t>常駐でなければ図書館サービスが成り立たないため。</t>
  </si>
  <si>
    <t>常駐でなければ図書館サービスが成り立たないため</t>
  </si>
  <si>
    <t>庁舎と併設でもあり、直営管理の方が効率的であるため。</t>
  </si>
  <si>
    <t>庁舎との併設のため</t>
  </si>
  <si>
    <t>直営で運営すべき施設であるため</t>
  </si>
  <si>
    <t>大阪府</t>
    <rPh sb="0" eb="3">
      <t>オオサカフ</t>
    </rPh>
    <phoneticPr fontId="5"/>
  </si>
  <si>
    <t>堺市</t>
    <rPh sb="0" eb="2">
      <t>サカイシ</t>
    </rPh>
    <phoneticPr fontId="5"/>
  </si>
  <si>
    <t>公園の管理には、市民協働の手法を取り入れていることから、管理運営のあり方については十分な検討が必要であるため。</t>
  </si>
  <si>
    <t>住環境の整備・改善を目的に建設された改良住宅団地については、地域の実情を踏まえ、管理運営のあり方については十分な検討が必要であるため。</t>
  </si>
  <si>
    <t>展示内容等の判断、保管する館蔵資料等の保管責任の明確化、調査研究・展示企画を継続的に行ううえで職員の配置は必要である。</t>
  </si>
  <si>
    <t>兵庫県</t>
  </si>
  <si>
    <t>神戸市</t>
  </si>
  <si>
    <t>都市公園法上の管理許可制度による運営手法を導入しているため</t>
  </si>
  <si>
    <t>基幹となる１図書館を直営とし、指定管理導入済みの他の図書館を含めて全市的な図書館運営について方向性の統一を図るため。</t>
  </si>
  <si>
    <t>地域図書館は指定管理とし、中央図書館は直営とすることで、中央図書館を中心とした全市の図書館運営について方向性の統一を図る手法をとっているため。</t>
  </si>
  <si>
    <t>民間事業者では解決しにくい課題や、実施しにくい内容に焦点を当てて、事業を実施する必要があるため。</t>
  </si>
  <si>
    <t>岡山県</t>
    <rPh sb="0" eb="3">
      <t>オカヤマケン</t>
    </rPh>
    <phoneticPr fontId="5"/>
  </si>
  <si>
    <t>岡山市</t>
    <rPh sb="0" eb="2">
      <t>オカヤマ</t>
    </rPh>
    <rPh sb="2" eb="3">
      <t>シ</t>
    </rPh>
    <phoneticPr fontId="5"/>
  </si>
  <si>
    <t>直営で運営すべき施設であるため。</t>
  </si>
  <si>
    <t>利用料金総額が少額であり、指定管理者制度を使うことでコスト増が見込まれるため。</t>
  </si>
  <si>
    <t>当該施設は、リサイクルプラザの中にあり、施設全体の管理について同一者が行うのが効率的であるため、包括外部委託を導入する際には、指定管理者制度の導入も検討することから、当面は市職員による直営としている。</t>
  </si>
  <si>
    <t>管理棟・レストラン・遊具など指定管理者の運営に該当する施設がなく、清掃・植栽管理等を指定管理すると直営経費に指定管理料が上乗せとなりコスト増となるため。</t>
  </si>
  <si>
    <t>司書の専門性を継続的に高め、質の高い人材を育成することが必要であり、正規職員を核とした多様な雇用形態による運営が最も効果的かつ効率的であるため。</t>
  </si>
  <si>
    <t>図書館は地域の情報拠点として地域社会の情報要求に的確に対応する必要があり、自治体職員である司書が継続的に専門性を高め、人材を育成するため、正規職員を核とした雇用形態による運営が望ましいと考えている。</t>
  </si>
  <si>
    <t>廃館予定としており、それまでの期間は直営とするため。</t>
  </si>
  <si>
    <t>広島県</t>
    <rPh sb="0" eb="2">
      <t>ヒロシマ</t>
    </rPh>
    <rPh sb="2" eb="3">
      <t>ケン</t>
    </rPh>
    <phoneticPr fontId="5"/>
  </si>
  <si>
    <t>広島市</t>
    <rPh sb="0" eb="3">
      <t>ヒロシマシ</t>
    </rPh>
    <phoneticPr fontId="5"/>
  </si>
  <si>
    <t>現在、正規職員の退職に合わせて非常勤職員化を進めることにより、人件費等の経費の縮減を図っており、今後も引き続き直営とする。</t>
  </si>
  <si>
    <t>直営の施設（椎原児童プール）は、主な施設利用者や地元町内会等を非公募により指定管理者とすることと整理しているが、条件に合う者がおらず、直営としている。</t>
  </si>
  <si>
    <t>直営の施設（墓地）については、施設の運営方法等を継続して検討する必要があり、当面直営としている。</t>
  </si>
  <si>
    <t>自治体職員は目的外使用許可、公民館使用料の還付などの業務を行っている。</t>
  </si>
  <si>
    <t>直営の施設（児童館）については、施設の運営方法等を継続して検討しているため。</t>
  </si>
  <si>
    <t>直営の施設（児童館）については、施設の運営方法等を継続して検討する必要があるため、当面の対応として非常勤職員を配置の上、直営で管理している。</t>
  </si>
  <si>
    <t>福岡県</t>
    <rPh sb="0" eb="3">
      <t>フクオカケン</t>
    </rPh>
    <phoneticPr fontId="5"/>
  </si>
  <si>
    <t>北九州市</t>
    <rPh sb="0" eb="1">
      <t>キタ</t>
    </rPh>
    <rPh sb="1" eb="3">
      <t>キュウシュウ</t>
    </rPh>
    <rPh sb="3" eb="4">
      <t>シ</t>
    </rPh>
    <phoneticPr fontId="5"/>
  </si>
  <si>
    <t>福岡県</t>
    <rPh sb="0" eb="2">
      <t>フクオカ</t>
    </rPh>
    <rPh sb="2" eb="3">
      <t>ケン</t>
    </rPh>
    <phoneticPr fontId="5"/>
  </si>
  <si>
    <t>福岡市</t>
    <rPh sb="0" eb="3">
      <t>フクオカシ</t>
    </rPh>
    <phoneticPr fontId="5"/>
  </si>
  <si>
    <t>熊本県</t>
    <rPh sb="0" eb="3">
      <t>クマモトケン</t>
    </rPh>
    <phoneticPr fontId="5"/>
  </si>
  <si>
    <t>熊本市</t>
    <rPh sb="0" eb="3">
      <t>クマモトシ</t>
    </rPh>
    <phoneticPr fontId="5"/>
  </si>
  <si>
    <t>退職不補充を基本とし、再任用職員や民間活力の活用を進めつつ、直営業務（技能労務職）のあり方について、総合的に検討を行っていく。</t>
  </si>
  <si>
    <t>指定管理者制度を使うことでコスト増が見込まれるため。また、指定管理料が少額になるため応募が見込めないため。</t>
  </si>
  <si>
    <t>指定管理者制度を使うことでコスト増が見込まれるため。</t>
  </si>
  <si>
    <r>
      <t xml:space="preserve">⑬ホームヘルパー派遣
</t>
    </r>
    <r>
      <rPr>
        <sz val="11"/>
        <color rgb="FFFF0000"/>
        <rFont val="ＭＳ Ｐゴシック"/>
        <family val="3"/>
        <charset val="128"/>
        <scheme val="minor"/>
      </rPr>
      <t>【都道府県は回答不要】</t>
    </r>
    <rPh sb="8" eb="10">
      <t>ハケン</t>
    </rPh>
    <phoneticPr fontId="5"/>
  </si>
  <si>
    <r>
      <t xml:space="preserve">⑭在宅配食サービス
</t>
    </r>
    <r>
      <rPr>
        <sz val="11"/>
        <color rgb="FFFF0000"/>
        <rFont val="ＭＳ Ｐゴシック"/>
        <family val="3"/>
        <charset val="128"/>
        <scheme val="minor"/>
      </rPr>
      <t>【都道府県は回答不要】</t>
    </r>
    <rPh sb="1" eb="3">
      <t>ザイタク</t>
    </rPh>
    <rPh sb="3" eb="5">
      <t>ハイショク</t>
    </rPh>
    <phoneticPr fontId="5"/>
  </si>
  <si>
    <t>委託あり</t>
    <rPh sb="0" eb="2">
      <t>イタク</t>
    </rPh>
    <phoneticPr fontId="5"/>
  </si>
  <si>
    <t>合計</t>
    <rPh sb="0" eb="2">
      <t>ゴウケイ</t>
    </rPh>
    <phoneticPr fontId="5"/>
  </si>
  <si>
    <t>策定済</t>
    <rPh sb="0" eb="2">
      <t>サクテイ</t>
    </rPh>
    <rPh sb="2" eb="3">
      <t>ズ</t>
    </rPh>
    <phoneticPr fontId="5"/>
  </si>
  <si>
    <t>作成済</t>
    <phoneticPr fontId="5"/>
  </si>
  <si>
    <t>静岡県</t>
    <rPh sb="0" eb="3">
      <t>シズオカケン</t>
    </rPh>
    <phoneticPr fontId="5"/>
  </si>
  <si>
    <t>静岡市</t>
    <rPh sb="0" eb="3">
      <t>シズオカシ</t>
    </rPh>
    <phoneticPr fontId="5"/>
  </si>
  <si>
    <t>正規職員から非常勤職員へ順次切り替えていく。</t>
  </si>
  <si>
    <t>業務上、中山間地域への移動が便利なため配置された。</t>
  </si>
  <si>
    <r>
      <t xml:space="preserve">⑥し尿収集
</t>
    </r>
    <r>
      <rPr>
        <sz val="11"/>
        <color rgb="FFFF0000"/>
        <rFont val="ＭＳ Ｐゴシック"/>
        <family val="3"/>
        <charset val="128"/>
        <scheme val="minor"/>
      </rPr>
      <t>【都道府県は回答不要】</t>
    </r>
    <rPh sb="2" eb="3">
      <t>ニョウ</t>
    </rPh>
    <rPh sb="3" eb="5">
      <t>シュウシュウ</t>
    </rPh>
    <phoneticPr fontId="3"/>
  </si>
  <si>
    <r>
      <t xml:space="preserve">⑦一般ごみ収集
</t>
    </r>
    <r>
      <rPr>
        <sz val="11"/>
        <color rgb="FFFF0000"/>
        <rFont val="ＭＳ Ｐゴシック"/>
        <family val="3"/>
        <charset val="128"/>
        <scheme val="minor"/>
      </rPr>
      <t>【都道府県は回答不要】</t>
    </r>
    <rPh sb="1" eb="3">
      <t>イッパン</t>
    </rPh>
    <rPh sb="5" eb="7">
      <t>シュウシュウ</t>
    </rPh>
    <phoneticPr fontId="3"/>
  </si>
  <si>
    <t>法令・条例違反に対して、即時性をもって行政処分を行う必要があるため</t>
  </si>
  <si>
    <t>動物園管理業務は、専門性・特殊性の高い業務で、知識・技術の着実な継承が必要なため。博物館等の運営にあたっては、長期的な視点と専門的且つ高度な学術的知識、過去からの経験やノウハウが必要なため。</t>
  </si>
  <si>
    <t>調査票①</t>
    <rPh sb="0" eb="3">
      <t>チョウサヒョウ</t>
    </rPh>
    <phoneticPr fontId="5"/>
  </si>
  <si>
    <t>141305</t>
  </si>
  <si>
    <t>341002</t>
  </si>
  <si>
    <t>431001</t>
  </si>
  <si>
    <t>　　</t>
  </si>
  <si>
    <t>市長，副市長等の運転については，当面の間現状を維持する予定。</t>
  </si>
  <si>
    <t>指定管理者の提案により施設の利用率向上等が望まれない施設であったり、PFIを導入し、民間会社が維持管理を行っている施設であるため</t>
  </si>
  <si>
    <t>・墓地に関する許可業務を職員が行わなければならないため
・災害時における危機管理体制の維持。火葬技術・技能の継承を行うため</t>
  </si>
  <si>
    <t>高い公共性、中立性を維持しながら継続的、安定的に運営する必要があるため</t>
  </si>
  <si>
    <t>・市の施策として行政が積極的に施設の設置目的を果たしていく必要があるため
・施設内の業務における専門性を確保し、課題に対し即時に対応できるような体制を整える必要があるため</t>
  </si>
  <si>
    <t>未導入施設である児童遊園は、有料施設ではなく、特殊施設を備えていないことなどから直営としている</t>
  </si>
  <si>
    <t>未定</t>
  </si>
  <si>
    <t>施設管理等の事実行為のみを委ねているため。</t>
  </si>
  <si>
    <t>導入館の運営状況を検証中であるため。</t>
  </si>
  <si>
    <t>仙台市図書館では、住民サービスの向上、経費の節減を目指し市立図書館のうち３館に指定管理制度を導入してきたところ。現在は導入館の運営状況を検証中であり、残り施設への導入は未定。</t>
  </si>
  <si>
    <t>施設の設置趣旨（保健所機能の一部であり、保健所との連携が必要である）から、直営で運営する必要があるため。また、自治体職員が直接実施すべき専門性の高い業務（健康相談・保健指導等）を行っているため。</t>
  </si>
  <si>
    <t>すでにすべての施設において公営住宅法の規定による管理代行を実施しているため</t>
  </si>
  <si>
    <t>将来的な指定管理者導入を検討中である。</t>
  </si>
  <si>
    <t>業務委託による１施設、職員が常駐していない３施設を除く5施設で施設の管理、運営等のため市職員を常駐している。</t>
  </si>
  <si>
    <t>長期的な視点に立った持続的で安定した図書館運営を行うため。</t>
  </si>
  <si>
    <t>少年自然の家は、教育委員会の指導主事の配置により、質の高い自然の教室を実施するため。農業者トレーニングセンターは、附属施設管理の問題があり、今後については検討中である。</t>
  </si>
  <si>
    <t>精神保健及び精神障害者福祉に関する法律により設置している施設や、即時判断・即時対応が要求される施設、市を含めた独自の相談支援システムを整備している施設、医師確保が困難な施設について直営としている。</t>
  </si>
  <si>
    <t>継続的な専門知識の蓄積・研究を行い、教育普及・市民サービス向上を図るため</t>
  </si>
  <si>
    <t>指定管理制度導入館の評価をもとに、地域図書館における効果的で効率的な運営のあり方や、区との連携など地域の状況などを考慮しながら、利用者サービスの充実や利便性の向上にむけて検討中のため。</t>
  </si>
  <si>
    <t>地域図書館における効果的で効率的な運営のあり方や、区との連携など地域の状況などを考慮し、利用者サービスの充実や利便性の向上にむけて適切な手法を検討する必要があると考えている。</t>
  </si>
  <si>
    <t>１施設は、施設の規模・機能、利用状況や維持管理コストを踏まえて今後のあり方を検討しており、運営期間中は暫定的に職員が常駐し直営としている。</t>
  </si>
  <si>
    <t>調査については、原則として直営で実施するが、社会福祉施設等の一部調査対象に関しては、調査実施方法を個々の状況により検討することとしている。</t>
  </si>
  <si>
    <t>指定管理者制度を使うことでコスト増が見込まれ、また民間のノウハウを活かす余地が少ないため。</t>
  </si>
  <si>
    <t>敷地が国有地であり、市の直営での使用以外が認められていないため。</t>
  </si>
  <si>
    <t>漁港区域の維持管理業務も併せて行っているため</t>
  </si>
  <si>
    <t>指定管理者制度を使うことでコスト増が見込まれ、また民間のノウハウを活かす余地が少ないため。
※一部施設については導入を検討中。</t>
  </si>
  <si>
    <t>サービス提供及び施設管理に係る大部分の業務は民間委託を実施しており、受付等の業務を行うため、必要最小限の自治体職員を配置している。</t>
  </si>
  <si>
    <t>直営で運営すべき施設であると考えるため。</t>
  </si>
  <si>
    <t>市立図書館として、図書館記録その他必要な資料を収集、保存し、市民の利用に供し、その教養調査研究、レクリエーション等に資するため、市職員が常駐している。（図書館法第２条）</t>
  </si>
  <si>
    <t>直営で運営すべき施設であると考えるため。
※一部施設については導入を検討中。</t>
  </si>
  <si>
    <t>自治体職員が直接実施すべき特殊性・専門性の高い業務を行っているため。</t>
  </si>
  <si>
    <t>当施設は貸館や窓口業務等の業務を複数課が所管して実施しており、施設の管理運営の効率化及び市民の利便性・サービスの向上のため、市常駐職員による一体的管理が適切だと考える。</t>
  </si>
  <si>
    <t>本市では総務事務を極めて少ない人員で実施しており、その規模を考慮すると委託化によるコスト削減等の効果がほとんど期待できないため、現時点では導入は考えていない。</t>
  </si>
  <si>
    <t>・地元便益施設としての性質上指定管理になじまないため。
・施設の管理・運営方針の決定等，市職員が行うべき業務が存在し，また，既に一部業務につき入札による業務委託を実施しており，競争原理が機能しているため。</t>
  </si>
  <si>
    <t>施設の管理・運営方針の決定等，市職員が行うべき根幹業務が存在するため。</t>
  </si>
  <si>
    <t>研究機能や社会的施設でもある公的責任を果たす必要がある，世界遺産である，資料の収集・保存には専門知識と長年にわたる経験が必要である，学校教育と密接な連携が必要である等高い専門性が求められるなどの理由による。</t>
  </si>
  <si>
    <t>研究機能や社会的施設でもある公的責任を果たす必要がある，世界遺産である，施設の管理・運営方針の決定や当該施設で実施している事業を各学校での教育活動と関連づけて実施する等，市職員が行うべき根幹業務が存在するなどの理由による。</t>
  </si>
  <si>
    <t>地域の環境整備事業の目的，成果を市民へ継承していく等の公的責任を果たしていく必要があるため，また直営部分で施設の管理・運営方針の決定など根幹業務を行いながら，他の専門業務を委託することで，効果的な運営を行っているなどの理由による。</t>
  </si>
  <si>
    <t>地域の環境整備事業の目的，成果を市民へ継承していく等の公的責任を果たすため，また施設の管理・運営方針の決定等，市職員が行うべき根幹業務が存在するためなどの理由による。</t>
  </si>
  <si>
    <t>大規模公園の指定管理導入と併せて検討を行っているため。</t>
  </si>
  <si>
    <t>24区中１区（港区）において設置済み</t>
  </si>
  <si>
    <t>指定管理者制度の導入のメリットがなく、施設運営にあたり契約事務や予算管理事務等、自治体職員が担うべき業務を行っている。</t>
  </si>
  <si>
    <t>市場性がない施設であり、コスト削減については、委託等の手法を採用しているため。</t>
  </si>
  <si>
    <t>施設の特殊性や地域への配慮の観点からみても、現在の管理形態が望ましい。</t>
  </si>
  <si>
    <t>公民館では、学びを通じて地域課題の解決を図り、また市民協働条例改正による地域の多様な団体・個人をつなぐ拠点として、様々な事業を社会教育主事（正規職員）を中心に実施しており、地域支援を行っているため。</t>
  </si>
  <si>
    <t>利用者への対応、施設の維持管理に加え、地域との連携等も必要であるため、市職員を常駐で配置している。</t>
  </si>
  <si>
    <t>業務内容は清掃等の単純作業のみであり、必要性が低いため</t>
  </si>
  <si>
    <t>機能的に民間事業者では運営が困難なため</t>
  </si>
  <si>
    <t>行政文書等の取扱業務や情報公開関係業務、消費生活行政等、自治体の責務で遂行すべき業務であるため。</t>
  </si>
  <si>
    <t>無人駐車場であり、制度を導入する効果が低いため</t>
  </si>
  <si>
    <t>業務内容は清掃等単純業務のみであり、指定管理者制度を導入する必要性が低いため</t>
  </si>
  <si>
    <t>現施設では、経費の削減やサービス向上といった指定管理者制度のメリットが期待できないため</t>
  </si>
  <si>
    <t>図書館行政における市の中核的役割を担っているため</t>
  </si>
  <si>
    <t>図書館行政の中枢を担っており、自治体で責務を遂行すべき業務であるため</t>
  </si>
  <si>
    <t>業務内容を勘案して外部に委ねるべきではないため</t>
  </si>
  <si>
    <t>文化行政の中核を担っており、自治体の責務で遂行すべき業務であるため。</t>
  </si>
  <si>
    <t>地域の主体的な運営が望ましいが、管理運営を安定的に継続できる体制づくり等の条件が整っていないため、民間団体の活用などを含めて指定管理者制度導入の可能性などを検討する</t>
  </si>
  <si>
    <t>生涯学習の中核を担っており、自治体が遂行すべき業務であるため。また使用料等に関して判断を要する業務が多いため。</t>
  </si>
  <si>
    <t>経費の削減やサービス向上といった指定管理者制度のメリットを期待できないため</t>
  </si>
  <si>
    <t>青少年の健全育成に関する適切な指導・助言や、地域交流に関する高い能力が求められる職務であるため</t>
  </si>
  <si>
    <t>業務の内容を勘案して外部に委ねるべきではないため</t>
  </si>
  <si>
    <t>法律上、設置や職員の配置が定められているもので、所管業務の中核を担っているため</t>
  </si>
  <si>
    <t>最適な運営主体を総合的に勘案し、業務内容により自治体職員が主体となるべきものと判断。</t>
  </si>
  <si>
    <t>直営で運営すべき施設であると判断したため。</t>
  </si>
  <si>
    <t>運営体制について比較検討をおこなっているため。</t>
  </si>
  <si>
    <t>直営で運営すべき施設であると判断したため。また、指定管理者制度を使うことでコスト増が見込まれるため。</t>
  </si>
  <si>
    <t>自治体クラウド</t>
    <rPh sb="0" eb="3">
      <t>ジチタイ</t>
    </rPh>
    <phoneticPr fontId="5"/>
  </si>
  <si>
    <r>
      <t xml:space="preserve">自治体職員を常駐で配置している事に対する考え方
</t>
    </r>
    <r>
      <rPr>
        <sz val="11"/>
        <color rgb="FFFF0000"/>
        <rFont val="ＭＳ Ｐゴシック"/>
        <family val="3"/>
        <charset val="128"/>
        <scheme val="minor"/>
      </rPr>
      <t>【自治体職員を常駐で配置している団体のみ回答】
※130文字以内</t>
    </r>
    <rPh sb="0" eb="3">
      <t>ジチタイ</t>
    </rPh>
    <rPh sb="3" eb="5">
      <t>ショクイン</t>
    </rPh>
    <rPh sb="54" eb="56">
      <t>モジ</t>
    </rPh>
    <rPh sb="56" eb="58">
      <t>イナイ</t>
    </rPh>
    <phoneticPr fontId="5"/>
  </si>
  <si>
    <r>
      <t xml:space="preserve">｢実施予定無し｣及び｢首長部局未設置団体｣は「未実施の理由」を、
｢実施予定あり｣の団体は｢実施予定時期｣を記述してください。
</t>
    </r>
    <r>
      <rPr>
        <sz val="11"/>
        <color rgb="FFFF0000"/>
        <rFont val="ＭＳ Ｐゴシック"/>
        <family val="3"/>
        <charset val="128"/>
        <scheme val="minor"/>
      </rPr>
      <t>※500文字以内
※人口が5万人未満の団体は回答不要</t>
    </r>
    <rPh sb="1" eb="3">
      <t>ジッシ</t>
    </rPh>
    <rPh sb="24" eb="26">
      <t>ジッシ</t>
    </rPh>
    <rPh sb="34" eb="36">
      <t>ジッシ</t>
    </rPh>
    <rPh sb="46" eb="48">
      <t>ジッシ</t>
    </rPh>
    <rPh sb="69" eb="71">
      <t>モジ</t>
    </rPh>
    <rPh sb="71" eb="73">
      <t>イナイ</t>
    </rPh>
    <phoneticPr fontId="5"/>
  </si>
  <si>
    <t>281000</t>
    <phoneticPr fontId="5"/>
  </si>
  <si>
    <t>011002</t>
    <phoneticPr fontId="5"/>
  </si>
  <si>
    <t>全国（指定都市）
導入率</t>
    <rPh sb="0" eb="2">
      <t>ゼンコク</t>
    </rPh>
    <rPh sb="3" eb="5">
      <t>シテイ</t>
    </rPh>
    <rPh sb="5" eb="7">
      <t>トシ</t>
    </rPh>
    <rPh sb="9" eb="12">
      <t>ドウニュウリツ</t>
    </rPh>
    <phoneticPr fontId="5"/>
  </si>
  <si>
    <t>⑱文化会館</t>
    <phoneticPr fontId="5"/>
  </si>
  <si>
    <t>総合窓口の
設置予定時期</t>
    <phoneticPr fontId="5"/>
  </si>
  <si>
    <t>③案内・受付</t>
    <phoneticPr fontId="5"/>
  </si>
  <si>
    <t>④海水浴場</t>
    <phoneticPr fontId="5"/>
  </si>
  <si>
    <t/>
  </si>
  <si>
    <t>111007</t>
    <phoneticPr fontId="5"/>
  </si>
  <si>
    <t>同一の施設内に計量法上の業務を行う「計量検査所」が併設されており、施設管理について「計量検査所」を含み一体的に行っているため。</t>
    <rPh sb="0" eb="2">
      <t>ドウイツ</t>
    </rPh>
    <rPh sb="3" eb="5">
      <t>シセツ</t>
    </rPh>
    <rPh sb="5" eb="6">
      <t>ナイ</t>
    </rPh>
    <rPh sb="7" eb="9">
      <t>ケイリョウ</t>
    </rPh>
    <rPh sb="9" eb="10">
      <t>ホウ</t>
    </rPh>
    <rPh sb="10" eb="11">
      <t>ジョウ</t>
    </rPh>
    <rPh sb="12" eb="14">
      <t>ギョウム</t>
    </rPh>
    <rPh sb="15" eb="16">
      <t>オコナ</t>
    </rPh>
    <rPh sb="33" eb="35">
      <t>シセツ</t>
    </rPh>
    <rPh sb="35" eb="37">
      <t>カンリ</t>
    </rPh>
    <rPh sb="49" eb="50">
      <t>フク</t>
    </rPh>
    <rPh sb="51" eb="53">
      <t>イッタイ</t>
    </rPh>
    <rPh sb="53" eb="54">
      <t>テキ</t>
    </rPh>
    <rPh sb="55" eb="56">
      <t>オコナ</t>
    </rPh>
    <phoneticPr fontId="5"/>
  </si>
  <si>
    <t>同一の施設内にある「計量検査所」に常駐する職員がおり、産業情報提供施設の運営についても兼務にて対応している。現状においては、施設の運営に際して常駐する職員が必要である。</t>
    <rPh sb="10" eb="12">
      <t>ケイリョウ</t>
    </rPh>
    <rPh sb="12" eb="14">
      <t>ケンサ</t>
    </rPh>
    <rPh sb="14" eb="15">
      <t>ジョ</t>
    </rPh>
    <rPh sb="17" eb="19">
      <t>ジョウチュウ</t>
    </rPh>
    <rPh sb="21" eb="23">
      <t>ショクイン</t>
    </rPh>
    <rPh sb="27" eb="29">
      <t>サンギョウ</t>
    </rPh>
    <rPh sb="29" eb="31">
      <t>ジョウホウ</t>
    </rPh>
    <rPh sb="31" eb="33">
      <t>テイキョウ</t>
    </rPh>
    <rPh sb="33" eb="35">
      <t>シセツ</t>
    </rPh>
    <rPh sb="36" eb="38">
      <t>ウンエイ</t>
    </rPh>
    <rPh sb="43" eb="45">
      <t>ケンム</t>
    </rPh>
    <rPh sb="47" eb="49">
      <t>タイオウ</t>
    </rPh>
    <rPh sb="54" eb="56">
      <t>ゲンジョウ</t>
    </rPh>
    <rPh sb="62" eb="64">
      <t>シセツ</t>
    </rPh>
    <rPh sb="65" eb="67">
      <t>ウンエイ</t>
    </rPh>
    <rPh sb="68" eb="69">
      <t>サイ</t>
    </rPh>
    <rPh sb="71" eb="73">
      <t>ジョウチュウ</t>
    </rPh>
    <rPh sb="75" eb="77">
      <t>ショクイン</t>
    </rPh>
    <rPh sb="78" eb="80">
      <t>ヒツヨウ</t>
    </rPh>
    <phoneticPr fontId="5"/>
  </si>
  <si>
    <t>121002</t>
    <phoneticPr fontId="5"/>
  </si>
  <si>
    <t>庁舎の一部に当該施設があり、庁舎と当該施設を一体管理しているため</t>
    <rPh sb="0" eb="2">
      <t>チョウシャ</t>
    </rPh>
    <rPh sb="3" eb="5">
      <t>イチブ</t>
    </rPh>
    <rPh sb="6" eb="8">
      <t>トウガイ</t>
    </rPh>
    <rPh sb="8" eb="10">
      <t>シセツ</t>
    </rPh>
    <rPh sb="14" eb="16">
      <t>チョウシャ</t>
    </rPh>
    <rPh sb="17" eb="19">
      <t>トウガイ</t>
    </rPh>
    <rPh sb="19" eb="21">
      <t>シセツ</t>
    </rPh>
    <rPh sb="22" eb="24">
      <t>イッタイ</t>
    </rPh>
    <rPh sb="24" eb="26">
      <t>カンリ</t>
    </rPh>
    <phoneticPr fontId="5"/>
  </si>
  <si>
    <t>市内の同類施設の指定管理者制度導入・運用状況を勘案し、あり方検討中</t>
  </si>
  <si>
    <t>141003</t>
    <phoneticPr fontId="5"/>
  </si>
  <si>
    <t>141500</t>
    <phoneticPr fontId="5"/>
  </si>
  <si>
    <t>151009</t>
    <phoneticPr fontId="5"/>
  </si>
  <si>
    <t>-</t>
  </si>
  <si>
    <t>・施設規模が小さく，応募が見込めないため。
・導入済み施設の再選定の際には，複数施設の一体化を検討することとしている。</t>
    <rPh sb="23" eb="25">
      <t>ドウニュウ</t>
    </rPh>
    <rPh sb="25" eb="26">
      <t>ズ</t>
    </rPh>
    <rPh sb="27" eb="29">
      <t>シセツ</t>
    </rPh>
    <rPh sb="30" eb="33">
      <t>サイセンテイ</t>
    </rPh>
    <rPh sb="34" eb="35">
      <t>サイ</t>
    </rPh>
    <rPh sb="38" eb="40">
      <t>フクスウ</t>
    </rPh>
    <rPh sb="40" eb="42">
      <t>シセツ</t>
    </rPh>
    <rPh sb="43" eb="46">
      <t>イッタイカ</t>
    </rPh>
    <rPh sb="47" eb="49">
      <t>ケントウ</t>
    </rPh>
    <phoneticPr fontId="5"/>
  </si>
  <si>
    <t>・小規模の駐車場で指定管理料が少額になり，応募が見込めないため。
・パークアンドライドなど市の施策と密接に関連する部分もあるため。</t>
    <rPh sb="57" eb="59">
      <t>ブブン</t>
    </rPh>
    <phoneticPr fontId="5"/>
  </si>
  <si>
    <t>・施設の老朽化が進み，指定管理者の応募が見込めない状況ではあるが，指定管理者の導入について検討に着手する予定。（斎場）
・小規模で指定管理者の応募が見込めないため。（霊園）</t>
    <rPh sb="1" eb="3">
      <t>シセツ</t>
    </rPh>
    <rPh sb="4" eb="7">
      <t>ロウキュウカ</t>
    </rPh>
    <rPh sb="8" eb="9">
      <t>スス</t>
    </rPh>
    <rPh sb="25" eb="27">
      <t>ジョウキョウ</t>
    </rPh>
    <rPh sb="33" eb="35">
      <t>シテイ</t>
    </rPh>
    <rPh sb="35" eb="38">
      <t>カンリシャ</t>
    </rPh>
    <rPh sb="39" eb="41">
      <t>ドウニュウ</t>
    </rPh>
    <rPh sb="45" eb="47">
      <t>ケントウ</t>
    </rPh>
    <rPh sb="48" eb="50">
      <t>チャクシュ</t>
    </rPh>
    <rPh sb="52" eb="54">
      <t>ヨテイ</t>
    </rPh>
    <rPh sb="56" eb="58">
      <t>サイジョウ</t>
    </rPh>
    <rPh sb="83" eb="85">
      <t>レイエン</t>
    </rPh>
    <phoneticPr fontId="5"/>
  </si>
  <si>
    <t>・施設の更新時期も踏まえて，指定管理者の導入について検討に着手する予定。</t>
    <rPh sb="9" eb="10">
      <t>フ</t>
    </rPh>
    <rPh sb="14" eb="16">
      <t>シテイ</t>
    </rPh>
    <rPh sb="16" eb="19">
      <t>カンリシャ</t>
    </rPh>
    <rPh sb="20" eb="22">
      <t>ドウニュウ</t>
    </rPh>
    <rPh sb="26" eb="28">
      <t>ケントウ</t>
    </rPh>
    <rPh sb="29" eb="31">
      <t>チャクシュ</t>
    </rPh>
    <rPh sb="33" eb="35">
      <t>ヨテイ</t>
    </rPh>
    <phoneticPr fontId="5"/>
  </si>
  <si>
    <t>・今後は指定管理者制度の導入も含めて，民間活力の導入について検討に着手する予定。</t>
    <rPh sb="33" eb="35">
      <t>チャクシュ</t>
    </rPh>
    <rPh sb="37" eb="39">
      <t>ヨテイ</t>
    </rPh>
    <phoneticPr fontId="5"/>
  </si>
  <si>
    <t>・今後も引き続き指定管理者制度の導入を検討していく予定。</t>
    <rPh sb="25" eb="27">
      <t>ヨテイ</t>
    </rPh>
    <phoneticPr fontId="5"/>
  </si>
  <si>
    <t>・社会教育という目的から市が直営で運営しているが，指定管理者制度の導入も含めて，民間活力の導入について検討に着手する予定。</t>
    <rPh sb="36" eb="37">
      <t>フク</t>
    </rPh>
    <rPh sb="40" eb="42">
      <t>ミンカン</t>
    </rPh>
    <rPh sb="42" eb="44">
      <t>カツリョク</t>
    </rPh>
    <rPh sb="45" eb="47">
      <t>ドウニュウ</t>
    </rPh>
    <rPh sb="54" eb="56">
      <t>チャクシュ</t>
    </rPh>
    <rPh sb="58" eb="60">
      <t>ヨテイ</t>
    </rPh>
    <phoneticPr fontId="5"/>
  </si>
  <si>
    <t>・直営施設との複合施設であり，今のところ直営による管理運営が効率的であると判断しているため。</t>
    <rPh sb="1" eb="3">
      <t>チョクエイ</t>
    </rPh>
    <rPh sb="3" eb="5">
      <t>シセツ</t>
    </rPh>
    <rPh sb="7" eb="9">
      <t>フクゴウ</t>
    </rPh>
    <rPh sb="9" eb="11">
      <t>シセツ</t>
    </rPh>
    <rPh sb="20" eb="22">
      <t>チョクエイ</t>
    </rPh>
    <rPh sb="37" eb="39">
      <t>ハンダン</t>
    </rPh>
    <phoneticPr fontId="5"/>
  </si>
  <si>
    <t>・市の機関を施設内におく複合施設については，指定管理者制度の導入効果が少ないため，直営で管理しているが，今後も引き続き指定管理者制度の導入を検討していく予定。</t>
    <rPh sb="76" eb="78">
      <t>ヨテイ</t>
    </rPh>
    <phoneticPr fontId="5"/>
  </si>
  <si>
    <t>・施設規模が小さく，応募が見込めないため。</t>
    <rPh sb="1" eb="3">
      <t>シセツ</t>
    </rPh>
    <rPh sb="3" eb="5">
      <t>キボ</t>
    </rPh>
    <rPh sb="6" eb="7">
      <t>チイ</t>
    </rPh>
    <rPh sb="10" eb="12">
      <t>オウボ</t>
    </rPh>
    <rPh sb="13" eb="15">
      <t>ミコ</t>
    </rPh>
    <phoneticPr fontId="5"/>
  </si>
  <si>
    <t>・直営施設との複合であり，今のところ直営による管理運営が効率的であると判断しているため。</t>
    <rPh sb="18" eb="20">
      <t>チョクエイ</t>
    </rPh>
    <phoneticPr fontId="5"/>
  </si>
  <si>
    <t>271403</t>
    <phoneticPr fontId="5"/>
  </si>
  <si>
    <t>長い年月をかけ、施設管理に必要な指導員を多数養成しており、マリンスポーツを通した青少年の健全育成を地域一体となり推進してきており、その活動を継続するため配置している。</t>
    <rPh sb="0" eb="1">
      <t>ナガ</t>
    </rPh>
    <rPh sb="2" eb="4">
      <t>ネンゲツ</t>
    </rPh>
    <rPh sb="8" eb="10">
      <t>シセツ</t>
    </rPh>
    <rPh sb="10" eb="12">
      <t>カンリ</t>
    </rPh>
    <rPh sb="13" eb="15">
      <t>ヒツヨウ</t>
    </rPh>
    <rPh sb="16" eb="19">
      <t>シドウイン</t>
    </rPh>
    <rPh sb="20" eb="22">
      <t>タスウ</t>
    </rPh>
    <rPh sb="22" eb="24">
      <t>ヨウセイ</t>
    </rPh>
    <rPh sb="37" eb="38">
      <t>トオ</t>
    </rPh>
    <rPh sb="40" eb="43">
      <t>セイショウネン</t>
    </rPh>
    <rPh sb="44" eb="46">
      <t>ケンゼン</t>
    </rPh>
    <rPh sb="46" eb="48">
      <t>イクセイ</t>
    </rPh>
    <rPh sb="49" eb="51">
      <t>チイキ</t>
    </rPh>
    <rPh sb="51" eb="53">
      <t>イッタイ</t>
    </rPh>
    <rPh sb="56" eb="58">
      <t>スイシン</t>
    </rPh>
    <rPh sb="67" eb="69">
      <t>カツドウ</t>
    </rPh>
    <rPh sb="70" eb="72">
      <t>ケイゾク</t>
    </rPh>
    <rPh sb="76" eb="78">
      <t>ハイチ</t>
    </rPh>
    <phoneticPr fontId="5"/>
  </si>
  <si>
    <t>（２）指定管理者制度等の導入状況</t>
    <rPh sb="3" eb="5">
      <t>シテイ</t>
    </rPh>
    <rPh sb="5" eb="8">
      <t>カンリシャ</t>
    </rPh>
    <rPh sb="8" eb="10">
      <t>セイド</t>
    </rPh>
    <rPh sb="10" eb="11">
      <t>トウ</t>
    </rPh>
    <rPh sb="12" eb="14">
      <t>ドウニュウ</t>
    </rPh>
    <rPh sb="14" eb="16">
      <t>ジョウキョウ</t>
    </rPh>
    <phoneticPr fontId="5"/>
  </si>
  <si>
    <t>②本庁舎の夜間警備</t>
    <phoneticPr fontId="5"/>
  </si>
  <si>
    <t>⑨学校給食(運搬)</t>
    <phoneticPr fontId="5"/>
  </si>
  <si>
    <t>③プール</t>
    <phoneticPr fontId="5"/>
  </si>
  <si>
    <t>⑧産業情報提供施設</t>
    <phoneticPr fontId="5"/>
  </si>
  <si>
    <t>⑨展示場施設、見本市施設</t>
    <phoneticPr fontId="5"/>
  </si>
  <si>
    <t>⑩開放型研究施設等</t>
    <phoneticPr fontId="5"/>
  </si>
  <si>
    <t>⑬駐車場</t>
    <phoneticPr fontId="5"/>
  </si>
  <si>
    <t>⑳特別養護老人ホーム</t>
    <phoneticPr fontId="5"/>
  </si>
  <si>
    <t>㉑介護支援センター</t>
    <phoneticPr fontId="5"/>
  </si>
  <si>
    <t>㉒福祉・保健センター</t>
    <phoneticPr fontId="5"/>
  </si>
  <si>
    <r>
      <t xml:space="preserve">窓口業務の
民間委託状況
</t>
    </r>
    <r>
      <rPr>
        <b/>
        <sz val="11"/>
        <color rgb="FFFF0000"/>
        <rFont val="ＭＳ Ｐゴシック"/>
        <family val="3"/>
        <charset val="128"/>
        <scheme val="minor"/>
      </rPr>
      <t>※「委託有」又は「委託予定」を選択した団体は、調査票⑤にも記入してください</t>
    </r>
    <rPh sb="0" eb="2">
      <t>マドグチ</t>
    </rPh>
    <rPh sb="2" eb="4">
      <t>ギョウム</t>
    </rPh>
    <rPh sb="16" eb="18">
      <t>イタク</t>
    </rPh>
    <rPh sb="18" eb="19">
      <t>ア</t>
    </rPh>
    <rPh sb="20" eb="21">
      <t>マタ</t>
    </rPh>
    <rPh sb="23" eb="25">
      <t>イタク</t>
    </rPh>
    <rPh sb="25" eb="27">
      <t>ヨテイ</t>
    </rPh>
    <rPh sb="29" eb="31">
      <t>センタク</t>
    </rPh>
    <rPh sb="33" eb="35">
      <t>ダンタイ</t>
    </rPh>
    <rPh sb="37" eb="40">
      <t>チョウサヒョウ</t>
    </rPh>
    <rPh sb="43" eb="45">
      <t>キニュウ</t>
    </rPh>
    <phoneticPr fontId="5"/>
  </si>
  <si>
    <r>
      <t xml:space="preserve">業務改革効果を把握していますか
</t>
    </r>
    <r>
      <rPr>
        <b/>
        <sz val="11"/>
        <color rgb="FFFF0000"/>
        <rFont val="ＭＳ Ｐゴシック"/>
        <family val="3"/>
        <charset val="128"/>
        <scheme val="minor"/>
      </rPr>
      <t>※「○」を選択した団体は、調査票⑥にも記入してください。</t>
    </r>
    <rPh sb="22" eb="24">
      <t>センタク</t>
    </rPh>
    <rPh sb="26" eb="28">
      <t>ダンタイ</t>
    </rPh>
    <rPh sb="30" eb="33">
      <t>チョウサヒョウ</t>
    </rPh>
    <rPh sb="36" eb="38">
      <t>キニュウ</t>
    </rPh>
    <phoneticPr fontId="5"/>
  </si>
  <si>
    <t>民間委託状況</t>
    <rPh sb="0" eb="2">
      <t>ミンカン</t>
    </rPh>
    <rPh sb="2" eb="4">
      <t>イタク</t>
    </rPh>
    <rPh sb="4" eb="6">
      <t>ジョウキョウ</t>
    </rPh>
    <phoneticPr fontId="5"/>
  </si>
  <si>
    <r>
      <t xml:space="preserve">今後の対応方針
（｢直営｣かつ｢専任有｣を選択団体のみ回答）
</t>
    </r>
    <r>
      <rPr>
        <sz val="11"/>
        <color rgb="FFFF0000"/>
        <rFont val="ＭＳ Ｐゴシック"/>
        <family val="3"/>
        <charset val="128"/>
        <scheme val="minor"/>
      </rPr>
      <t>※130文字以内</t>
    </r>
    <rPh sb="0" eb="2">
      <t>コンゴ</t>
    </rPh>
    <rPh sb="3" eb="5">
      <t>タイオウ</t>
    </rPh>
    <rPh sb="5" eb="7">
      <t>ホウシン</t>
    </rPh>
    <rPh sb="36" eb="38">
      <t>モジ</t>
    </rPh>
    <rPh sb="38" eb="40">
      <t>イナイ</t>
    </rPh>
    <phoneticPr fontId="5"/>
  </si>
  <si>
    <t>｢直営｣かつ｢専任有｣団体</t>
    <phoneticPr fontId="5"/>
  </si>
  <si>
    <t>指定管理者導入済み件数</t>
    <rPh sb="0" eb="2">
      <t>シテイ</t>
    </rPh>
    <rPh sb="2" eb="5">
      <t>カンリシャ</t>
    </rPh>
    <rPh sb="5" eb="7">
      <t>ドウニュウ</t>
    </rPh>
    <rPh sb="7" eb="8">
      <t>ズ</t>
    </rPh>
    <rPh sb="9" eb="11">
      <t>ケンスウ</t>
    </rPh>
    <phoneticPr fontId="5"/>
  </si>
  <si>
    <r>
      <t xml:space="preserve">前年度以降、
導入が進んでいない理由
</t>
    </r>
    <r>
      <rPr>
        <sz val="11"/>
        <color rgb="FFFF0000"/>
        <rFont val="ＭＳ Ｐゴシック"/>
        <family val="3"/>
        <charset val="128"/>
        <scheme val="minor"/>
      </rPr>
      <t>※130文字以内</t>
    </r>
    <rPh sb="0" eb="3">
      <t>ゼンネンド</t>
    </rPh>
    <rPh sb="3" eb="5">
      <t>イコウ</t>
    </rPh>
    <rPh sb="7" eb="9">
      <t>ドウニュウ</t>
    </rPh>
    <rPh sb="10" eb="11">
      <t>スス</t>
    </rPh>
    <rPh sb="16" eb="18">
      <t>リユウ</t>
    </rPh>
    <rPh sb="24" eb="26">
      <t>モジ</t>
    </rPh>
    <rPh sb="26" eb="28">
      <t>イナイ</t>
    </rPh>
    <phoneticPr fontId="5"/>
  </si>
  <si>
    <t>231002</t>
    <phoneticPr fontId="5"/>
  </si>
  <si>
    <t>261009</t>
    <phoneticPr fontId="5"/>
  </si>
  <si>
    <t>401005</t>
    <phoneticPr fontId="5"/>
  </si>
  <si>
    <t>401307</t>
    <phoneticPr fontId="5"/>
  </si>
  <si>
    <t>引き続き、直営対応を行う。</t>
  </si>
  <si>
    <t>学校現場のニーズに迅速かつ柔軟に対応するため、正規職員と非常勤職員による直営とする。</t>
  </si>
  <si>
    <t>本市の水道は県営水道であり、一部の区域の市営簡易水道は検針数が少ないため、直営とする。</t>
  </si>
  <si>
    <t>災害時に即応できるよう、直営体制を維持する方針。</t>
  </si>
  <si>
    <t>直営施設の規模・機能、利用状況や維持管理コスト等を踏まえ、庁内方針に基づき検討した結果、引き続き指定管理者制度を導入する効果が認められないと判断したため。</t>
  </si>
  <si>
    <t>当該施設において，市職員が行う業務があるため</t>
  </si>
  <si>
    <t>危機管理への対応や、指定管理者や市民ボランティアとの連携の拠点として、一部の公園は直営を維持する方針であるため。また、一部施設は、競技人口が限られ、利用者の大半が高齢者で応益負担を求めるのが困難であるため。</t>
  </si>
  <si>
    <t>職員が指定管理施設に「管理局長」として常駐。「ガバナンスの確保」や「支援・連携」などを目的として職員を配置することで、市の政策に沿った業務の執行や財務の健全性確保を図ることが可能となると考えている。</t>
  </si>
  <si>
    <t>１施設は、夏季限定の運営であり、施設の規模・機能、利用状況や維持管理コストを踏まえて検討した結果、指定管理者制度の導入効果が認められないと判断したため。</t>
  </si>
  <si>
    <t>無料公園については、業務内容が清掃等の単純作業のみであり、指定管理者制度を導入する必然性が低いため</t>
  </si>
  <si>
    <t>　公営住宅については，一定の権限が包括的に付与され効率的かつ迅速に管理できる管理代行制度（公営住宅法第４７条）を採用し，京都市住宅供給公社に業務委託している。改良住宅については，市営住宅として公営住宅と一体的に管理するため，同公社に委託している。</t>
  </si>
  <si>
    <t>【大規模霊園】 指定管理者を導入するためには、施設のインフラ整備をさらに進める必要があるため。　【斎場】　民間への業務委託による運営を行っており、指定管理者導入による経費削減効果が少ないため。</t>
  </si>
  <si>
    <t>施設インフラ整備への対応や民間への委託業務の管理運営、使用料や手数料等の徴収、個人情報の取扱事務等を多く行う施設に自治体職員を配置する必要があると考えている。</t>
  </si>
  <si>
    <t>現状、老朽化施設の改修、戦災復興事業として市内から移設した寺院墓地区域の整備・調整・改修等の業務については、自治体職員が直接実施すべきであるため。</t>
  </si>
  <si>
    <t>各施設とも開設から年数を経過しており、設備の老朽化が進んでいるため、指定管理者制度導入に向けて、現在計画的な施設整備を行っているほか、火葬炉の入替を含めた斎場の再整備を行う必要があるため。</t>
  </si>
  <si>
    <t>墓園・斎場の効率的・効果的な運営を図るため、墓園については業務委託の拡大など、斎場については火葬炉が古く経験豊富な直営職員でなければ対応できないため、今後再整備を含めた火葬業務のあり方などを検討していく。</t>
  </si>
  <si>
    <t>窓口業務は既に民間専門事業者に委託し、一定の効果を上げている。市職員が運営状況を把握し総合的な運営管理を行い、図書館再整備計画等の政策立案を中長期的に進める必要があるため、直営としている。</t>
  </si>
  <si>
    <t>３館で窓口業務等を民間委託しているが、施設管理や対外的な調整、庶務財務等は市職員が担当している。現場の運営状況の把握や個人情報保護、危機管理等の面からも、市職員の常駐が望ましい。</t>
  </si>
  <si>
    <t>・現状では，指定管理者よりも窓口業務の民間委託の方向で検討しているため。</t>
  </si>
  <si>
    <t>公立図書館としての安定性、継続性を確保するため。なお、定型業務の委託化等により、管理運営経費の縮減に努めている。</t>
  </si>
  <si>
    <t>基幹的サービスであるレファレンスをはじめ、地域資料収集、学校支援等を安定的、継続的に実施するために、自治体職員の配置が必要である。</t>
  </si>
  <si>
    <t>・施設運営のあり方について引き続き検討中（郷土博物館）
・新たな施設を整備する方針であり、今後、運営方法の検討し、施設整備の基本計画を策定するため（加曽利貝塚博物館）</t>
  </si>
  <si>
    <t>・指定管理者制度の導入を検討しているものの，まだ導入には至っていないため。</t>
  </si>
  <si>
    <t>市民会館と市民文化ホールの建替え・合築について期限を定めて計画中であり、それまでは直営で管理することが適当と判断しており、正規職員を配置している。</t>
    <rPh sb="61" eb="63">
      <t>セイキ</t>
    </rPh>
    <phoneticPr fontId="5"/>
  </si>
  <si>
    <t>１施設は、直営としている公民館との複合施設であるため、職員が常駐し直営としている。</t>
  </si>
  <si>
    <t>・知的障がい児，障がい者の通所施設であり，現状では民間委託に向かないと判断しているため。</t>
  </si>
  <si>
    <t>・専門性が高い施設であるため。</t>
  </si>
  <si>
    <t>自治体職員が直接実施すべき特殊性・専門性の高い業務を行っているため。
指定管理者制度の導入を検討しつつ、事業の安定が図れるまで、行政職員を配置し、行政がイニシアティブをとるため。</t>
  </si>
  <si>
    <t>市民会館と市民文化ホールの建替え・合築について期限を定めて計画中であり、それまでは直営で管理することが適当と判断しており、正規職員を配置している。</t>
  </si>
  <si>
    <r>
      <t xml:space="preserve">⑰公民館、市民会館
</t>
    </r>
    <r>
      <rPr>
        <sz val="11"/>
        <color rgb="FFFF0000"/>
        <rFont val="ＭＳ Ｐゴシック"/>
        <family val="3"/>
        <charset val="128"/>
        <scheme val="minor"/>
      </rPr>
      <t>【都道府県は回答不要】</t>
    </r>
    <rPh sb="1" eb="4">
      <t>コウミンカン</t>
    </rPh>
    <phoneticPr fontId="5"/>
  </si>
  <si>
    <t>作成中</t>
    <rPh sb="0" eb="2">
      <t>サクセイ</t>
    </rPh>
    <rPh sb="2" eb="3">
      <t>チュウ</t>
    </rPh>
    <phoneticPr fontId="5"/>
  </si>
  <si>
    <r>
      <t>作成</t>
    </r>
    <r>
      <rPr>
        <sz val="16"/>
        <rFont val="ＭＳ Ｐゴシック"/>
        <family val="3"/>
        <charset val="128"/>
        <scheme val="minor"/>
      </rPr>
      <t>完了予定時期</t>
    </r>
    <rPh sb="0" eb="2">
      <t>サクセイ</t>
    </rPh>
    <rPh sb="2" eb="4">
      <t>カンリョウ</t>
    </rPh>
    <rPh sb="6" eb="8">
      <t>ジキ</t>
    </rPh>
    <phoneticPr fontId="5"/>
  </si>
  <si>
    <t>作成中</t>
    <rPh sb="0" eb="2">
      <t>サクセイ</t>
    </rPh>
    <rPh sb="2" eb="3">
      <t>ナカ</t>
    </rPh>
    <phoneticPr fontId="5"/>
  </si>
  <si>
    <t>作成完了予定時期</t>
    <rPh sb="0" eb="2">
      <t>サクセイ</t>
    </rPh>
    <rPh sb="2" eb="4">
      <t>カンリョウ</t>
    </rPh>
    <rPh sb="4" eb="6">
      <t>ヨテイ</t>
    </rPh>
    <rPh sb="6" eb="8">
      <t>ジキ</t>
    </rPh>
    <phoneticPr fontId="5"/>
  </si>
  <si>
    <t>指定管理者制度の導入については、有料施設や特殊施設を備えた公園、市民利用が多い公園を対象としており、これらの条件を満たしていない公園については、業務委託により管理を行っている。</t>
  </si>
  <si>
    <t>すでに管理を民間に委託しており、市は委託できない部分のみ業務を行っていることから、現状においても効率的な経営が確保されていると判断されるため。</t>
    <rPh sb="3" eb="5">
      <t>カンリ</t>
    </rPh>
    <rPh sb="16" eb="17">
      <t>シ</t>
    </rPh>
    <rPh sb="24" eb="26">
      <t>ブブン</t>
    </rPh>
    <rPh sb="28" eb="30">
      <t>ギョウム</t>
    </rPh>
    <rPh sb="41" eb="43">
      <t>ゲンジョウ</t>
    </rPh>
    <phoneticPr fontId="5"/>
  </si>
  <si>
    <t>会計年度任用職員等を活用し、人員配置の見直しを実施したところである。</t>
    <rPh sb="0" eb="2">
      <t>カイケイ</t>
    </rPh>
    <rPh sb="2" eb="4">
      <t>ネンド</t>
    </rPh>
    <rPh sb="4" eb="6">
      <t>ニンヨウ</t>
    </rPh>
    <rPh sb="6" eb="8">
      <t>ショクイン</t>
    </rPh>
    <rPh sb="8" eb="9">
      <t>トウ</t>
    </rPh>
    <rPh sb="10" eb="12">
      <t>カツヨウ</t>
    </rPh>
    <rPh sb="14" eb="16">
      <t>ジンイン</t>
    </rPh>
    <rPh sb="16" eb="18">
      <t>ハイチ</t>
    </rPh>
    <rPh sb="19" eb="21">
      <t>ミナオ</t>
    </rPh>
    <rPh sb="23" eb="25">
      <t>ジッシ</t>
    </rPh>
    <phoneticPr fontId="5"/>
  </si>
  <si>
    <t>（博物館）文化財を継承しつつ、開催までに数年を要する大規模特別展を実現し、かつ市民のレファレンスに的確に対応できる学芸員を養成するため。（科学館）一部業務に導入を検討している。</t>
    <rPh sb="1" eb="4">
      <t>ハクブツカン</t>
    </rPh>
    <rPh sb="5" eb="8">
      <t>ブンカザイ</t>
    </rPh>
    <rPh sb="69" eb="72">
      <t>カガクカン</t>
    </rPh>
    <rPh sb="73" eb="75">
      <t>イチブ</t>
    </rPh>
    <rPh sb="81" eb="83">
      <t>ケントウ</t>
    </rPh>
    <phoneticPr fontId="5"/>
  </si>
  <si>
    <t>（博物館）文化財を継承しつつ、開催までに数年を要する大規模展を実現し、かつ市民のレファレンスに的確に対応できる学芸員を養成するため。（科学館）学校教育の支援に関する業務の質を確保するため指導主事を配置している。</t>
    <rPh sb="15" eb="17">
      <t>カイサイ</t>
    </rPh>
    <rPh sb="20" eb="22">
      <t>スウネン</t>
    </rPh>
    <rPh sb="23" eb="24">
      <t>ヨウ</t>
    </rPh>
    <rPh sb="26" eb="29">
      <t>ダイキボ</t>
    </rPh>
    <rPh sb="29" eb="30">
      <t>テン</t>
    </rPh>
    <rPh sb="31" eb="33">
      <t>ジツゲン</t>
    </rPh>
    <phoneticPr fontId="5"/>
  </si>
  <si>
    <t>防火・防災意識の高揚を図るための施設であることから、防火・防災について熟知している職員が直営運営することが望ましいため。</t>
    <phoneticPr fontId="5"/>
  </si>
  <si>
    <t>防火・防災について熟知している職員が、施設案内時に経験談を交えて案内を行い、防火・防災意識の高揚に繋げるため、直営運営することが望ましい。</t>
    <phoneticPr fontId="5"/>
  </si>
  <si>
    <t>令和元年5月7日から指定管理者制度を導入した大宮図書館の運営状況を的確に把握し、長期的な効果を検証していかなければならないため。</t>
    <rPh sb="0" eb="1">
      <t>レイ</t>
    </rPh>
    <rPh sb="1" eb="2">
      <t>ワ</t>
    </rPh>
    <rPh sb="2" eb="4">
      <t>ガンネン</t>
    </rPh>
    <rPh sb="5" eb="6">
      <t>ガツ</t>
    </rPh>
    <rPh sb="7" eb="8">
      <t>カ</t>
    </rPh>
    <rPh sb="10" eb="12">
      <t>シテイ</t>
    </rPh>
    <rPh sb="12" eb="15">
      <t>カンリシャ</t>
    </rPh>
    <rPh sb="15" eb="17">
      <t>セイド</t>
    </rPh>
    <rPh sb="18" eb="20">
      <t>ドウニュウ</t>
    </rPh>
    <rPh sb="22" eb="24">
      <t>オオミヤ</t>
    </rPh>
    <rPh sb="24" eb="27">
      <t>トショカン</t>
    </rPh>
    <rPh sb="28" eb="30">
      <t>ウンエイ</t>
    </rPh>
    <rPh sb="30" eb="32">
      <t>ジョウキョウ</t>
    </rPh>
    <rPh sb="33" eb="35">
      <t>テキカク</t>
    </rPh>
    <rPh sb="36" eb="38">
      <t>ハアク</t>
    </rPh>
    <rPh sb="40" eb="43">
      <t>チョウキテキ</t>
    </rPh>
    <rPh sb="44" eb="46">
      <t>コウカ</t>
    </rPh>
    <rPh sb="47" eb="49">
      <t>ケンショウ</t>
    </rPh>
    <phoneticPr fontId="5"/>
  </si>
  <si>
    <t>・動物公園については、継続的な専門知識の蓄積・研究を行い、教育普及・市民サービス向上を図るため直営で運営すべきであるため
・この他、管理運営方法を検討中であるため等</t>
    <rPh sb="1" eb="3">
      <t>ドウブツ</t>
    </rPh>
    <rPh sb="3" eb="5">
      <t>コウエン</t>
    </rPh>
    <rPh sb="11" eb="14">
      <t>ケイゾクテキ</t>
    </rPh>
    <rPh sb="15" eb="17">
      <t>センモン</t>
    </rPh>
    <rPh sb="17" eb="19">
      <t>チシキ</t>
    </rPh>
    <rPh sb="20" eb="22">
      <t>チクセキ</t>
    </rPh>
    <rPh sb="23" eb="25">
      <t>ケンキュウ</t>
    </rPh>
    <rPh sb="26" eb="27">
      <t>オコナ</t>
    </rPh>
    <rPh sb="29" eb="31">
      <t>キョウイク</t>
    </rPh>
    <rPh sb="31" eb="33">
      <t>フキュウ</t>
    </rPh>
    <rPh sb="34" eb="36">
      <t>シミン</t>
    </rPh>
    <rPh sb="40" eb="42">
      <t>コウジョウ</t>
    </rPh>
    <rPh sb="43" eb="44">
      <t>ハカ</t>
    </rPh>
    <rPh sb="47" eb="49">
      <t>チョクエイ</t>
    </rPh>
    <rPh sb="50" eb="52">
      <t>ウンエイ</t>
    </rPh>
    <rPh sb="64" eb="65">
      <t>ホカ</t>
    </rPh>
    <rPh sb="66" eb="68">
      <t>カンリ</t>
    </rPh>
    <rPh sb="68" eb="70">
      <t>ウンエイ</t>
    </rPh>
    <rPh sb="70" eb="72">
      <t>ホウホウ</t>
    </rPh>
    <rPh sb="73" eb="76">
      <t>ケントウチュウ</t>
    </rPh>
    <rPh sb="81" eb="82">
      <t>ナド</t>
    </rPh>
    <phoneticPr fontId="5"/>
  </si>
  <si>
    <t>平成29年4月に庶務事務システムを導入したが、審査確認等の事務の集約化については、今後、システム導入後の業務プロセスの整理、アウトソーシング等の手法や費用対効果等の調査・分析をふまえて、実施を検討する予定であるため。</t>
    <phoneticPr fontId="5"/>
  </si>
  <si>
    <t>【医療安全センター】 医療安全の向上を図るためには保健所等との連携が必要であるため、現段階では直営で運営すべきと考えているため。　【障害福祉サービス事業所】 あり方について検討中であるため。なお、障害福祉サービス事業所のうち２か所は令和２年４月に民営化済み、２か所は民営化予定。</t>
    <phoneticPr fontId="5"/>
  </si>
  <si>
    <t>【医療安全センター】 保健所をはじめ他部署との情報共有・連携を目的として、自治体職員を常駐で配置する必要があると考えている。　【支援施設・事業所】 あり方について検討中。なお、障害福祉サービス事業所のうち２か所は令和２年４月に民営化済み、２か所は民営化予定。</t>
    <phoneticPr fontId="5"/>
  </si>
  <si>
    <t>運営業務の一部は既に民間委託化している。学芸業務は長期的・継続的な調査・研究に基づくものであり、また、文化財の維持・保全等に関する業務は、中長期的な視点での運営が望ましいため、直営としている。</t>
    <phoneticPr fontId="5"/>
  </si>
  <si>
    <t>運営業務の一部は民間委託化しているが、博物館事業は調査・研究の成果の蓄積が重要であること、また、文化財の維持・保全等に関する業務は中長期的な視点での運営が望ましいため、職員が常駐し直営としている。</t>
    <phoneticPr fontId="5"/>
  </si>
  <si>
    <t>　</t>
    <phoneticPr fontId="5"/>
  </si>
  <si>
    <t>指定管理者制度を使うことでコスト増が見込まれ、また民間のノウハウを活かす余地が少ないため。</t>
    <phoneticPr fontId="5"/>
  </si>
  <si>
    <t>221309</t>
    <phoneticPr fontId="5"/>
  </si>
  <si>
    <t>市民との密接なつながりがあり、市の施策を反映した公園づくり等を行う必要があるため。</t>
    <phoneticPr fontId="5"/>
  </si>
  <si>
    <t>資料を収集・整理・保存して利用に供する施設であり、長期的・計画的な蔵書管理や事業を継続的に行う必要があるため、直営で運営している。運営体制見直しに向けて、5館で指定管理者制度を試行実施しており、その運営について検証中である。</t>
    <phoneticPr fontId="5"/>
  </si>
  <si>
    <t>民間特別養護老人ホームの整備状況等を勘案しつつ、将来の廃止を視野に入れて規模の縮小を図る取組方針としており、縮小に向けて市が管理を行う必要がある。</t>
    <phoneticPr fontId="5"/>
  </si>
  <si>
    <t>区役所・支所の電話交換については業務効率化（集中化）を図っており，当面の間現状を維持する予定。
本庁舎についても，同様に当面の間現状を維持する予定。</t>
    <phoneticPr fontId="5"/>
  </si>
  <si>
    <t>271004</t>
    <phoneticPr fontId="5"/>
  </si>
  <si>
    <t>児童福祉法の執行機関であるため、公的権限を有する者でなければならないため。</t>
    <phoneticPr fontId="5"/>
  </si>
  <si>
    <t>展示を行うにあたり、これまで蓄積してきた本市の歴史文化等に関する深い知識や複数年にわたる準備期間を要することから、期間が限られた指定管理者による管理運営は適していないため。</t>
    <phoneticPr fontId="5"/>
  </si>
  <si>
    <t>再任用職員や会計年度任用職員を配置し、運用することによって、人件費を削減する等、管理運営経費の縮減に取り組んでおり、指定管理者制度の導入による経費面のメリットは期待できないため。</t>
    <phoneticPr fontId="5"/>
  </si>
  <si>
    <t>地域や小学校に密着した施設であり、地域コミュニティ醸成を図るうえで、自治体職員の配置は必要と考える。</t>
  </si>
  <si>
    <t>○</t>
    <phoneticPr fontId="5"/>
  </si>
  <si>
    <t>331007</t>
    <phoneticPr fontId="5"/>
  </si>
  <si>
    <t>会計年度任用職員等の活用により，直営を継続する。</t>
    <rPh sb="0" eb="2">
      <t>カイケイ</t>
    </rPh>
    <rPh sb="2" eb="4">
      <t>ネンド</t>
    </rPh>
    <rPh sb="4" eb="6">
      <t>ニンヨウ</t>
    </rPh>
    <rPh sb="6" eb="8">
      <t>ショクイン</t>
    </rPh>
    <rPh sb="8" eb="9">
      <t>トウ</t>
    </rPh>
    <phoneticPr fontId="5"/>
  </si>
  <si>
    <t>本市行財政改革大綱において、会計年度任用職員化の方向とすることが示されている。
引続き他都市の状況も参考にしながら研究していく。</t>
    <rPh sb="0" eb="2">
      <t>ホンシ</t>
    </rPh>
    <rPh sb="2" eb="5">
      <t>ギョウザイセイ</t>
    </rPh>
    <rPh sb="5" eb="7">
      <t>カイカク</t>
    </rPh>
    <rPh sb="7" eb="9">
      <t>タイコウ</t>
    </rPh>
    <rPh sb="14" eb="16">
      <t>カイケイ</t>
    </rPh>
    <rPh sb="16" eb="18">
      <t>ネンド</t>
    </rPh>
    <rPh sb="18" eb="20">
      <t>ニンヨウ</t>
    </rPh>
    <rPh sb="20" eb="23">
      <t>ショクインカ</t>
    </rPh>
    <rPh sb="24" eb="26">
      <t>ホウコウ</t>
    </rPh>
    <rPh sb="32" eb="33">
      <t>シメ</t>
    </rPh>
    <rPh sb="40" eb="42">
      <t>ヒキツヅ</t>
    </rPh>
    <rPh sb="43" eb="46">
      <t>タトシ</t>
    </rPh>
    <rPh sb="47" eb="49">
      <t>ジョウキョウ</t>
    </rPh>
    <rPh sb="50" eb="52">
      <t>サンコウ</t>
    </rPh>
    <rPh sb="57" eb="59">
      <t>ケンキュウ</t>
    </rPh>
    <phoneticPr fontId="5"/>
  </si>
  <si>
    <t>最適な運営主体を総合的に勘案し、業務内容により自治体職員が主体となるべきものと判断。</t>
    <phoneticPr fontId="5"/>
  </si>
  <si>
    <t>　本市の給与関連事務については、集約化・委託化を行った場合、各所属担当者の人員削減を行うほどの事務量軽減が図れず、コスト削減効果は低いとの調査結果がでており、また、福利厚生事務については事務量が少なく、導入メリットがないと思われますが、集約化・委託化も含めた最適な事務のあり方については、今後とも検討していきたいと考えております。
　しかしながら、その他会計事務等も含め業務の標準化・効率化については課題の一つと捉えておりますので、どういった形が望ましいか、費用対効果といった行革的な視点も踏まえ、慎重に判断しつつ進めるべきものと考えております。</t>
    <phoneticPr fontId="5"/>
  </si>
  <si>
    <t>041009</t>
    <phoneticPr fontId="5"/>
  </si>
  <si>
    <t>※令和3年4月1日現在において、直営で専任職員を置いている団体</t>
    <rPh sb="1" eb="3">
      <t>レイワ</t>
    </rPh>
    <rPh sb="4" eb="5">
      <t>ネン</t>
    </rPh>
    <rPh sb="5" eb="6">
      <t>ヘイネン</t>
    </rPh>
    <rPh sb="6" eb="7">
      <t>ガツ</t>
    </rPh>
    <rPh sb="8" eb="9">
      <t>ニチ</t>
    </rPh>
    <rPh sb="9" eb="11">
      <t>ゲンザイ</t>
    </rPh>
    <rPh sb="16" eb="18">
      <t>チョクエイ</t>
    </rPh>
    <rPh sb="19" eb="21">
      <t>センニン</t>
    </rPh>
    <rPh sb="21" eb="23">
      <t>ショクイン</t>
    </rPh>
    <rPh sb="24" eb="25">
      <t>オ</t>
    </rPh>
    <rPh sb="29" eb="31">
      <t>ダンタイ</t>
    </rPh>
    <phoneticPr fontId="5"/>
  </si>
  <si>
    <t>（注）令和3年3月31日時点における状況であること。</t>
    <phoneticPr fontId="5"/>
  </si>
  <si>
    <r>
      <t>統一的な基準による財務書類の作成状況（令和元年度</t>
    </r>
    <r>
      <rPr>
        <sz val="12"/>
        <rFont val="ＭＳ Ｐゴシック"/>
        <family val="3"/>
        <charset val="128"/>
        <scheme val="minor"/>
      </rPr>
      <t>決算に係る一般会計等財務書類）</t>
    </r>
    <rPh sb="19" eb="21">
      <t>レイワ</t>
    </rPh>
    <rPh sb="21" eb="24">
      <t>ガンネンド</t>
    </rPh>
    <rPh sb="24" eb="26">
      <t>ケッサン</t>
    </rPh>
    <rPh sb="27" eb="28">
      <t>カカ</t>
    </rPh>
    <phoneticPr fontId="5"/>
  </si>
  <si>
    <r>
      <t xml:space="preserve">統一的な基準による財務書類の作成状況
</t>
    </r>
    <r>
      <rPr>
        <sz val="11"/>
        <color rgb="FFFF0000"/>
        <rFont val="ＭＳ Ｐゴシック"/>
        <family val="3"/>
        <charset val="128"/>
        <scheme val="minor"/>
      </rPr>
      <t>（令和元年度決算に係る一般会計等財務書類）</t>
    </r>
    <rPh sb="0" eb="3">
      <t>トウイツテキ</t>
    </rPh>
    <rPh sb="4" eb="6">
      <t>キジュン</t>
    </rPh>
    <rPh sb="9" eb="11">
      <t>ザイム</t>
    </rPh>
    <rPh sb="11" eb="13">
      <t>ショルイ</t>
    </rPh>
    <rPh sb="14" eb="16">
      <t>サクセイ</t>
    </rPh>
    <rPh sb="16" eb="18">
      <t>ジョウキョウ</t>
    </rPh>
    <rPh sb="20" eb="22">
      <t>レイワ</t>
    </rPh>
    <rPh sb="22" eb="25">
      <t>ガンネンド</t>
    </rPh>
    <phoneticPr fontId="5"/>
  </si>
  <si>
    <t>・社会教育という点を踏まえ，市が直営で管理しているため。</t>
    <rPh sb="8" eb="9">
      <t>テン</t>
    </rPh>
    <rPh sb="10" eb="11">
      <t>フ</t>
    </rPh>
    <rPh sb="14" eb="15">
      <t>シ</t>
    </rPh>
    <phoneticPr fontId="5"/>
  </si>
  <si>
    <t>猿花キャンプ場は、4月～11月の期間のみ利用可能な施設であり、毎月平均約7組ほどの利用実績であるため、指定管理を導入するには大幅なコスト増が必要である。また現在の予算額では民間の応募も見込めないため導入が進んでいない。</t>
    <phoneticPr fontId="5"/>
  </si>
  <si>
    <t>大規模霊園、斎場等については、指定管理導入のための条例改正案を市議会に提出した際、直営継続を求める意見が相次いだ経緯があり、市議会で容認意見が得られた１施設を除き、導入を見送っているもの。</t>
    <phoneticPr fontId="5"/>
  </si>
  <si>
    <t>収蔵品や文化財産としての施設管理に関する専門知識や熟達した技術が必要（博物館・美術館・漫画会館）。教育施設として指導主事による事業運営が必須（宇宙科学館・博物館）。</t>
    <phoneticPr fontId="5"/>
  </si>
  <si>
    <t>指定管理により、地域自治会・学校・社会福祉協議会等との連携事業の円滑な連絡調整ができなくなり、コミュニティ活動の停滞を招く恐れがあるため、現段階での導入は考えていない。</t>
    <phoneticPr fontId="5"/>
  </si>
  <si>
    <t>生涯学習・地域コミュニティの拠点であり、地域自治会・学校・社会福祉協議会等と実施している連携事業の、自治体職員による円滑な連携調整が必要と考えるため。</t>
    <phoneticPr fontId="5"/>
  </si>
  <si>
    <t>精神保健及び精神障害者福祉に関する法律により設置している施設や、即時判断・即時対応が要求される施設、市を含めた独自の相談支援システムを整備している施設、医師確保が困難な施設であり、直営で運営すべき施設であるため。</t>
    <phoneticPr fontId="5"/>
  </si>
  <si>
    <t>指定管理者制度を導入するコストに見合わないため。</t>
    <phoneticPr fontId="5"/>
  </si>
  <si>
    <t>・指定管理者制度を導入するコストに見合わないため。
・導入時期が変更になったため。</t>
    <rPh sb="1" eb="3">
      <t>シテイ</t>
    </rPh>
    <rPh sb="3" eb="5">
      <t>カンリ</t>
    </rPh>
    <rPh sb="5" eb="6">
      <t>シャ</t>
    </rPh>
    <rPh sb="6" eb="8">
      <t>セイド</t>
    </rPh>
    <rPh sb="9" eb="11">
      <t>ドウニュウ</t>
    </rPh>
    <rPh sb="17" eb="19">
      <t>ミア</t>
    </rPh>
    <rPh sb="27" eb="29">
      <t>ドウニュウ</t>
    </rPh>
    <rPh sb="29" eb="31">
      <t>ジキ</t>
    </rPh>
    <rPh sb="32" eb="34">
      <t>ヘンコウ</t>
    </rPh>
    <phoneticPr fontId="5"/>
  </si>
  <si>
    <t>墓地・霊堂に係る独自導入システムの管理・保守・改修や、指定管理者に委任していない業務（行政財産の使用許可等）があることから、自治体職員が常駐している。また、整備中の施設については、用地交渉や工事監督など現地での自治体業務があるため常駐で配置している。</t>
    <phoneticPr fontId="5"/>
  </si>
  <si>
    <t>指定管理者制度導入のメリット・デメリット等を検証中のため。</t>
    <phoneticPr fontId="5"/>
  </si>
  <si>
    <t>管理運営・広報業務は指定管理者制度を導入しているが、学芸業務は専門性及び継続性の確保のため、また、各館庶務業務は円滑な運営及び指定管理者との連絡調整のため直営とし、自治体職員を常置している。</t>
    <rPh sb="49" eb="51">
      <t>カクカン</t>
    </rPh>
    <rPh sb="51" eb="53">
      <t>ショム</t>
    </rPh>
    <rPh sb="53" eb="55">
      <t>ギョウム</t>
    </rPh>
    <rPh sb="56" eb="58">
      <t>エンカツ</t>
    </rPh>
    <rPh sb="59" eb="61">
      <t>ウンエイ</t>
    </rPh>
    <rPh sb="61" eb="62">
      <t>オヨ</t>
    </rPh>
    <rPh sb="63" eb="65">
      <t>シテイ</t>
    </rPh>
    <rPh sb="65" eb="68">
      <t>カンリシャ</t>
    </rPh>
    <rPh sb="70" eb="72">
      <t>レンラク</t>
    </rPh>
    <rPh sb="72" eb="74">
      <t>チョウセイ</t>
    </rPh>
    <phoneticPr fontId="5"/>
  </si>
  <si>
    <t>休止中（１施設）のため。</t>
    <rPh sb="0" eb="3">
      <t>キュウシチュウ</t>
    </rPh>
    <rPh sb="5" eb="7">
      <t>シセツ</t>
    </rPh>
    <phoneticPr fontId="5"/>
  </si>
  <si>
    <t>221007</t>
    <phoneticPr fontId="5"/>
  </si>
  <si>
    <t>展示内容の強化に伴い専門性を必要とすること及び展示物の更新以外の業務については指定管理料が少額になることが見込まれ、民間ノウハウ等を活用してもサービス向上や費用対効果・効率性の向上が期待できず、導入効果が見込めないため。</t>
    <phoneticPr fontId="5"/>
  </si>
  <si>
    <t>本市の文化の都市基盤整備として、岡山に関する事物を記録・保存及び調査研究を行う等、市が文化施策を主体的に推進する施設であるため。</t>
    <rPh sb="0" eb="2">
      <t>ホンシ</t>
    </rPh>
    <rPh sb="3" eb="5">
      <t>ブンカ</t>
    </rPh>
    <rPh sb="6" eb="8">
      <t>トシ</t>
    </rPh>
    <rPh sb="8" eb="10">
      <t>キバン</t>
    </rPh>
    <rPh sb="10" eb="12">
      <t>セイビ</t>
    </rPh>
    <rPh sb="30" eb="31">
      <t>オヨ</t>
    </rPh>
    <rPh sb="37" eb="38">
      <t>オコナ</t>
    </rPh>
    <rPh sb="39" eb="40">
      <t>ナド</t>
    </rPh>
    <phoneticPr fontId="5"/>
  </si>
  <si>
    <t>地域を挙げての催しや講座・活動、相談業務などを福祉交流プラザと密接に連携して行ってきた施設であるため、現状は市職員による直営での運営としている。</t>
    <phoneticPr fontId="5"/>
  </si>
  <si>
    <t>・利用者が限定されているとともに、管理者の常駐管理を必要とせず、管理費用が極めて少額であるため
・都市公園法に基づき管理許可をしており、維持管理費を負担する条件で使用料を免除しているため、本市の財政的負担を軽減できており、効率的な管理運営がなされているため。</t>
    <phoneticPr fontId="5"/>
  </si>
  <si>
    <t>民間特別養護老人ホームの整備状況等を勘案しつつ、将来の廃止を視野に入れて規模の縮小を図る取組方針としたため</t>
    <phoneticPr fontId="5"/>
  </si>
  <si>
    <t>令和３年３月に千葉市住宅供給公社と協定を結び、管理代行期間は令和３年４月１日～令和８年３月３１日（５年間）としているため。</t>
    <phoneticPr fontId="5"/>
  </si>
  <si>
    <t>新たに供用開始した施設について、現在は直営としているが、今後、利用状況や維持管理コスト等を踏まえ、指定管理者制度を導入する効果を見極めるため。　</t>
    <phoneticPr fontId="5"/>
  </si>
  <si>
    <t>公民館は生涯学習・社会教育施設であるとともにや学びを通じた地域づくりの拠点であり、市と市内自治会、各種団体等が連携した事業を実施していることから、直営としている。</t>
    <phoneticPr fontId="5"/>
  </si>
  <si>
    <t>施設管理や事業実施、対外的な調整、庶務財務等を市職員が担当している。現場の運営状況の把握や個人情報保護、危機管理等の面、また災害時の避難場所等の対応のため、職員が常駐している。</t>
    <phoneticPr fontId="5"/>
  </si>
  <si>
    <t>申請等手続きの受付から承認・決定までを正確かつ迅速に完結できるワンストップサービスを提供するため。</t>
    <phoneticPr fontId="5"/>
  </si>
  <si>
    <t>現行の指定管理者の指定期間が令和3年3月31日に満了を迎えることから、新たな指定管理者の公募を実施したが、応募がなかったため、当面の間休館する。今後、施設のあり方を検討する</t>
    <phoneticPr fontId="5"/>
  </si>
  <si>
    <t>天王寺動物園：地方独立行政法人化へ移行済</t>
    <rPh sb="0" eb="3">
      <t>テンノウジ</t>
    </rPh>
    <rPh sb="3" eb="6">
      <t>ドウブツエン</t>
    </rPh>
    <phoneticPr fontId="5"/>
  </si>
  <si>
    <t>柳瀬キャンプ場は地権者と無償で使用賃貸借契約を締結をして管理運営されている。
使用形態は原則自由利用であり、料金徴収を行っておらず、管理人も常駐していない。
現段階でコストを増加させ、管理運営方法を変更することは検討していない。</t>
    <rPh sb="0" eb="2">
      <t>ヤナセ</t>
    </rPh>
    <rPh sb="6" eb="7">
      <t>ジョウ</t>
    </rPh>
    <rPh sb="8" eb="11">
      <t>チケンシャ</t>
    </rPh>
    <rPh sb="12" eb="14">
      <t>ムショウ</t>
    </rPh>
    <rPh sb="15" eb="20">
      <t>シヨウチンタイシャク</t>
    </rPh>
    <rPh sb="20" eb="22">
      <t>ケイヤク</t>
    </rPh>
    <rPh sb="23" eb="25">
      <t>テイケツ</t>
    </rPh>
    <rPh sb="28" eb="32">
      <t>カンリウンエイ</t>
    </rPh>
    <rPh sb="39" eb="41">
      <t>シヨウ</t>
    </rPh>
    <rPh sb="41" eb="43">
      <t>ケイタイ</t>
    </rPh>
    <rPh sb="44" eb="46">
      <t>ゲンソク</t>
    </rPh>
    <rPh sb="46" eb="48">
      <t>ジユウ</t>
    </rPh>
    <rPh sb="48" eb="50">
      <t>リヨウ</t>
    </rPh>
    <rPh sb="54" eb="56">
      <t>リョウキン</t>
    </rPh>
    <rPh sb="56" eb="58">
      <t>チョウシュウ</t>
    </rPh>
    <rPh sb="59" eb="60">
      <t>オコナ</t>
    </rPh>
    <rPh sb="66" eb="69">
      <t>カンリニン</t>
    </rPh>
    <rPh sb="70" eb="72">
      <t>ジョウチュウ</t>
    </rPh>
    <rPh sb="79" eb="82">
      <t>ゲンダンカイ</t>
    </rPh>
    <rPh sb="87" eb="89">
      <t>ゾウカ</t>
    </rPh>
    <rPh sb="92" eb="98">
      <t>カンリウンエイホウホウ</t>
    </rPh>
    <rPh sb="99" eb="101">
      <t>ヘンコウ</t>
    </rPh>
    <rPh sb="106" eb="108">
      <t>ケントウ</t>
    </rPh>
    <phoneticPr fontId="5"/>
  </si>
  <si>
    <t>都市公園法上の管理許可制度による運営手法を導入しているため</t>
    <phoneticPr fontId="5"/>
  </si>
  <si>
    <t>利用率が低く、将来的に廃止を見込む施設であるため</t>
    <phoneticPr fontId="5"/>
  </si>
  <si>
    <t>指定管理者制度によっても、設置条例に規定されたセンターの目的に沿って、幅広い業務をきめ細かく、円滑に、かつ、安定的に実施できるかどうか、慎重に研究している。</t>
  </si>
  <si>
    <t>指定管理未導入の施設であり、自治体職員が業務の管理・監督を行う必要があるため、適切と考える。</t>
  </si>
  <si>
    <t>霊園開設から50年以上が経過し、老朽化施設の改修、戦災復興事業として市内から移設した寺院墓地区域の整備・調整・改修等、改善すべき課題もあるが、令和２年度より民間活力等の導入に向けて、検討を行っている。</t>
    <phoneticPr fontId="5"/>
  </si>
  <si>
    <t>直営業務（技能労務職）のあり方について、原則、退職不補充としたうえで、改めて業務内容を精査し民間活力の導入などを図りながら、より適正な職員配置となるよう取り組んでいく。</t>
  </si>
  <si>
    <t>市民の利用に供しているのは、研究所施設の一部、保健環境学習室の部分のみであり、施設全体の管理は研究所業務と密接であるため市が行う必要がある。また、保健環境学習室では、研究所の専門性を活かした企画運営を行うため、指定管理者制度にはなじまない。</t>
    <phoneticPr fontId="5"/>
  </si>
  <si>
    <t>市民の利用に供している研究所施設の一部、保健環境学習室については民間委託にて運営しているが、当研究所は、地方衛生研究所として環境及び公衆衛生を保持し、行政課題解決に向けて検査や研究業務を行うための研究所であり、自治体職員が常駐する必要がある。</t>
    <rPh sb="32" eb="34">
      <t>ミンカン</t>
    </rPh>
    <rPh sb="34" eb="36">
      <t>イタク</t>
    </rPh>
    <rPh sb="38" eb="40">
      <t>ウンエイ</t>
    </rPh>
    <rPh sb="46" eb="47">
      <t>トウ</t>
    </rPh>
    <rPh sb="47" eb="50">
      <t>ケンキュウショ</t>
    </rPh>
    <rPh sb="52" eb="54">
      <t>チホウ</t>
    </rPh>
    <rPh sb="54" eb="56">
      <t>エイセイ</t>
    </rPh>
    <rPh sb="56" eb="59">
      <t>ケンキュウショ</t>
    </rPh>
    <rPh sb="62" eb="64">
      <t>カンキョウ</t>
    </rPh>
    <rPh sb="64" eb="65">
      <t>オヨ</t>
    </rPh>
    <rPh sb="66" eb="68">
      <t>コウシュウ</t>
    </rPh>
    <rPh sb="68" eb="70">
      <t>エイセイ</t>
    </rPh>
    <rPh sb="71" eb="73">
      <t>ホジ</t>
    </rPh>
    <rPh sb="75" eb="77">
      <t>ギョウセイ</t>
    </rPh>
    <rPh sb="77" eb="79">
      <t>カダイ</t>
    </rPh>
    <rPh sb="79" eb="81">
      <t>カイケツ</t>
    </rPh>
    <rPh sb="82" eb="83">
      <t>ム</t>
    </rPh>
    <rPh sb="85" eb="87">
      <t>ケンサ</t>
    </rPh>
    <rPh sb="88" eb="90">
      <t>ケンキュウ</t>
    </rPh>
    <rPh sb="90" eb="92">
      <t>ギョウム</t>
    </rPh>
    <rPh sb="93" eb="94">
      <t>オコナ</t>
    </rPh>
    <rPh sb="98" eb="101">
      <t>ケンキュウショ</t>
    </rPh>
    <rPh sb="105" eb="108">
      <t>ジチタイ</t>
    </rPh>
    <rPh sb="108" eb="110">
      <t>ショクイン</t>
    </rPh>
    <rPh sb="111" eb="113">
      <t>ジョウチュウ</t>
    </rPh>
    <phoneticPr fontId="5"/>
  </si>
  <si>
    <t>玄界島火葬場については、利用者が限定されるうえ、利用者が少ないため直営としている</t>
  </si>
  <si>
    <t>指定管理者制度の導入を含め、施設の今後のあり方等について検討を行っている。</t>
  </si>
  <si>
    <t>総合図書館の施設の維持・管理についてのみ指定管理者で行い、図書館事業に係る図書資料等の収集、保存、調査・研究、学校図書館への支援、高度なレファレンス業務等は直営。分館では、指定管理者が一般的図書館業務を行い、図書資料等の収集保存の決定や予算執行、歳入管理は直営。</t>
  </si>
  <si>
    <t>事業の専門性や公益性の高さなどから、直営とすべき施設や、ＰＦＩ方式等、他の手法により民間活用を行っている施設であるため。なお、一部施設については今後導入を検討している。</t>
  </si>
  <si>
    <t>設置目的に沿ったサービスの提供や、調査・研究等の公益性の高い事業の継続性の確保など、それぞれの施設の実情に応じ自治体職員を配置しての管理・運営が必要なため。</t>
  </si>
  <si>
    <t>市による一般的な管理と、利用者である地域住民による自主的な管理が行われるなど共働が図られているため。</t>
    <phoneticPr fontId="5"/>
  </si>
  <si>
    <t>市による一般的な管理と、利用者である地域住民による自主的な管理を行うなど共働を図っていく。</t>
    <phoneticPr fontId="5"/>
  </si>
  <si>
    <t>欠員が出た際には，会計年度任用職員による補充を行い，直営による体制を維持。</t>
    <rPh sb="0" eb="2">
      <t>ケツイン</t>
    </rPh>
    <rPh sb="3" eb="4">
      <t>デ</t>
    </rPh>
    <rPh sb="5" eb="6">
      <t>サイ</t>
    </rPh>
    <rPh sb="9" eb="11">
      <t>カイケイ</t>
    </rPh>
    <rPh sb="11" eb="13">
      <t>ネンド</t>
    </rPh>
    <rPh sb="13" eb="15">
      <t>ニンヨウ</t>
    </rPh>
    <rPh sb="15" eb="17">
      <t>ショクイン</t>
    </rPh>
    <rPh sb="20" eb="22">
      <t>ホジュウ</t>
    </rPh>
    <rPh sb="23" eb="24">
      <t>オコナ</t>
    </rPh>
    <rPh sb="26" eb="28">
      <t>チョクエイ</t>
    </rPh>
    <rPh sb="31" eb="33">
      <t>タイセイ</t>
    </rPh>
    <rPh sb="34" eb="36">
      <t>イジ</t>
    </rPh>
    <phoneticPr fontId="5"/>
  </si>
  <si>
    <t>　</t>
    <phoneticPr fontId="5"/>
  </si>
  <si>
    <t>○</t>
    <phoneticPr fontId="5"/>
  </si>
  <si>
    <r>
      <t xml:space="preserve">ＢＰＲの手法を用いた分析により業務改革効果を把握していますか
</t>
    </r>
    <r>
      <rPr>
        <b/>
        <u/>
        <sz val="11"/>
        <color rgb="FFFF0000"/>
        <rFont val="ＭＳ Ｐゴシック"/>
        <family val="3"/>
        <charset val="128"/>
        <scheme val="minor"/>
      </rPr>
      <t>※「○」を選択した団体は、調査票⑥にも記入してください。</t>
    </r>
    <rPh sb="37" eb="39">
      <t>センタク</t>
    </rPh>
    <phoneticPr fontId="5"/>
  </si>
  <si>
    <t>　</t>
    <phoneticPr fontId="5"/>
  </si>
  <si>
    <t>121002</t>
  </si>
  <si>
    <t>北海道</t>
  </si>
  <si>
    <t>札幌市</t>
  </si>
  <si>
    <t>宮城県</t>
  </si>
  <si>
    <t>仙台市</t>
  </si>
  <si>
    <t>111007</t>
  </si>
  <si>
    <t>埼玉県</t>
  </si>
  <si>
    <t>さいたま市</t>
  </si>
  <si>
    <t>千葉県</t>
  </si>
  <si>
    <t>千葉市</t>
  </si>
  <si>
    <t>141003</t>
  </si>
  <si>
    <t>神奈川県</t>
  </si>
  <si>
    <t>横浜市</t>
  </si>
  <si>
    <t>川崎市</t>
  </si>
  <si>
    <t>141500</t>
  </si>
  <si>
    <t>相模原市</t>
    <rPh sb="0" eb="4">
      <t>サガミハラシ</t>
    </rPh>
    <phoneticPr fontId="1"/>
  </si>
  <si>
    <t>151009</t>
  </si>
  <si>
    <t>新潟県</t>
  </si>
  <si>
    <t>新潟市</t>
  </si>
  <si>
    <t>221007</t>
  </si>
  <si>
    <t>静岡市</t>
  </si>
  <si>
    <t>221309</t>
  </si>
  <si>
    <t>231002</t>
  </si>
  <si>
    <t>愛知県</t>
  </si>
  <si>
    <t>名古屋市</t>
  </si>
  <si>
    <t>261009</t>
  </si>
  <si>
    <t>京都府</t>
  </si>
  <si>
    <t>京都市</t>
  </si>
  <si>
    <t>271004</t>
  </si>
  <si>
    <t>大阪府</t>
  </si>
  <si>
    <t>大阪市</t>
  </si>
  <si>
    <t>271403</t>
  </si>
  <si>
    <t>堺市</t>
  </si>
  <si>
    <t>281000</t>
  </si>
  <si>
    <t>331007</t>
  </si>
  <si>
    <t>岡山県</t>
  </si>
  <si>
    <t>岡山市</t>
  </si>
  <si>
    <t>広島県</t>
  </si>
  <si>
    <t>広島市</t>
  </si>
  <si>
    <t>401005</t>
  </si>
  <si>
    <t>福岡県</t>
  </si>
  <si>
    <t>北九州市</t>
  </si>
  <si>
    <t>401307</t>
  </si>
  <si>
    <t>福岡市</t>
  </si>
  <si>
    <t>熊本県</t>
  </si>
  <si>
    <t>熊本市</t>
    <rPh sb="0" eb="3">
      <t>クマモトシ</t>
    </rPh>
    <phoneticPr fontId="1"/>
  </si>
  <si>
    <t>団体コード</t>
    <rPh sb="0" eb="2">
      <t>ダンタイ</t>
    </rPh>
    <phoneticPr fontId="1"/>
  </si>
  <si>
    <t>011002</t>
  </si>
  <si>
    <t>041009</t>
  </si>
  <si>
    <t>都道府県名</t>
    <rPh sb="0" eb="4">
      <t>トドウフケン</t>
    </rPh>
    <rPh sb="4" eb="5">
      <t>メイ</t>
    </rPh>
    <phoneticPr fontId="1"/>
  </si>
  <si>
    <t>市区町村名</t>
    <rPh sb="0" eb="2">
      <t>シク</t>
    </rPh>
    <rPh sb="2" eb="4">
      <t>チョウソン</t>
    </rPh>
    <rPh sb="4" eb="5">
      <t>メイ</t>
    </rPh>
    <phoneticPr fontId="1"/>
  </si>
  <si>
    <r>
      <t>再任用職員や</t>
    </r>
    <r>
      <rPr>
        <sz val="11"/>
        <rFont val="ＭＳ Ｐゴシック"/>
        <family val="3"/>
        <charset val="128"/>
        <scheme val="minor"/>
      </rPr>
      <t>会計年度任用職員</t>
    </r>
    <r>
      <rPr>
        <sz val="11"/>
        <color theme="1"/>
        <rFont val="ＭＳ Ｐゴシック"/>
        <family val="3"/>
        <charset val="128"/>
        <scheme val="minor"/>
      </rPr>
      <t>を配置し、運用することによって、人件費を削減する等、効率的かつ効果的な管理を行っており、指定管理者制度導入による効果が見込めないため。</t>
    </r>
    <rPh sb="6" eb="8">
      <t>カイケイ</t>
    </rPh>
    <rPh sb="8" eb="10">
      <t>ネンド</t>
    </rPh>
    <rPh sb="10" eb="12">
      <t>ニンヨウ</t>
    </rPh>
    <rPh sb="12" eb="14">
      <t>ショクイン</t>
    </rPh>
    <phoneticPr fontId="5"/>
  </si>
  <si>
    <t>　</t>
    <phoneticPr fontId="5"/>
  </si>
  <si>
    <t>男女共同参画センターは、施設特性にふさわしい指定管理者候補が不在であるため。公民館は、民間事業者では解決しにくい課題や、実施しにくい内容に焦点を当てて、事業を実施する必要があるため。</t>
    <rPh sb="0" eb="6">
      <t>ダンジョキョウドウサンカク</t>
    </rPh>
    <rPh sb="26" eb="27">
      <t>シャ</t>
    </rPh>
    <rPh sb="38" eb="41">
      <t>コウミンカン</t>
    </rPh>
    <phoneticPr fontId="5"/>
  </si>
  <si>
    <t>委託状況</t>
    <rPh sb="0" eb="2">
      <t>イタク</t>
    </rPh>
    <rPh sb="2" eb="4">
      <t>ジョウキョウ</t>
    </rPh>
    <phoneticPr fontId="5"/>
  </si>
  <si>
    <t>431001</t>
    <phoneticPr fontId="5"/>
  </si>
  <si>
    <t>⑩学校用務員事務</t>
    <rPh sb="1" eb="3">
      <t>ガッコウ</t>
    </rPh>
    <rPh sb="3" eb="6">
      <t>ヨウムイン</t>
    </rPh>
    <rPh sb="6" eb="8">
      <t>ジム</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</si>
</sst>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 "/>
    <numFmt numFmtId="178" formatCode="0_ "/>
    <numFmt numFmtId="179" formatCode="[$-411]ggge&quot;年&quot;m&quot;月&quot;d&quot;日&quot;;@"/>
  </numFmts>
  <fonts count="4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6"/>
      <name val="ＭＳ Ｐゴシック"/>
      <family val="2"/>
      <charset val="128"/>
      <scheme val="minor"/>
    </font>
    <font>
      <sz val="11"/>
      <name val="ＭＳ Ｐゴシック"/>
      <family val="3"/>
      <charset val="128"/>
    </font>
    <font>
      <u/>
      <sz val="10"/>
      <color theme="10"/>
      <name val="ＭＳ 明朝"/>
      <family val="1"/>
      <charset val="128"/>
    </font>
    <font>
      <sz val="11"/>
      <color rgb="FF006100"/>
      <name val="ＭＳ Ｐゴシック"/>
      <family val="3"/>
      <charset val="128"/>
      <scheme val="minor"/>
    </font>
    <font>
      <sz val="11"/>
      <color rgb="FF9C65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0"/>
      <color theme="1"/>
      <name val="ＭＳ Ｐゴシック"/>
      <family val="3"/>
      <charset val="128"/>
      <scheme val="minor"/>
    </font>
    <font>
      <sz val="6"/>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6"/>
      <color theme="1"/>
      <name val="ＭＳ Ｐゴシック"/>
      <family val="3"/>
      <charset val="128"/>
      <scheme val="minor"/>
    </font>
    <font>
      <sz val="16"/>
      <color theme="1"/>
      <name val="ＭＳ Ｐゴシック"/>
      <family val="2"/>
      <charset val="128"/>
      <scheme val="minor"/>
    </font>
    <font>
      <b/>
      <sz val="20"/>
      <color theme="1"/>
      <name val="ＭＳ Ｐゴシック"/>
      <family val="3"/>
      <charset val="128"/>
      <scheme val="minor"/>
    </font>
    <font>
      <sz val="18"/>
      <color theme="1"/>
      <name val="ＭＳ Ｐゴシック"/>
      <family val="2"/>
      <charset val="128"/>
      <scheme val="minor"/>
    </font>
    <font>
      <sz val="11"/>
      <name val="ＭＳ Ｐゴシック"/>
      <family val="2"/>
      <charset val="128"/>
      <scheme val="minor"/>
    </font>
    <font>
      <sz val="12"/>
      <color theme="1"/>
      <name val="ＭＳ Ｐゴシック"/>
      <family val="2"/>
      <charset val="128"/>
      <scheme val="minor"/>
    </font>
    <font>
      <b/>
      <sz val="18"/>
      <color theme="1"/>
      <name val="ＭＳ Ｐゴシック"/>
      <family val="3"/>
      <charset val="128"/>
      <scheme val="minor"/>
    </font>
    <font>
      <sz val="12"/>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font>
    <font>
      <sz val="11"/>
      <color indexed="8"/>
      <name val="ＭＳ Ｐゴシック"/>
      <family val="3"/>
      <charset val="128"/>
    </font>
    <font>
      <sz val="11"/>
      <color indexed="8"/>
      <name val="ＭＳ Ｐゴシック"/>
      <family val="2"/>
      <charset val="128"/>
    </font>
    <font>
      <i/>
      <sz val="11"/>
      <color theme="1"/>
      <name val="ＭＳ Ｐゴシック"/>
      <family val="3"/>
      <charset val="128"/>
      <scheme val="minor"/>
    </font>
    <font>
      <sz val="6"/>
      <name val="ＭＳ Ｐゴシック"/>
      <family val="3"/>
      <charset val="128"/>
    </font>
    <font>
      <sz val="9"/>
      <color theme="1"/>
      <name val="ＭＳ Ｐゴシック"/>
      <family val="3"/>
      <charset val="128"/>
      <scheme val="minor"/>
    </font>
    <font>
      <sz val="12"/>
      <name val="ＭＳ Ｐゴシック"/>
      <family val="3"/>
      <charset val="128"/>
      <scheme val="minor"/>
    </font>
    <font>
      <sz val="16"/>
      <name val="ＭＳ Ｐゴシック"/>
      <family val="2"/>
      <charset val="128"/>
      <scheme val="minor"/>
    </font>
    <font>
      <sz val="14"/>
      <name val="ＭＳ Ｐゴシック"/>
      <family val="2"/>
      <charset val="128"/>
      <scheme val="minor"/>
    </font>
    <font>
      <b/>
      <sz val="16"/>
      <color theme="1"/>
      <name val="ＭＳ Ｐゴシック"/>
      <family val="3"/>
      <charset val="128"/>
      <scheme val="minor"/>
    </font>
    <font>
      <b/>
      <u/>
      <sz val="11"/>
      <color rgb="FFFF0000"/>
      <name val="ＭＳ Ｐゴシック"/>
      <family val="3"/>
      <charset val="128"/>
      <scheme val="minor"/>
    </font>
    <font>
      <sz val="9"/>
      <color theme="1"/>
      <name val="ＭＳ Ｐゴシック"/>
      <family val="2"/>
      <charset val="128"/>
      <scheme val="minor"/>
    </font>
    <font>
      <b/>
      <sz val="11"/>
      <color rgb="FFFF0000"/>
      <name val="ＭＳ Ｐゴシック"/>
      <family val="3"/>
      <charset val="128"/>
      <scheme val="minor"/>
    </font>
    <font>
      <sz val="16"/>
      <name val="ＭＳ Ｐゴシック"/>
      <family val="3"/>
      <charset val="128"/>
      <scheme val="minor"/>
    </font>
    <font>
      <sz val="12"/>
      <name val="ＭＳ Ｐゴシック"/>
      <family val="2"/>
      <charset val="128"/>
      <scheme val="minor"/>
    </font>
    <font>
      <sz val="16"/>
      <color indexed="81"/>
      <name val="MS P ゴシック"/>
      <family val="3"/>
      <charset val="128"/>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theme="0"/>
        <bgColor indexed="64"/>
      </patternFill>
    </fill>
    <fill>
      <patternFill patternType="solid">
        <fgColor rgb="FFFFFF00"/>
        <bgColor indexed="64"/>
      </patternFill>
    </fill>
    <fill>
      <patternFill patternType="solid">
        <fgColor rgb="FFD2F8FE"/>
        <bgColor indexed="64"/>
      </patternFill>
    </fill>
    <fill>
      <patternFill patternType="solid">
        <fgColor rgb="FFCCFFFF"/>
        <bgColor indexed="64"/>
      </patternFill>
    </fill>
    <fill>
      <patternFill patternType="solid">
        <fgColor rgb="FF8EECFC"/>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style="thin">
        <color indexed="64"/>
      </left>
      <right style="thin">
        <color indexed="64"/>
      </right>
      <top/>
      <bottom/>
      <diagonal/>
    </border>
    <border>
      <left/>
      <right style="thin">
        <color indexed="64"/>
      </right>
      <top style="thin">
        <color rgb="FFCCFFFF"/>
      </top>
      <bottom/>
      <diagonal/>
    </border>
    <border>
      <left/>
      <right style="thin">
        <color theme="0"/>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20">
    <xf numFmtId="0" fontId="0" fillId="0" borderId="0">
      <alignment vertical="center"/>
    </xf>
    <xf numFmtId="0" fontId="2" fillId="0" borderId="0"/>
    <xf numFmtId="9" fontId="2" fillId="0" borderId="0" applyFont="0" applyFill="0" applyBorder="0" applyAlignment="0" applyProtection="0">
      <alignment vertical="center"/>
    </xf>
    <xf numFmtId="0" fontId="6" fillId="0" borderId="0"/>
    <xf numFmtId="38" fontId="6" fillId="0" borderId="0" applyFont="0" applyFill="0" applyBorder="0" applyAlignment="0" applyProtection="0"/>
    <xf numFmtId="0" fontId="7" fillId="0" borderId="0" applyNumberFormat="0" applyFill="0" applyBorder="0" applyAlignment="0" applyProtection="0">
      <alignment vertical="top"/>
      <protection locked="0"/>
    </xf>
    <xf numFmtId="0" fontId="8" fillId="2" borderId="0" applyNumberFormat="0" applyBorder="0" applyAlignment="0" applyProtection="0">
      <alignment vertical="center"/>
    </xf>
    <xf numFmtId="0" fontId="9" fillId="3" borderId="0" applyNumberFormat="0" applyBorder="0" applyAlignment="0" applyProtection="0">
      <alignment vertical="center"/>
    </xf>
    <xf numFmtId="0" fontId="1" fillId="0" borderId="0">
      <alignment vertical="center"/>
    </xf>
    <xf numFmtId="0" fontId="6" fillId="0" borderId="0">
      <alignment vertical="center"/>
    </xf>
    <xf numFmtId="0" fontId="27" fillId="0" borderId="0">
      <alignment vertical="center"/>
    </xf>
    <xf numFmtId="0" fontId="28" fillId="0" borderId="0">
      <alignment vertical="center"/>
    </xf>
    <xf numFmtId="0" fontId="1" fillId="0" borderId="0">
      <alignment vertical="center"/>
    </xf>
    <xf numFmtId="0" fontId="1" fillId="0" borderId="0">
      <alignment vertical="center"/>
    </xf>
    <xf numFmtId="0" fontId="29" fillId="0" borderId="0">
      <alignment vertical="center"/>
    </xf>
    <xf numFmtId="0" fontId="29" fillId="0" borderId="0">
      <alignment vertical="center"/>
    </xf>
    <xf numFmtId="9" fontId="1" fillId="0" borderId="0" applyFont="0" applyFill="0" applyBorder="0" applyAlignment="0" applyProtection="0">
      <alignment vertical="center"/>
    </xf>
    <xf numFmtId="0" fontId="2" fillId="0" borderId="0"/>
    <xf numFmtId="38" fontId="6" fillId="0" borderId="0" applyFont="0" applyFill="0" applyBorder="0" applyAlignment="0" applyProtection="0">
      <alignment vertical="center"/>
    </xf>
    <xf numFmtId="0" fontId="6" fillId="0" borderId="0">
      <alignment vertical="center"/>
    </xf>
  </cellStyleXfs>
  <cellXfs count="600">
    <xf numFmtId="0" fontId="0" fillId="0" borderId="0" xfId="0">
      <alignment vertical="center"/>
    </xf>
    <xf numFmtId="0" fontId="0" fillId="0" borderId="0" xfId="0">
      <alignment vertical="center"/>
    </xf>
    <xf numFmtId="0" fontId="0" fillId="0" borderId="0" xfId="0" applyBorder="1">
      <alignment vertical="center"/>
    </xf>
    <xf numFmtId="0" fontId="20" fillId="0" borderId="0" xfId="0" applyFont="1" applyBorder="1" applyAlignment="1">
      <alignment horizontal="center" vertical="center"/>
    </xf>
    <xf numFmtId="0" fontId="4" fillId="0" borderId="0" xfId="0" applyFont="1" applyProtection="1">
      <alignment vertical="center"/>
      <protection locked="0"/>
    </xf>
    <xf numFmtId="0" fontId="0" fillId="6" borderId="4" xfId="0" applyFill="1" applyBorder="1">
      <alignment vertical="center"/>
    </xf>
    <xf numFmtId="0" fontId="0" fillId="6" borderId="7" xfId="0" applyFill="1" applyBorder="1">
      <alignment vertical="center"/>
    </xf>
    <xf numFmtId="0" fontId="0" fillId="0" borderId="0" xfId="0" applyFill="1" applyBorder="1">
      <alignment vertical="center"/>
    </xf>
    <xf numFmtId="0" fontId="0" fillId="0" borderId="0" xfId="0" applyFill="1" applyBorder="1" applyAlignment="1">
      <alignment horizontal="left"/>
    </xf>
    <xf numFmtId="0" fontId="19" fillId="0" borderId="0" xfId="0" applyFont="1" applyFill="1" applyBorder="1" applyAlignment="1">
      <alignment vertical="center"/>
    </xf>
    <xf numFmtId="0" fontId="0" fillId="6" borderId="6" xfId="0" applyFill="1" applyBorder="1">
      <alignment vertical="center"/>
    </xf>
    <xf numFmtId="0" fontId="0" fillId="6" borderId="0" xfId="0" applyFill="1" applyBorder="1">
      <alignment vertical="center"/>
    </xf>
    <xf numFmtId="0" fontId="19" fillId="6" borderId="0" xfId="0" applyFont="1" applyFill="1" applyBorder="1" applyAlignment="1">
      <alignment vertical="center"/>
    </xf>
    <xf numFmtId="0" fontId="0" fillId="6" borderId="2" xfId="0" applyFill="1" applyBorder="1">
      <alignment vertical="center"/>
    </xf>
    <xf numFmtId="0" fontId="0" fillId="6" borderId="9" xfId="0" applyFill="1" applyBorder="1">
      <alignment vertical="center"/>
    </xf>
    <xf numFmtId="0" fontId="24" fillId="6" borderId="9" xfId="0" applyFont="1" applyFill="1" applyBorder="1" applyAlignment="1">
      <alignment vertical="center"/>
    </xf>
    <xf numFmtId="0" fontId="24" fillId="0" borderId="0" xfId="0" applyFont="1" applyFill="1" applyBorder="1" applyAlignment="1">
      <alignment vertical="center"/>
    </xf>
    <xf numFmtId="0" fontId="0" fillId="6" borderId="0" xfId="0" applyFill="1" applyBorder="1" applyAlignment="1">
      <alignment vertical="center"/>
    </xf>
    <xf numFmtId="0" fontId="23" fillId="6" borderId="0" xfId="0" applyFont="1" applyFill="1" applyBorder="1" applyAlignment="1">
      <alignment vertical="center"/>
    </xf>
    <xf numFmtId="0" fontId="0" fillId="0" borderId="0" xfId="0" applyFill="1">
      <alignment vertical="center"/>
    </xf>
    <xf numFmtId="0" fontId="0" fillId="6" borderId="3" xfId="0" applyFill="1" applyBorder="1">
      <alignment vertical="center"/>
    </xf>
    <xf numFmtId="0" fontId="0" fillId="6" borderId="5" xfId="0" applyFill="1" applyBorder="1">
      <alignment vertical="center"/>
    </xf>
    <xf numFmtId="0" fontId="0" fillId="6" borderId="0" xfId="0" applyFill="1" applyBorder="1" applyAlignment="1">
      <alignment horizontal="left"/>
    </xf>
    <xf numFmtId="0" fontId="0" fillId="6" borderId="8" xfId="0" applyFill="1" applyBorder="1">
      <alignment vertical="center"/>
    </xf>
    <xf numFmtId="0" fontId="0" fillId="6" borderId="0" xfId="0" applyFill="1" applyBorder="1" applyAlignment="1">
      <alignment vertical="center" shrinkToFit="1"/>
    </xf>
    <xf numFmtId="0" fontId="24" fillId="6" borderId="0" xfId="0" applyFont="1" applyFill="1" applyBorder="1" applyAlignment="1">
      <alignment vertical="center"/>
    </xf>
    <xf numFmtId="0" fontId="0" fillId="6" borderId="9" xfId="0" applyFill="1" applyBorder="1" applyAlignment="1">
      <alignment vertical="center" shrinkToFit="1"/>
    </xf>
    <xf numFmtId="0" fontId="0" fillId="0" borderId="0" xfId="0" applyAlignment="1">
      <alignment vertical="center" shrinkToFit="1"/>
    </xf>
    <xf numFmtId="0" fontId="10" fillId="6" borderId="7" xfId="0" applyFont="1" applyFill="1" applyBorder="1" applyAlignment="1">
      <alignment vertical="top"/>
    </xf>
    <xf numFmtId="0" fontId="0" fillId="6" borderId="7" xfId="0" applyFont="1" applyFill="1" applyBorder="1" applyAlignment="1">
      <alignment vertical="top"/>
    </xf>
    <xf numFmtId="176" fontId="0" fillId="6" borderId="0" xfId="0" applyNumberFormat="1" applyFill="1" applyBorder="1">
      <alignment vertical="center"/>
    </xf>
    <xf numFmtId="0" fontId="19" fillId="6" borderId="0" xfId="0" applyFont="1" applyFill="1" applyBorder="1">
      <alignment vertical="center"/>
    </xf>
    <xf numFmtId="0" fontId="0" fillId="0" borderId="0" xfId="0" applyAlignment="1">
      <alignment vertical="center"/>
    </xf>
    <xf numFmtId="0" fontId="11" fillId="0" borderId="0" xfId="0" applyFont="1" applyFill="1" applyBorder="1" applyAlignment="1">
      <alignment horizontal="center" vertical="center"/>
    </xf>
    <xf numFmtId="0" fontId="11" fillId="0" borderId="0" xfId="0" applyFont="1" applyBorder="1" applyAlignment="1">
      <alignment horizontal="center" vertical="center"/>
    </xf>
    <xf numFmtId="0" fontId="10" fillId="0" borderId="0" xfId="0" applyFont="1" applyBorder="1" applyAlignment="1">
      <alignment horizontal="center" vertical="center"/>
    </xf>
    <xf numFmtId="0" fontId="21" fillId="0" borderId="0" xfId="0" applyFont="1" applyBorder="1" applyAlignment="1">
      <alignment horizontal="center" vertical="center"/>
    </xf>
    <xf numFmtId="0" fontId="30" fillId="6" borderId="0" xfId="0" applyFont="1" applyFill="1" applyBorder="1" applyAlignment="1">
      <alignment vertical="center"/>
    </xf>
    <xf numFmtId="0" fontId="0" fillId="6" borderId="18" xfId="0" applyFill="1" applyBorder="1">
      <alignment vertical="center"/>
    </xf>
    <xf numFmtId="0" fontId="0" fillId="6" borderId="7" xfId="0" applyFill="1" applyBorder="1" applyAlignment="1">
      <alignment vertical="center"/>
    </xf>
    <xf numFmtId="0" fontId="21" fillId="0" borderId="0" xfId="0" applyFont="1" applyBorder="1" applyAlignment="1">
      <alignment vertical="center"/>
    </xf>
    <xf numFmtId="176" fontId="16" fillId="0" borderId="0" xfId="0" applyNumberFormat="1" applyFont="1" applyFill="1" applyBorder="1" applyAlignment="1">
      <alignment vertical="center"/>
    </xf>
    <xf numFmtId="0" fontId="19" fillId="6" borderId="0" xfId="0" applyFont="1" applyFill="1" applyBorder="1" applyAlignment="1"/>
    <xf numFmtId="0" fontId="18" fillId="6" borderId="0" xfId="0" applyFont="1" applyFill="1" applyBorder="1" applyAlignment="1"/>
    <xf numFmtId="0" fontId="18" fillId="6" borderId="7" xfId="0" applyFont="1" applyFill="1" applyBorder="1" applyAlignment="1"/>
    <xf numFmtId="0" fontId="19" fillId="6" borderId="5" xfId="0" applyFont="1" applyFill="1" applyBorder="1">
      <alignment vertical="center"/>
    </xf>
    <xf numFmtId="0" fontId="23" fillId="6" borderId="0" xfId="0" applyFont="1" applyFill="1" applyBorder="1">
      <alignment vertical="center"/>
    </xf>
    <xf numFmtId="176" fontId="0" fillId="6" borderId="5" xfId="0" applyNumberFormat="1" applyFill="1" applyBorder="1">
      <alignment vertical="center"/>
    </xf>
    <xf numFmtId="0" fontId="0" fillId="6" borderId="29" xfId="0" applyFill="1" applyBorder="1">
      <alignment vertical="center"/>
    </xf>
    <xf numFmtId="0" fontId="0" fillId="6" borderId="8" xfId="0" applyFill="1" applyBorder="1" applyAlignment="1">
      <alignment vertical="center"/>
    </xf>
    <xf numFmtId="0" fontId="0" fillId="6" borderId="9" xfId="0" applyFill="1" applyBorder="1" applyAlignment="1">
      <alignment vertical="center"/>
    </xf>
    <xf numFmtId="0" fontId="0" fillId="6" borderId="5" xfId="0" applyFill="1" applyBorder="1" applyAlignment="1">
      <alignment vertical="center"/>
    </xf>
    <xf numFmtId="0" fontId="0" fillId="6" borderId="0" xfId="0" applyFont="1" applyFill="1" applyBorder="1" applyAlignment="1">
      <alignment vertical="top"/>
    </xf>
    <xf numFmtId="0" fontId="10" fillId="6" borderId="0" xfId="0" applyFont="1" applyFill="1" applyBorder="1" applyAlignment="1">
      <alignment vertical="top"/>
    </xf>
    <xf numFmtId="0" fontId="0" fillId="6" borderId="3" xfId="0" applyFill="1" applyBorder="1" applyAlignment="1">
      <alignment vertical="center"/>
    </xf>
    <xf numFmtId="0" fontId="0" fillId="0" borderId="0" xfId="0" applyBorder="1" applyAlignment="1">
      <alignment vertical="center" shrinkToFit="1"/>
    </xf>
    <xf numFmtId="0" fontId="0" fillId="0" borderId="19" xfId="0" applyBorder="1">
      <alignment vertical="center"/>
    </xf>
    <xf numFmtId="0" fontId="23" fillId="6" borderId="29" xfId="0" applyFont="1" applyFill="1" applyBorder="1">
      <alignment vertical="center"/>
    </xf>
    <xf numFmtId="0" fontId="0" fillId="6" borderId="0" xfId="0" applyNumberFormat="1" applyFill="1" applyBorder="1">
      <alignment vertical="center"/>
    </xf>
    <xf numFmtId="0" fontId="23" fillId="6" borderId="9" xfId="0" applyFont="1" applyFill="1" applyBorder="1" applyAlignment="1">
      <alignment vertical="center"/>
    </xf>
    <xf numFmtId="0" fontId="19" fillId="6" borderId="7" xfId="0" applyFont="1" applyFill="1" applyBorder="1" applyAlignment="1">
      <alignment vertical="center"/>
    </xf>
    <xf numFmtId="0" fontId="0" fillId="6" borderId="7" xfId="0" applyFill="1" applyBorder="1" applyAlignment="1">
      <alignment horizontal="left"/>
    </xf>
    <xf numFmtId="0" fontId="4" fillId="0" borderId="0" xfId="0" applyFont="1" applyFill="1" applyProtection="1">
      <alignment vertical="center"/>
      <protection locked="0"/>
    </xf>
    <xf numFmtId="176" fontId="4" fillId="0" borderId="0" xfId="0" applyNumberFormat="1" applyFont="1" applyFill="1" applyProtection="1">
      <alignment vertical="center"/>
      <protection locked="0"/>
    </xf>
    <xf numFmtId="10" fontId="4" fillId="0" borderId="0" xfId="0" applyNumberFormat="1" applyFont="1" applyFill="1" applyProtection="1">
      <alignment vertical="center"/>
      <protection locked="0"/>
    </xf>
    <xf numFmtId="0" fontId="4" fillId="0" borderId="0" xfId="0" applyNumberFormat="1" applyFont="1" applyProtection="1">
      <alignmen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right" vertical="center"/>
      <protection locked="0"/>
    </xf>
    <xf numFmtId="0" fontId="4" fillId="0" borderId="0" xfId="0" applyFont="1" applyFill="1" applyAlignment="1" applyProtection="1">
      <alignment vertical="center" wrapText="1"/>
      <protection locked="0"/>
    </xf>
    <xf numFmtId="0" fontId="0" fillId="0" borderId="0" xfId="0" applyFill="1" applyBorder="1" applyAlignment="1">
      <alignment vertical="center"/>
    </xf>
    <xf numFmtId="0" fontId="23" fillId="0" borderId="0" xfId="0" applyFont="1" applyFill="1" applyBorder="1" applyAlignment="1">
      <alignment horizontal="left" vertical="top"/>
    </xf>
    <xf numFmtId="0" fontId="0" fillId="0" borderId="0" xfId="0" applyFont="1" applyFill="1" applyBorder="1" applyAlignment="1">
      <alignment vertical="top"/>
    </xf>
    <xf numFmtId="0" fontId="10" fillId="0" borderId="0" xfId="0" applyFont="1" applyFill="1" applyBorder="1" applyAlignment="1">
      <alignment vertical="top"/>
    </xf>
    <xf numFmtId="0" fontId="16" fillId="6" borderId="0" xfId="0" applyFont="1" applyFill="1" applyBorder="1" applyAlignment="1">
      <alignment vertical="center"/>
    </xf>
    <xf numFmtId="0" fontId="0" fillId="0" borderId="9" xfId="0" applyBorder="1">
      <alignment vertical="center"/>
    </xf>
    <xf numFmtId="49" fontId="21" fillId="0" borderId="0" xfId="0" applyNumberFormat="1" applyFont="1" applyFill="1" applyBorder="1" applyAlignment="1" applyProtection="1">
      <alignment horizontal="center" vertical="center"/>
      <protection locked="0"/>
    </xf>
    <xf numFmtId="0" fontId="21" fillId="0" borderId="0" xfId="0" applyFont="1" applyFill="1" applyBorder="1" applyAlignment="1">
      <alignment horizontal="center" vertical="center"/>
    </xf>
    <xf numFmtId="0" fontId="26" fillId="7" borderId="0" xfId="0" applyFont="1" applyFill="1" applyBorder="1" applyAlignment="1">
      <alignment wrapText="1"/>
    </xf>
    <xf numFmtId="0" fontId="25" fillId="6" borderId="7" xfId="0" applyFont="1" applyFill="1" applyBorder="1" applyAlignment="1"/>
    <xf numFmtId="0" fontId="23" fillId="6" borderId="7" xfId="0" applyFont="1" applyFill="1" applyBorder="1" applyAlignment="1"/>
    <xf numFmtId="0" fontId="15" fillId="5" borderId="31" xfId="0" applyFont="1" applyFill="1" applyBorder="1" applyAlignment="1" applyProtection="1">
      <alignment horizontal="center" vertical="center"/>
      <protection locked="0"/>
    </xf>
    <xf numFmtId="0" fontId="36"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23" xfId="0" applyFont="1" applyBorder="1" applyAlignment="1" applyProtection="1">
      <alignment vertical="center" textRotation="255"/>
      <protection locked="0"/>
    </xf>
    <xf numFmtId="0" fontId="15" fillId="4" borderId="23" xfId="0" applyFont="1" applyFill="1" applyBorder="1" applyAlignment="1" applyProtection="1">
      <alignment vertical="center" textRotation="255" wrapText="1"/>
      <protection locked="0"/>
    </xf>
    <xf numFmtId="0" fontId="15" fillId="5" borderId="30" xfId="0" applyFont="1" applyFill="1" applyBorder="1" applyAlignment="1" applyProtection="1">
      <alignment vertical="center"/>
      <protection locked="0"/>
    </xf>
    <xf numFmtId="0" fontId="15" fillId="5" borderId="34" xfId="0" applyFont="1" applyFill="1" applyBorder="1" applyAlignment="1" applyProtection="1">
      <alignment vertical="center" textRotation="255"/>
      <protection locked="0"/>
    </xf>
    <xf numFmtId="0" fontId="4" fillId="6" borderId="9" xfId="0" applyFont="1" applyFill="1" applyBorder="1" applyAlignment="1">
      <alignment vertical="center"/>
    </xf>
    <xf numFmtId="0" fontId="15" fillId="5" borderId="1" xfId="0" applyFont="1" applyFill="1" applyBorder="1" applyAlignment="1" applyProtection="1">
      <alignment horizontal="center" vertical="center"/>
      <protection locked="0"/>
    </xf>
    <xf numFmtId="0" fontId="15" fillId="5" borderId="28" xfId="0" applyFont="1" applyFill="1" applyBorder="1" applyAlignment="1" applyProtection="1">
      <alignment horizontal="center" vertical="center" textRotation="255"/>
      <protection locked="0"/>
    </xf>
    <xf numFmtId="0" fontId="15" fillId="5" borderId="46" xfId="0" applyFont="1" applyFill="1" applyBorder="1" applyAlignment="1" applyProtection="1">
      <alignment vertical="center"/>
      <protection locked="0"/>
    </xf>
    <xf numFmtId="0" fontId="4" fillId="4" borderId="0" xfId="0" applyFont="1" applyFill="1" applyProtection="1">
      <alignment vertical="center"/>
      <protection locked="0"/>
    </xf>
    <xf numFmtId="0" fontId="41" fillId="6" borderId="7" xfId="0" applyFont="1" applyFill="1" applyBorder="1" applyAlignment="1">
      <alignment vertical="center"/>
    </xf>
    <xf numFmtId="0" fontId="14" fillId="0" borderId="0" xfId="0" applyFont="1" applyAlignment="1" applyProtection="1">
      <alignment horizontal="center" vertical="center"/>
      <protection locked="0"/>
    </xf>
    <xf numFmtId="0" fontId="14" fillId="0" borderId="0" xfId="0" applyFont="1" applyProtection="1">
      <alignment vertical="center"/>
      <protection locked="0"/>
    </xf>
    <xf numFmtId="0" fontId="14" fillId="0" borderId="0" xfId="0" applyFont="1" applyFill="1" applyProtection="1">
      <alignment vertical="center"/>
      <protection locked="0"/>
    </xf>
    <xf numFmtId="0" fontId="14" fillId="0" borderId="0" xfId="0" applyFont="1" applyAlignment="1" applyProtection="1">
      <alignment vertical="center" wrapText="1"/>
      <protection locked="0"/>
    </xf>
    <xf numFmtId="0" fontId="14" fillId="0" borderId="0" xfId="0" applyFont="1" applyFill="1" applyAlignment="1" applyProtection="1">
      <alignment vertical="center" wrapText="1"/>
      <protection locked="0"/>
    </xf>
    <xf numFmtId="176" fontId="14" fillId="0" borderId="0" xfId="0" applyNumberFormat="1" applyFont="1" applyFill="1" applyProtection="1">
      <alignment vertical="center"/>
      <protection locked="0"/>
    </xf>
    <xf numFmtId="10" fontId="14" fillId="0" borderId="0" xfId="0" applyNumberFormat="1" applyFont="1" applyFill="1" applyProtection="1">
      <alignment vertical="center"/>
      <protection locked="0"/>
    </xf>
    <xf numFmtId="0" fontId="14" fillId="0" borderId="0" xfId="0" applyFont="1" applyAlignment="1" applyProtection="1">
      <alignment horizontal="right" vertical="center"/>
      <protection locked="0"/>
    </xf>
    <xf numFmtId="0" fontId="14" fillId="0" borderId="0" xfId="0" applyNumberFormat="1" applyFont="1" applyProtection="1">
      <alignment vertical="center"/>
      <protection locked="0"/>
    </xf>
    <xf numFmtId="0" fontId="15" fillId="0" borderId="28" xfId="0" applyFont="1" applyFill="1" applyBorder="1" applyAlignment="1" applyProtection="1">
      <alignment horizontal="center" vertical="center"/>
      <protection locked="0"/>
    </xf>
    <xf numFmtId="49" fontId="15" fillId="0" borderId="33" xfId="0" applyNumberFormat="1" applyFont="1" applyFill="1" applyBorder="1" applyAlignment="1" applyProtection="1">
      <alignment horizontal="center" vertical="center"/>
      <protection locked="0"/>
    </xf>
    <xf numFmtId="49" fontId="15" fillId="0" borderId="45" xfId="0" applyNumberFormat="1" applyFont="1" applyFill="1" applyBorder="1" applyAlignment="1" applyProtection="1">
      <alignment horizontal="center" vertical="center"/>
      <protection locked="0"/>
    </xf>
    <xf numFmtId="176" fontId="15" fillId="0" borderId="28" xfId="0" applyNumberFormat="1" applyFont="1" applyFill="1" applyBorder="1" applyAlignment="1" applyProtection="1">
      <alignment horizontal="right" vertical="center"/>
    </xf>
    <xf numFmtId="0" fontId="33" fillId="0" borderId="1" xfId="0" applyNumberFormat="1" applyFont="1" applyFill="1" applyBorder="1" applyAlignment="1" applyProtection="1">
      <alignment horizontal="center" vertical="center" wrapText="1"/>
    </xf>
    <xf numFmtId="0" fontId="4" fillId="4" borderId="0" xfId="0" applyFont="1" applyFill="1" applyBorder="1" applyProtection="1">
      <alignment vertical="center"/>
      <protection locked="0"/>
    </xf>
    <xf numFmtId="0" fontId="4" fillId="0" borderId="1" xfId="0" applyFont="1" applyFill="1" applyBorder="1" applyAlignment="1" applyProtection="1">
      <alignment horizontal="center" vertical="center" wrapText="1"/>
      <protection locked="0"/>
    </xf>
    <xf numFmtId="179" fontId="19" fillId="4" borderId="0" xfId="0" applyNumberFormat="1" applyFont="1" applyFill="1" applyBorder="1" applyAlignment="1">
      <alignment vertical="center"/>
    </xf>
    <xf numFmtId="0" fontId="4" fillId="6" borderId="0" xfId="0" applyFont="1" applyFill="1" applyBorder="1" applyAlignment="1">
      <alignment vertical="center"/>
    </xf>
    <xf numFmtId="0" fontId="34" fillId="6" borderId="0" xfId="0" applyFont="1" applyFill="1" applyBorder="1" applyAlignment="1">
      <alignment vertical="center"/>
    </xf>
    <xf numFmtId="176" fontId="35" fillId="6" borderId="0" xfId="0" applyNumberFormat="1" applyFont="1" applyFill="1" applyBorder="1" applyAlignment="1">
      <alignment vertical="center"/>
    </xf>
    <xf numFmtId="0" fontId="23" fillId="0" borderId="0" xfId="0" applyFont="1" applyFill="1" applyBorder="1" applyAlignment="1">
      <alignment vertical="center"/>
    </xf>
    <xf numFmtId="0" fontId="19" fillId="0" borderId="0" xfId="0" applyFont="1" applyFill="1" applyBorder="1" applyAlignment="1"/>
    <xf numFmtId="0" fontId="19" fillId="0" borderId="0" xfId="0" applyFont="1" applyFill="1" applyBorder="1" applyAlignment="1">
      <alignment horizontal="left"/>
    </xf>
    <xf numFmtId="0" fontId="18" fillId="0" borderId="0" xfId="0" applyFont="1" applyFill="1" applyBorder="1" applyAlignment="1">
      <alignment horizontal="left"/>
    </xf>
    <xf numFmtId="0" fontId="0" fillId="0" borderId="0" xfId="0" applyFont="1" applyFill="1" applyBorder="1" applyAlignment="1">
      <alignment vertical="center" wrapText="1"/>
    </xf>
    <xf numFmtId="179" fontId="19" fillId="6" borderId="0" xfId="0" applyNumberFormat="1" applyFont="1" applyFill="1" applyBorder="1" applyAlignment="1">
      <alignment vertical="center"/>
    </xf>
    <xf numFmtId="179" fontId="19" fillId="6" borderId="7" xfId="0" applyNumberFormat="1" applyFont="1" applyFill="1" applyBorder="1" applyAlignment="1">
      <alignment vertical="center"/>
    </xf>
    <xf numFmtId="0" fontId="41" fillId="6" borderId="0" xfId="0" applyFont="1" applyFill="1" applyBorder="1" applyAlignment="1">
      <alignment vertical="center"/>
    </xf>
    <xf numFmtId="0" fontId="40" fillId="6" borderId="0" xfId="0" applyFont="1" applyFill="1" applyBorder="1" applyAlignment="1">
      <alignment vertical="center"/>
    </xf>
    <xf numFmtId="0" fontId="19" fillId="4" borderId="0" xfId="0" applyFont="1" applyFill="1" applyBorder="1" applyAlignment="1">
      <alignment vertical="center" shrinkToFit="1"/>
    </xf>
    <xf numFmtId="0" fontId="19" fillId="4" borderId="0" xfId="0" applyNumberFormat="1" applyFont="1" applyFill="1" applyBorder="1" applyAlignment="1">
      <alignment vertical="center"/>
    </xf>
    <xf numFmtId="0" fontId="19" fillId="6" borderId="0" xfId="0" applyFont="1" applyFill="1" applyBorder="1" applyAlignment="1">
      <alignment vertical="center" shrinkToFit="1"/>
    </xf>
    <xf numFmtId="0" fontId="4" fillId="0" borderId="0" xfId="0" applyNumberFormat="1" applyFont="1" applyFill="1" applyProtection="1">
      <alignment vertical="center"/>
      <protection locked="0"/>
    </xf>
    <xf numFmtId="0" fontId="15" fillId="0" borderId="31"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xf>
    <xf numFmtId="0" fontId="15" fillId="0" borderId="32" xfId="0" applyFont="1" applyFill="1" applyBorder="1" applyAlignment="1" applyProtection="1">
      <alignment horizontal="center" vertical="center" wrapText="1"/>
      <protection locked="0"/>
    </xf>
    <xf numFmtId="0" fontId="15" fillId="0" borderId="31" xfId="0" applyFont="1" applyFill="1" applyBorder="1" applyAlignment="1" applyProtection="1">
      <alignment horizontal="center" vertical="center"/>
    </xf>
    <xf numFmtId="0" fontId="25"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center" vertical="center" wrapText="1"/>
      <protection locked="0"/>
    </xf>
    <xf numFmtId="178" fontId="4" fillId="0" borderId="28" xfId="0" applyNumberFormat="1" applyFont="1" applyFill="1" applyBorder="1" applyAlignment="1" applyProtection="1">
      <alignment horizontal="right" vertical="center"/>
      <protection locked="0"/>
    </xf>
    <xf numFmtId="0" fontId="4" fillId="0" borderId="28" xfId="0" applyFont="1" applyFill="1" applyBorder="1" applyAlignment="1" applyProtection="1">
      <alignment horizontal="left" vertical="center" wrapText="1"/>
      <protection locked="0"/>
    </xf>
    <xf numFmtId="0" fontId="15" fillId="0" borderId="28" xfId="0" applyFont="1" applyFill="1" applyBorder="1" applyAlignment="1" applyProtection="1">
      <alignment horizontal="center" vertical="center"/>
    </xf>
    <xf numFmtId="0" fontId="4" fillId="0" borderId="28" xfId="0" applyNumberFormat="1" applyFont="1" applyFill="1" applyBorder="1" applyAlignment="1" applyProtection="1">
      <alignment horizontal="center" vertical="center"/>
      <protection locked="0"/>
    </xf>
    <xf numFmtId="0" fontId="4" fillId="0" borderId="28" xfId="0" applyNumberFormat="1" applyFont="1" applyFill="1" applyBorder="1" applyAlignment="1" applyProtection="1">
      <alignment horizontal="center" vertical="center" wrapText="1"/>
      <protection locked="0"/>
    </xf>
    <xf numFmtId="0" fontId="4" fillId="0" borderId="32" xfId="0" applyNumberFormat="1" applyFont="1" applyFill="1" applyBorder="1" applyAlignment="1" applyProtection="1">
      <alignment horizontal="center" vertical="center"/>
      <protection locked="0"/>
    </xf>
    <xf numFmtId="0" fontId="4" fillId="0" borderId="32" xfId="0" applyFont="1" applyFill="1" applyBorder="1" applyAlignment="1" applyProtection="1">
      <alignment horizontal="left" vertical="center" wrapText="1"/>
      <protection locked="0"/>
    </xf>
    <xf numFmtId="0" fontId="25" fillId="0" borderId="1" xfId="0" applyNumberFormat="1" applyFont="1" applyFill="1" applyBorder="1" applyAlignment="1" applyProtection="1">
      <alignment horizontal="center" vertical="center"/>
      <protection locked="0"/>
    </xf>
    <xf numFmtId="0" fontId="25" fillId="0" borderId="1" xfId="0" applyNumberFormat="1" applyFont="1" applyFill="1" applyBorder="1" applyAlignment="1" applyProtection="1">
      <alignment horizontal="center" vertical="center" wrapText="1"/>
      <protection locked="0"/>
    </xf>
    <xf numFmtId="0" fontId="4" fillId="0" borderId="1" xfId="0" applyNumberFormat="1" applyFont="1" applyFill="1" applyBorder="1" applyAlignment="1" applyProtection="1">
      <alignment horizontal="center" vertical="center"/>
      <protection locked="0"/>
    </xf>
    <xf numFmtId="0" fontId="4" fillId="0" borderId="1" xfId="0" applyFont="1" applyFill="1" applyBorder="1" applyAlignment="1" applyProtection="1">
      <alignment horizontal="left" vertical="center" wrapText="1"/>
      <protection locked="0"/>
    </xf>
    <xf numFmtId="0" fontId="4" fillId="0" borderId="1" xfId="0" applyNumberFormat="1" applyFont="1" applyFill="1" applyBorder="1" applyAlignment="1" applyProtection="1">
      <alignment horizontal="center" vertical="center" wrapText="1"/>
      <protection locked="0"/>
    </xf>
    <xf numFmtId="178" fontId="4" fillId="0" borderId="32" xfId="0" applyNumberFormat="1" applyFont="1" applyFill="1" applyBorder="1" applyAlignment="1" applyProtection="1">
      <alignment horizontal="right" vertical="center"/>
      <protection locked="0"/>
    </xf>
    <xf numFmtId="178" fontId="4" fillId="0" borderId="1" xfId="0" applyNumberFormat="1" applyFont="1" applyFill="1" applyBorder="1" applyAlignment="1" applyProtection="1">
      <alignment horizontal="right" vertical="center"/>
      <protection locked="0"/>
    </xf>
    <xf numFmtId="0" fontId="4" fillId="0" borderId="28" xfId="0" applyFont="1" applyFill="1" applyBorder="1" applyAlignment="1" applyProtection="1">
      <alignment horizontal="right" vertical="center"/>
      <protection locked="0"/>
    </xf>
    <xf numFmtId="0" fontId="4" fillId="0" borderId="32" xfId="0" applyFont="1" applyFill="1" applyBorder="1" applyAlignment="1" applyProtection="1">
      <alignment horizontal="right" vertical="center"/>
      <protection locked="0"/>
    </xf>
    <xf numFmtId="0" fontId="4" fillId="0" borderId="1" xfId="0" applyFont="1" applyFill="1" applyBorder="1" applyAlignment="1" applyProtection="1">
      <alignment horizontal="right" vertical="center"/>
      <protection locked="0"/>
    </xf>
    <xf numFmtId="0" fontId="4" fillId="0" borderId="28" xfId="0" applyNumberFormat="1" applyFont="1" applyFill="1" applyBorder="1" applyAlignment="1" applyProtection="1">
      <alignment horizontal="left" vertical="center" wrapText="1"/>
      <protection locked="0"/>
    </xf>
    <xf numFmtId="0" fontId="4" fillId="0" borderId="28" xfId="0" applyNumberFormat="1" applyFont="1" applyFill="1" applyBorder="1" applyAlignment="1" applyProtection="1">
      <alignment vertical="center" wrapText="1"/>
      <protection locked="0"/>
    </xf>
    <xf numFmtId="0" fontId="4" fillId="0" borderId="32" xfId="0" applyNumberFormat="1" applyFont="1" applyFill="1" applyBorder="1" applyAlignment="1" applyProtection="1">
      <alignment horizontal="left" vertical="center" wrapText="1"/>
      <protection locked="0"/>
    </xf>
    <xf numFmtId="178" fontId="4" fillId="0" borderId="28" xfId="0" applyNumberFormat="1" applyFont="1" applyFill="1" applyBorder="1" applyAlignment="1" applyProtection="1">
      <alignment horizontal="right" vertical="center" wrapText="1"/>
      <protection locked="0"/>
    </xf>
    <xf numFmtId="0" fontId="4" fillId="0" borderId="28" xfId="0" applyFont="1" applyFill="1" applyBorder="1" applyAlignment="1" applyProtection="1">
      <alignment horizontal="right" vertical="center" wrapText="1"/>
      <protection locked="0"/>
    </xf>
    <xf numFmtId="0" fontId="12" fillId="0" borderId="28" xfId="0" applyFont="1" applyFill="1" applyBorder="1" applyAlignment="1" applyProtection="1">
      <alignment horizontal="left" vertical="center" wrapText="1"/>
      <protection locked="0"/>
    </xf>
    <xf numFmtId="0" fontId="4" fillId="0" borderId="1" xfId="0" applyFont="1" applyFill="1" applyBorder="1" applyAlignment="1">
      <alignment vertical="center" wrapText="1"/>
    </xf>
    <xf numFmtId="0" fontId="4" fillId="0" borderId="1" xfId="0" applyNumberFormat="1" applyFont="1" applyFill="1" applyBorder="1" applyAlignment="1">
      <alignment vertical="center" wrapText="1"/>
    </xf>
    <xf numFmtId="0" fontId="4" fillId="0" borderId="28" xfId="0" applyFont="1" applyFill="1" applyBorder="1" applyAlignment="1" applyProtection="1">
      <alignment horizontal="center" vertical="center" wrapText="1"/>
      <protection locked="0"/>
    </xf>
    <xf numFmtId="0" fontId="4" fillId="0" borderId="32" xfId="0" applyFont="1" applyFill="1" applyBorder="1" applyAlignment="1" applyProtection="1">
      <alignment horizontal="center" vertical="center" wrapText="1"/>
      <protection locked="0"/>
    </xf>
    <xf numFmtId="0" fontId="25" fillId="0" borderId="1" xfId="0" applyFont="1" applyFill="1" applyBorder="1" applyAlignment="1" applyProtection="1">
      <alignment horizontal="center" vertical="center" wrapText="1"/>
      <protection locked="0"/>
    </xf>
    <xf numFmtId="0" fontId="15" fillId="0" borderId="28" xfId="0" applyNumberFormat="1" applyFont="1" applyFill="1" applyBorder="1" applyAlignment="1" applyProtection="1">
      <alignment horizontal="center" vertical="center" wrapText="1"/>
    </xf>
    <xf numFmtId="0" fontId="15" fillId="0" borderId="28" xfId="0" applyNumberFormat="1" applyFont="1" applyFill="1" applyBorder="1" applyAlignment="1" applyProtection="1">
      <alignment horizontal="center" vertical="center" wrapText="1"/>
      <protection locked="0"/>
    </xf>
    <xf numFmtId="0" fontId="15" fillId="0" borderId="32" xfId="0" applyNumberFormat="1" applyFont="1" applyFill="1" applyBorder="1" applyAlignment="1" applyProtection="1">
      <alignment horizontal="center" vertical="center" wrapText="1"/>
    </xf>
    <xf numFmtId="0" fontId="15" fillId="0" borderId="1" xfId="0" applyNumberFormat="1" applyFont="1" applyFill="1" applyBorder="1" applyAlignment="1" applyProtection="1">
      <alignment horizontal="center" vertical="center" wrapText="1"/>
    </xf>
    <xf numFmtId="0" fontId="19" fillId="6" borderId="5" xfId="0" applyNumberFormat="1" applyFont="1" applyFill="1" applyBorder="1" applyAlignment="1">
      <alignment vertical="center"/>
    </xf>
    <xf numFmtId="0" fontId="19" fillId="6" borderId="0" xfId="0" applyNumberFormat="1" applyFont="1" applyFill="1" applyBorder="1" applyAlignment="1">
      <alignment vertical="center"/>
    </xf>
    <xf numFmtId="0" fontId="0" fillId="0" borderId="1" xfId="0" applyBorder="1">
      <alignment vertical="center"/>
    </xf>
    <xf numFmtId="0" fontId="0" fillId="0" borderId="1" xfId="0" quotePrefix="1" applyBorder="1" applyAlignment="1">
      <alignment horizontal="left" vertical="center"/>
    </xf>
    <xf numFmtId="0" fontId="15" fillId="0" borderId="28" xfId="0" applyFont="1" applyFill="1" applyBorder="1" applyAlignment="1" applyProtection="1">
      <alignment horizontal="center" vertical="center" wrapText="1"/>
      <protection locked="0"/>
    </xf>
    <xf numFmtId="0" fontId="4" fillId="5" borderId="21" xfId="0" applyFont="1" applyFill="1" applyBorder="1" applyAlignment="1" applyProtection="1">
      <alignment horizontal="center" vertical="center" wrapText="1"/>
      <protection locked="0"/>
    </xf>
    <xf numFmtId="0" fontId="4" fillId="5" borderId="45" xfId="0" applyFont="1" applyFill="1" applyBorder="1" applyAlignment="1" applyProtection="1">
      <alignment horizontal="center" vertical="center" wrapText="1"/>
      <protection locked="0"/>
    </xf>
    <xf numFmtId="0" fontId="4" fillId="5" borderId="24" xfId="0" applyFont="1" applyFill="1" applyBorder="1" applyAlignment="1" applyProtection="1">
      <alignment horizontal="center" vertical="center" wrapText="1"/>
      <protection locked="0"/>
    </xf>
    <xf numFmtId="0" fontId="4" fillId="5" borderId="22" xfId="0" applyFont="1" applyFill="1" applyBorder="1" applyAlignment="1" applyProtection="1">
      <alignment horizontal="center" vertical="center" wrapText="1"/>
      <protection locked="0"/>
    </xf>
    <xf numFmtId="0" fontId="4" fillId="5" borderId="1" xfId="0" applyFont="1" applyFill="1" applyBorder="1" applyAlignment="1" applyProtection="1">
      <alignment horizontal="center" vertical="center" wrapText="1"/>
      <protection locked="0"/>
    </xf>
    <xf numFmtId="0" fontId="4" fillId="5" borderId="23" xfId="0" applyFont="1" applyFill="1" applyBorder="1" applyAlignment="1" applyProtection="1">
      <alignment horizontal="center" vertical="center" wrapText="1"/>
      <protection locked="0"/>
    </xf>
    <xf numFmtId="0" fontId="4" fillId="5" borderId="1" xfId="0" applyFont="1" applyFill="1" applyBorder="1" applyAlignment="1" applyProtection="1">
      <alignment horizontal="center" vertical="center" textRotation="255" wrapText="1"/>
      <protection locked="0"/>
    </xf>
    <xf numFmtId="0" fontId="4" fillId="5" borderId="23" xfId="0" applyFont="1" applyFill="1" applyBorder="1" applyAlignment="1" applyProtection="1">
      <alignment horizontal="center" vertical="center" textRotation="255" wrapText="1"/>
      <protection locked="0"/>
    </xf>
    <xf numFmtId="0" fontId="4" fillId="0" borderId="1" xfId="0" applyFont="1" applyBorder="1" applyAlignment="1" applyProtection="1">
      <alignment horizontal="center" vertical="center" wrapText="1"/>
      <protection locked="0"/>
    </xf>
    <xf numFmtId="176" fontId="4" fillId="5" borderId="1" xfId="0" applyNumberFormat="1" applyFont="1" applyFill="1" applyBorder="1" applyAlignment="1" applyProtection="1">
      <alignment horizontal="center" vertical="center" wrapText="1"/>
      <protection locked="0"/>
    </xf>
    <xf numFmtId="176" fontId="4" fillId="5" borderId="23" xfId="0" applyNumberFormat="1" applyFont="1" applyFill="1" applyBorder="1" applyAlignment="1" applyProtection="1">
      <alignment horizontal="center" vertical="center" wrapText="1"/>
      <protection locked="0"/>
    </xf>
    <xf numFmtId="0" fontId="4" fillId="5" borderId="31" xfId="0" applyFont="1" applyFill="1" applyBorder="1" applyAlignment="1" applyProtection="1">
      <alignment horizontal="center" vertical="center" wrapText="1"/>
      <protection locked="0"/>
    </xf>
    <xf numFmtId="0" fontId="4" fillId="5" borderId="17" xfId="0" applyFont="1" applyFill="1" applyBorder="1" applyAlignment="1" applyProtection="1">
      <alignment horizontal="center" vertical="center" wrapText="1"/>
      <protection locked="0"/>
    </xf>
    <xf numFmtId="0" fontId="4" fillId="5" borderId="30" xfId="0" applyFont="1" applyFill="1" applyBorder="1" applyAlignment="1" applyProtection="1">
      <alignment horizontal="center" vertical="center" wrapText="1"/>
      <protection locked="0"/>
    </xf>
    <xf numFmtId="10" fontId="4" fillId="5" borderId="1" xfId="0" applyNumberFormat="1" applyFont="1" applyFill="1" applyBorder="1" applyAlignment="1" applyProtection="1">
      <alignment horizontal="center" vertical="center" wrapText="1"/>
      <protection locked="0"/>
    </xf>
    <xf numFmtId="10" fontId="4" fillId="5" borderId="23" xfId="0" applyNumberFormat="1" applyFont="1" applyFill="1" applyBorder="1" applyAlignment="1" applyProtection="1">
      <alignment horizontal="center" vertical="center" wrapText="1"/>
      <protection locked="0"/>
    </xf>
    <xf numFmtId="0" fontId="4" fillId="5" borderId="31" xfId="0" applyFont="1" applyFill="1" applyBorder="1" applyAlignment="1" applyProtection="1">
      <alignment horizontal="right" vertical="center" wrapText="1"/>
      <protection locked="0"/>
    </xf>
    <xf numFmtId="0" fontId="4" fillId="5" borderId="17" xfId="0" applyFont="1" applyFill="1" applyBorder="1" applyAlignment="1" applyProtection="1">
      <alignment horizontal="right" vertical="center" wrapText="1"/>
      <protection locked="0"/>
    </xf>
    <xf numFmtId="0" fontId="4" fillId="5" borderId="30" xfId="0" applyFont="1" applyFill="1" applyBorder="1" applyAlignment="1" applyProtection="1">
      <alignment horizontal="right" vertical="center" wrapText="1"/>
      <protection locked="0"/>
    </xf>
    <xf numFmtId="0" fontId="4" fillId="0" borderId="32" xfId="0" applyFont="1" applyFill="1" applyBorder="1" applyAlignment="1" applyProtection="1">
      <alignment horizontal="center" vertical="center"/>
      <protection locked="0"/>
    </xf>
    <xf numFmtId="0" fontId="4" fillId="0" borderId="30" xfId="0" applyFont="1" applyFill="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4" fillId="0" borderId="42" xfId="0" applyFont="1" applyBorder="1" applyAlignment="1" applyProtection="1">
      <alignment horizontal="center" vertical="center"/>
      <protection locked="0"/>
    </xf>
    <xf numFmtId="0" fontId="4" fillId="0" borderId="37" xfId="0" applyFont="1" applyBorder="1" applyAlignment="1" applyProtection="1">
      <alignment horizontal="center" vertical="center"/>
      <protection locked="0"/>
    </xf>
    <xf numFmtId="0" fontId="4" fillId="0" borderId="22" xfId="0" applyFont="1" applyBorder="1" applyAlignment="1" applyProtection="1">
      <alignment horizontal="center" vertical="center"/>
      <protection locked="0"/>
    </xf>
    <xf numFmtId="0" fontId="15" fillId="0" borderId="22"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32" fillId="0" borderId="22" xfId="0" applyFont="1" applyBorder="1" applyAlignment="1" applyProtection="1">
      <alignment horizontal="center" vertical="center"/>
      <protection locked="0"/>
    </xf>
    <xf numFmtId="0" fontId="4" fillId="4" borderId="8" xfId="1" applyFont="1" applyFill="1" applyBorder="1" applyAlignment="1" applyProtection="1">
      <alignment horizontal="center" vertical="center"/>
      <protection locked="0"/>
    </xf>
    <xf numFmtId="0" fontId="4" fillId="4" borderId="9" xfId="1" applyFont="1" applyFill="1" applyBorder="1" applyAlignment="1" applyProtection="1">
      <alignment horizontal="center" vertical="center"/>
      <protection locked="0"/>
    </xf>
    <xf numFmtId="0" fontId="4" fillId="4" borderId="2" xfId="1" applyFont="1" applyFill="1" applyBorder="1" applyAlignment="1" applyProtection="1">
      <alignment horizontal="center" vertical="center"/>
      <protection locked="0"/>
    </xf>
    <xf numFmtId="0" fontId="4" fillId="4" borderId="3" xfId="1" applyFont="1" applyFill="1" applyBorder="1" applyAlignment="1" applyProtection="1">
      <alignment horizontal="center" vertical="center"/>
      <protection locked="0"/>
    </xf>
    <xf numFmtId="0" fontId="4" fillId="4" borderId="7" xfId="1" applyFont="1" applyFill="1" applyBorder="1" applyAlignment="1" applyProtection="1">
      <alignment horizontal="center" vertical="center"/>
      <protection locked="0"/>
    </xf>
    <xf numFmtId="0" fontId="4" fillId="4" borderId="4" xfId="1" applyFont="1" applyFill="1" applyBorder="1" applyAlignment="1" applyProtection="1">
      <alignment horizontal="center" vertical="center"/>
      <protection locked="0"/>
    </xf>
    <xf numFmtId="0" fontId="4" fillId="4" borderId="1" xfId="1" applyFont="1" applyFill="1" applyBorder="1" applyAlignment="1" applyProtection="1">
      <alignment horizontal="center" vertical="center"/>
      <protection locked="0"/>
    </xf>
    <xf numFmtId="0" fontId="4" fillId="4" borderId="8" xfId="1" applyFont="1" applyFill="1" applyBorder="1" applyAlignment="1" applyProtection="1">
      <alignment horizontal="center" vertical="center" wrapText="1"/>
      <protection locked="0"/>
    </xf>
    <xf numFmtId="0" fontId="4" fillId="4" borderId="9" xfId="1" applyFont="1" applyFill="1" applyBorder="1" applyAlignment="1" applyProtection="1">
      <alignment horizontal="center" vertical="center" wrapText="1"/>
      <protection locked="0"/>
    </xf>
    <xf numFmtId="0" fontId="4" fillId="4" borderId="2" xfId="1" applyFont="1" applyFill="1" applyBorder="1" applyAlignment="1" applyProtection="1">
      <alignment horizontal="center" vertical="center" wrapText="1"/>
      <protection locked="0"/>
    </xf>
    <xf numFmtId="0" fontId="4" fillId="4" borderId="3" xfId="1" applyFont="1" applyFill="1" applyBorder="1" applyAlignment="1" applyProtection="1">
      <alignment horizontal="center" vertical="center" wrapText="1"/>
      <protection locked="0"/>
    </xf>
    <xf numFmtId="0" fontId="4" fillId="4" borderId="7" xfId="1" applyFont="1" applyFill="1" applyBorder="1" applyAlignment="1" applyProtection="1">
      <alignment horizontal="center" vertical="center" wrapText="1"/>
      <protection locked="0"/>
    </xf>
    <xf numFmtId="0" fontId="4" fillId="4" borderId="4" xfId="1" applyFont="1" applyFill="1" applyBorder="1" applyAlignment="1" applyProtection="1">
      <alignment horizontal="center" vertical="center" wrapText="1"/>
      <protection locked="0"/>
    </xf>
    <xf numFmtId="0" fontId="4" fillId="4" borderId="1" xfId="1" applyFont="1" applyFill="1" applyBorder="1" applyAlignment="1" applyProtection="1">
      <alignment horizontal="center" vertical="center" wrapText="1"/>
      <protection locked="0"/>
    </xf>
    <xf numFmtId="0" fontId="15" fillId="5" borderId="8" xfId="0" applyFont="1" applyFill="1" applyBorder="1" applyAlignment="1" applyProtection="1">
      <alignment horizontal="center" vertical="center" wrapText="1"/>
      <protection locked="0"/>
    </xf>
    <xf numFmtId="0" fontId="15" fillId="5" borderId="9" xfId="0" applyFont="1" applyFill="1" applyBorder="1" applyAlignment="1" applyProtection="1">
      <alignment horizontal="center" vertical="center" wrapText="1"/>
      <protection locked="0"/>
    </xf>
    <xf numFmtId="0" fontId="15" fillId="5" borderId="2" xfId="0" applyFont="1" applyFill="1" applyBorder="1" applyAlignment="1" applyProtection="1">
      <alignment horizontal="center" vertical="center" wrapText="1"/>
      <protection locked="0"/>
    </xf>
    <xf numFmtId="0" fontId="15" fillId="5" borderId="5" xfId="0" applyFont="1" applyFill="1" applyBorder="1" applyAlignment="1" applyProtection="1">
      <alignment horizontal="center" vertical="center" wrapText="1"/>
      <protection locked="0"/>
    </xf>
    <xf numFmtId="0" fontId="15" fillId="5" borderId="0" xfId="0" applyFont="1" applyFill="1" applyBorder="1" applyAlignment="1" applyProtection="1">
      <alignment horizontal="center" vertical="center" wrapText="1"/>
      <protection locked="0"/>
    </xf>
    <xf numFmtId="0" fontId="15" fillId="5" borderId="6" xfId="0" applyFont="1" applyFill="1" applyBorder="1" applyAlignment="1" applyProtection="1">
      <alignment horizontal="center" vertical="center" wrapText="1"/>
      <protection locked="0"/>
    </xf>
    <xf numFmtId="0" fontId="4" fillId="5" borderId="1" xfId="0" applyFont="1" applyFill="1" applyBorder="1" applyAlignment="1" applyProtection="1">
      <alignment horizontal="center" vertical="center"/>
      <protection locked="0"/>
    </xf>
    <xf numFmtId="0" fontId="4" fillId="5" borderId="23" xfId="0" applyFont="1" applyFill="1" applyBorder="1" applyAlignment="1" applyProtection="1">
      <alignment horizontal="center" vertical="center"/>
      <protection locked="0"/>
    </xf>
    <xf numFmtId="0" fontId="15" fillId="5" borderId="1" xfId="0" applyNumberFormat="1" applyFont="1" applyFill="1" applyBorder="1" applyAlignment="1" applyProtection="1">
      <alignment horizontal="center" vertical="center" wrapText="1"/>
      <protection locked="0"/>
    </xf>
    <xf numFmtId="0" fontId="15" fillId="5" borderId="23" xfId="0" applyNumberFormat="1" applyFont="1" applyFill="1" applyBorder="1" applyAlignment="1" applyProtection="1">
      <alignment horizontal="center" vertical="center" wrapText="1"/>
      <protection locked="0"/>
    </xf>
    <xf numFmtId="0" fontId="4" fillId="5" borderId="1" xfId="8" applyNumberFormat="1" applyFont="1" applyFill="1" applyBorder="1" applyAlignment="1" applyProtection="1">
      <alignment horizontal="center" vertical="center" wrapText="1"/>
      <protection locked="0"/>
    </xf>
    <xf numFmtId="0" fontId="4" fillId="5" borderId="23" xfId="8" applyNumberFormat="1" applyFont="1" applyFill="1" applyBorder="1" applyAlignment="1" applyProtection="1">
      <alignment horizontal="center" vertical="center" wrapText="1"/>
      <protection locked="0"/>
    </xf>
    <xf numFmtId="0" fontId="15" fillId="5" borderId="8" xfId="0" applyFont="1" applyFill="1" applyBorder="1" applyAlignment="1" applyProtection="1">
      <alignment horizontal="center" vertical="center"/>
      <protection locked="0"/>
    </xf>
    <xf numFmtId="0" fontId="15" fillId="5" borderId="9" xfId="0" applyFont="1" applyFill="1" applyBorder="1" applyAlignment="1" applyProtection="1">
      <alignment horizontal="center" vertical="center"/>
      <protection locked="0"/>
    </xf>
    <xf numFmtId="177" fontId="4" fillId="0" borderId="1" xfId="0" applyNumberFormat="1" applyFont="1" applyBorder="1" applyAlignment="1" applyProtection="1">
      <alignment horizontal="center" vertical="center" shrinkToFit="1"/>
      <protection locked="0"/>
    </xf>
    <xf numFmtId="177" fontId="4" fillId="0" borderId="1" xfId="0" applyNumberFormat="1" applyFont="1" applyBorder="1" applyAlignment="1" applyProtection="1">
      <alignment horizontal="center" vertical="center" wrapText="1" shrinkToFit="1"/>
      <protection locked="0"/>
    </xf>
    <xf numFmtId="177" fontId="4" fillId="0" borderId="1" xfId="0" applyNumberFormat="1" applyFont="1" applyFill="1" applyBorder="1" applyAlignment="1" applyProtection="1">
      <alignment horizontal="center" vertical="center" shrinkToFit="1"/>
      <protection locked="0"/>
    </xf>
    <xf numFmtId="0" fontId="15" fillId="5" borderId="31" xfId="0" applyFont="1" applyFill="1" applyBorder="1" applyAlignment="1" applyProtection="1">
      <alignment horizontal="center" vertical="center"/>
      <protection locked="0"/>
    </xf>
    <xf numFmtId="0" fontId="15" fillId="5" borderId="1" xfId="0" applyFont="1" applyFill="1" applyBorder="1" applyAlignment="1" applyProtection="1">
      <alignment horizontal="center" vertical="center"/>
      <protection locked="0"/>
    </xf>
    <xf numFmtId="0" fontId="15" fillId="0" borderId="22" xfId="0" applyFont="1" applyFill="1" applyBorder="1" applyAlignment="1" applyProtection="1">
      <alignment horizontal="center" vertical="center"/>
      <protection locked="0"/>
    </xf>
    <xf numFmtId="0" fontId="15" fillId="0" borderId="20" xfId="0" applyFont="1" applyFill="1" applyBorder="1" applyAlignment="1" applyProtection="1">
      <alignment horizontal="center" vertical="center"/>
      <protection locked="0"/>
    </xf>
    <xf numFmtId="0" fontId="4" fillId="5" borderId="8" xfId="0" applyFont="1" applyFill="1" applyBorder="1" applyAlignment="1" applyProtection="1">
      <alignment horizontal="center" vertical="center" wrapText="1"/>
      <protection locked="0"/>
    </xf>
    <xf numFmtId="0" fontId="4" fillId="5" borderId="9" xfId="0" applyFont="1" applyFill="1" applyBorder="1" applyAlignment="1" applyProtection="1">
      <alignment horizontal="center" vertical="center" wrapText="1"/>
      <protection locked="0"/>
    </xf>
    <xf numFmtId="0" fontId="4" fillId="5" borderId="2" xfId="0" applyFont="1" applyFill="1" applyBorder="1" applyAlignment="1" applyProtection="1">
      <alignment horizontal="center" vertical="center" wrapText="1"/>
      <protection locked="0"/>
    </xf>
    <xf numFmtId="0" fontId="4" fillId="5" borderId="5" xfId="0" applyFont="1" applyFill="1" applyBorder="1" applyAlignment="1" applyProtection="1">
      <alignment horizontal="center" vertical="center" wrapText="1"/>
      <protection locked="0"/>
    </xf>
    <xf numFmtId="0" fontId="4" fillId="5" borderId="0"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wrapText="1"/>
      <protection locked="0"/>
    </xf>
    <xf numFmtId="0" fontId="4" fillId="5" borderId="7"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31" xfId="8" applyFont="1" applyFill="1" applyBorder="1" applyAlignment="1" applyProtection="1">
      <alignment horizontal="center" vertical="center" wrapText="1"/>
      <protection locked="0"/>
    </xf>
    <xf numFmtId="0" fontId="4" fillId="5" borderId="17" xfId="8" applyFont="1" applyFill="1" applyBorder="1" applyAlignment="1" applyProtection="1">
      <alignment horizontal="center" vertical="center" wrapText="1"/>
      <protection locked="0"/>
    </xf>
    <xf numFmtId="0" fontId="4" fillId="5" borderId="30" xfId="8" applyFont="1" applyFill="1" applyBorder="1" applyAlignment="1" applyProtection="1">
      <alignment horizontal="center" vertical="center" wrapText="1"/>
      <protection locked="0"/>
    </xf>
    <xf numFmtId="0" fontId="4" fillId="5" borderId="8" xfId="0" applyFont="1" applyFill="1" applyBorder="1" applyAlignment="1" applyProtection="1">
      <alignment horizontal="center" vertical="center"/>
      <protection locked="0"/>
    </xf>
    <xf numFmtId="0" fontId="4" fillId="5" borderId="9" xfId="0" applyFont="1" applyFill="1" applyBorder="1" applyAlignment="1" applyProtection="1">
      <alignment horizontal="center" vertical="center"/>
      <protection locked="0"/>
    </xf>
    <xf numFmtId="0" fontId="4" fillId="5" borderId="5" xfId="0" applyFont="1" applyFill="1" applyBorder="1" applyAlignment="1" applyProtection="1">
      <alignment horizontal="center" vertical="center"/>
      <protection locked="0"/>
    </xf>
    <xf numFmtId="0" fontId="4" fillId="5" borderId="0" xfId="0" applyFont="1" applyFill="1" applyBorder="1" applyAlignment="1" applyProtection="1">
      <alignment horizontal="center" vertical="center"/>
      <protection locked="0"/>
    </xf>
    <xf numFmtId="0" fontId="4" fillId="5" borderId="1" xfId="0" applyFont="1" applyFill="1" applyBorder="1" applyAlignment="1" applyProtection="1">
      <alignment horizontal="center" vertical="center" textRotation="255"/>
      <protection locked="0"/>
    </xf>
    <xf numFmtId="0" fontId="4" fillId="5" borderId="23" xfId="0" applyFont="1" applyFill="1" applyBorder="1" applyAlignment="1" applyProtection="1">
      <alignment horizontal="center" vertical="center" textRotation="255"/>
      <protection locked="0"/>
    </xf>
    <xf numFmtId="0" fontId="4" fillId="5" borderId="1" xfId="8" applyFont="1" applyFill="1" applyBorder="1" applyAlignment="1" applyProtection="1">
      <alignment horizontal="center" vertical="center" wrapText="1"/>
      <protection locked="0"/>
    </xf>
    <xf numFmtId="0" fontId="4" fillId="5" borderId="23" xfId="8" applyFont="1" applyFill="1" applyBorder="1" applyAlignment="1" applyProtection="1">
      <alignment horizontal="center" vertical="center" wrapText="1"/>
      <protection locked="0"/>
    </xf>
    <xf numFmtId="0" fontId="4" fillId="5" borderId="17" xfId="0" applyFont="1" applyFill="1" applyBorder="1" applyAlignment="1" applyProtection="1">
      <alignment horizontal="center" vertical="center" textRotation="255" wrapText="1"/>
      <protection locked="0"/>
    </xf>
    <xf numFmtId="0" fontId="4" fillId="5" borderId="30" xfId="0" applyFont="1" applyFill="1" applyBorder="1" applyAlignment="1" applyProtection="1">
      <alignment horizontal="center" vertical="center" textRotation="255" wrapText="1"/>
      <protection locked="0"/>
    </xf>
    <xf numFmtId="0" fontId="15" fillId="5" borderId="8" xfId="0" applyFont="1" applyFill="1" applyBorder="1" applyAlignment="1" applyProtection="1">
      <alignment horizontal="center" vertical="center" textRotation="255" wrapText="1"/>
      <protection locked="0"/>
    </xf>
    <xf numFmtId="0" fontId="15" fillId="5" borderId="5" xfId="0" applyFont="1" applyFill="1" applyBorder="1" applyAlignment="1" applyProtection="1">
      <alignment horizontal="center" vertical="center" textRotation="255" wrapText="1"/>
      <protection locked="0"/>
    </xf>
    <xf numFmtId="0" fontId="15" fillId="5" borderId="35" xfId="0" applyFont="1" applyFill="1" applyBorder="1" applyAlignment="1" applyProtection="1">
      <alignment horizontal="center" vertical="center" textRotation="255" wrapText="1"/>
      <protection locked="0"/>
    </xf>
    <xf numFmtId="0" fontId="15" fillId="0" borderId="31" xfId="0" applyFont="1" applyFill="1" applyBorder="1" applyAlignment="1" applyProtection="1">
      <alignment horizontal="center" vertical="center" wrapText="1"/>
      <protection locked="0"/>
    </xf>
    <xf numFmtId="0" fontId="15" fillId="0" borderId="17" xfId="0" applyFont="1" applyFill="1" applyBorder="1" applyAlignment="1" applyProtection="1">
      <alignment horizontal="center" vertical="center" wrapText="1"/>
      <protection locked="0"/>
    </xf>
    <xf numFmtId="0" fontId="15" fillId="0" borderId="28" xfId="0" applyFont="1" applyFill="1" applyBorder="1" applyAlignment="1" applyProtection="1">
      <alignment horizontal="center" vertical="center" wrapText="1"/>
      <protection locked="0"/>
    </xf>
    <xf numFmtId="0" fontId="15" fillId="5" borderId="1" xfId="0" applyFont="1" applyFill="1" applyBorder="1" applyAlignment="1" applyProtection="1">
      <alignment horizontal="center" vertical="center" wrapText="1"/>
      <protection locked="0"/>
    </xf>
    <xf numFmtId="9" fontId="19" fillId="4" borderId="8" xfId="0" applyNumberFormat="1" applyFont="1" applyFill="1" applyBorder="1" applyAlignment="1">
      <alignment horizontal="center" vertical="center" shrinkToFit="1"/>
    </xf>
    <xf numFmtId="9" fontId="18" fillId="4" borderId="9" xfId="0" applyNumberFormat="1" applyFont="1" applyFill="1" applyBorder="1" applyAlignment="1">
      <alignment horizontal="center" vertical="center" shrinkToFit="1"/>
    </xf>
    <xf numFmtId="9" fontId="18" fillId="4" borderId="2" xfId="0" applyNumberFormat="1" applyFont="1" applyFill="1" applyBorder="1" applyAlignment="1">
      <alignment horizontal="center" vertical="center" shrinkToFit="1"/>
    </xf>
    <xf numFmtId="9" fontId="18" fillId="4" borderId="3" xfId="0" applyNumberFormat="1" applyFont="1" applyFill="1" applyBorder="1" applyAlignment="1">
      <alignment horizontal="center" vertical="center" shrinkToFit="1"/>
    </xf>
    <xf numFmtId="9" fontId="18" fillId="4" borderId="7" xfId="0" applyNumberFormat="1" applyFont="1" applyFill="1" applyBorder="1" applyAlignment="1">
      <alignment horizontal="center" vertical="center" shrinkToFit="1"/>
    </xf>
    <xf numFmtId="9" fontId="18" fillId="4" borderId="4" xfId="0" applyNumberFormat="1" applyFont="1" applyFill="1" applyBorder="1" applyAlignment="1">
      <alignment horizontal="center" vertical="center" shrinkToFit="1"/>
    </xf>
    <xf numFmtId="0" fontId="18"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176" fontId="4" fillId="0" borderId="8" xfId="0" applyNumberFormat="1" applyFont="1" applyFill="1" applyBorder="1" applyAlignment="1">
      <alignment horizontal="center" vertical="center"/>
    </xf>
    <xf numFmtId="176" fontId="4" fillId="0" borderId="9"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4" fillId="0" borderId="3" xfId="0" applyNumberFormat="1" applyFont="1" applyFill="1" applyBorder="1" applyAlignment="1">
      <alignment horizontal="center" vertical="center"/>
    </xf>
    <xf numFmtId="176" fontId="4" fillId="0" borderId="7"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0" fontId="19" fillId="6" borderId="0" xfId="0" applyFont="1" applyFill="1" applyBorder="1" applyAlignment="1">
      <alignment horizontal="left"/>
    </xf>
    <xf numFmtId="0" fontId="19" fillId="6" borderId="7" xfId="0" applyFont="1" applyFill="1" applyBorder="1" applyAlignment="1">
      <alignment horizontal="left"/>
    </xf>
    <xf numFmtId="0" fontId="19" fillId="6" borderId="0" xfId="0" applyFont="1" applyFill="1" applyBorder="1" applyAlignment="1">
      <alignment horizontal="center"/>
    </xf>
    <xf numFmtId="0" fontId="19" fillId="6" borderId="7" xfId="0" applyFont="1" applyFill="1" applyBorder="1" applyAlignment="1">
      <alignment horizontal="center"/>
    </xf>
    <xf numFmtId="0" fontId="23" fillId="6" borderId="7" xfId="0" applyFont="1" applyFill="1" applyBorder="1" applyAlignment="1">
      <alignment horizontal="center" vertical="center"/>
    </xf>
    <xf numFmtId="0" fontId="25" fillId="6" borderId="7" xfId="0" applyFont="1" applyFill="1" applyBorder="1" applyAlignment="1">
      <alignment horizontal="center" vertical="center"/>
    </xf>
    <xf numFmtId="0" fontId="19" fillId="4" borderId="16" xfId="0" applyFont="1" applyFill="1" applyBorder="1" applyAlignment="1">
      <alignment horizontal="center" vertical="center"/>
    </xf>
    <xf numFmtId="0" fontId="19" fillId="4" borderId="15" xfId="0" applyFont="1" applyFill="1" applyBorder="1" applyAlignment="1">
      <alignment horizontal="center" vertical="center"/>
    </xf>
    <xf numFmtId="0" fontId="19" fillId="4" borderId="14" xfId="0" applyFont="1" applyFill="1" applyBorder="1" applyAlignment="1">
      <alignment horizontal="center" vertical="center"/>
    </xf>
    <xf numFmtId="0" fontId="19" fillId="4" borderId="13" xfId="0" applyFont="1" applyFill="1" applyBorder="1" applyAlignment="1">
      <alignment horizontal="center" vertical="center"/>
    </xf>
    <xf numFmtId="0" fontId="19" fillId="4" borderId="12" xfId="0" applyFont="1" applyFill="1" applyBorder="1" applyAlignment="1">
      <alignment horizontal="center" vertical="center"/>
    </xf>
    <xf numFmtId="0" fontId="19" fillId="4" borderId="11" xfId="0" applyFont="1" applyFill="1" applyBorder="1" applyAlignment="1">
      <alignment horizontal="center" vertical="center"/>
    </xf>
    <xf numFmtId="0" fontId="17" fillId="4" borderId="1" xfId="0" applyFont="1" applyFill="1" applyBorder="1" applyAlignment="1">
      <alignment horizontal="center" vertical="center"/>
    </xf>
    <xf numFmtId="0" fontId="19" fillId="4" borderId="1" xfId="0" applyFont="1" applyFill="1" applyBorder="1" applyAlignment="1">
      <alignment horizontal="center" vertical="center" wrapText="1"/>
    </xf>
    <xf numFmtId="0" fontId="10"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4" xfId="0" applyFont="1" applyBorder="1" applyAlignment="1">
      <alignment horizontal="center" vertical="center" wrapText="1"/>
    </xf>
    <xf numFmtId="0" fontId="19" fillId="4" borderId="8" xfId="0" applyFont="1" applyFill="1" applyBorder="1" applyAlignment="1">
      <alignment horizontal="center" vertical="center"/>
    </xf>
    <xf numFmtId="0" fontId="19" fillId="4" borderId="9" xfId="0" applyFont="1" applyFill="1" applyBorder="1" applyAlignment="1">
      <alignment horizontal="center" vertical="center"/>
    </xf>
    <xf numFmtId="0" fontId="19" fillId="4" borderId="2" xfId="0" applyFont="1" applyFill="1" applyBorder="1" applyAlignment="1">
      <alignment horizontal="center" vertical="center"/>
    </xf>
    <xf numFmtId="0" fontId="19" fillId="4" borderId="3" xfId="0" applyFont="1" applyFill="1" applyBorder="1" applyAlignment="1">
      <alignment horizontal="center" vertical="center"/>
    </xf>
    <xf numFmtId="0" fontId="19" fillId="4" borderId="7" xfId="0" applyFont="1" applyFill="1" applyBorder="1" applyAlignment="1">
      <alignment horizontal="center" vertical="center"/>
    </xf>
    <xf numFmtId="0" fontId="19" fillId="4" borderId="4" xfId="0" applyFont="1" applyFill="1" applyBorder="1" applyAlignment="1">
      <alignment horizontal="center" vertical="center"/>
    </xf>
    <xf numFmtId="0" fontId="18" fillId="4" borderId="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3" xfId="0" applyFont="1" applyFill="1" applyBorder="1" applyAlignment="1">
      <alignment horizontal="center" vertical="center"/>
    </xf>
    <xf numFmtId="0" fontId="18" fillId="4" borderId="7" xfId="0" applyFont="1" applyFill="1" applyBorder="1" applyAlignment="1">
      <alignment horizontal="center" vertical="center"/>
    </xf>
    <xf numFmtId="0" fontId="18" fillId="4" borderId="4" xfId="0" applyFont="1" applyFill="1" applyBorder="1" applyAlignment="1">
      <alignment horizontal="center" vertical="center"/>
    </xf>
    <xf numFmtId="0" fontId="21" fillId="0" borderId="1" xfId="0" applyFont="1" applyBorder="1" applyAlignment="1">
      <alignment horizontal="center" vertical="center"/>
    </xf>
    <xf numFmtId="49" fontId="21" fillId="4" borderId="1" xfId="0" quotePrefix="1" applyNumberFormat="1" applyFont="1" applyFill="1" applyBorder="1" applyAlignment="1" applyProtection="1">
      <alignment horizontal="center" vertical="center"/>
      <protection locked="0"/>
    </xf>
    <xf numFmtId="49" fontId="21" fillId="4" borderId="1" xfId="0" applyNumberFormat="1" applyFont="1" applyFill="1" applyBorder="1" applyAlignment="1" applyProtection="1">
      <alignment horizontal="center" vertical="center"/>
      <protection locked="0"/>
    </xf>
    <xf numFmtId="0" fontId="18" fillId="4" borderId="8" xfId="0" applyNumberFormat="1" applyFont="1" applyFill="1" applyBorder="1" applyAlignment="1">
      <alignment horizontal="center" vertical="center"/>
    </xf>
    <xf numFmtId="0" fontId="18" fillId="4" borderId="9" xfId="0" applyNumberFormat="1" applyFont="1" applyFill="1" applyBorder="1" applyAlignment="1">
      <alignment horizontal="center" vertical="center"/>
    </xf>
    <xf numFmtId="0" fontId="18" fillId="4" borderId="2" xfId="0" applyNumberFormat="1" applyFont="1" applyFill="1" applyBorder="1" applyAlignment="1">
      <alignment horizontal="center" vertical="center"/>
    </xf>
    <xf numFmtId="0" fontId="18" fillId="4" borderId="3" xfId="0" applyNumberFormat="1" applyFont="1" applyFill="1" applyBorder="1" applyAlignment="1">
      <alignment horizontal="center" vertical="center"/>
    </xf>
    <xf numFmtId="0" fontId="18" fillId="4" borderId="7" xfId="0" applyNumberFormat="1" applyFont="1" applyFill="1" applyBorder="1" applyAlignment="1">
      <alignment horizontal="center" vertical="center"/>
    </xf>
    <xf numFmtId="0" fontId="18" fillId="4" borderId="4" xfId="0" applyNumberFormat="1" applyFont="1" applyFill="1" applyBorder="1" applyAlignment="1">
      <alignment horizontal="center" vertical="center"/>
    </xf>
    <xf numFmtId="0" fontId="32" fillId="0" borderId="1" xfId="0" applyFont="1" applyFill="1" applyBorder="1" applyAlignment="1">
      <alignment horizontal="left" vertical="center" wrapText="1"/>
    </xf>
    <xf numFmtId="0" fontId="19" fillId="6" borderId="0" xfId="0" applyFont="1" applyFill="1" applyBorder="1" applyAlignment="1">
      <alignment horizontal="left" vertical="center"/>
    </xf>
    <xf numFmtId="0" fontId="19" fillId="6" borderId="7" xfId="0" applyFont="1" applyFill="1" applyBorder="1" applyAlignment="1">
      <alignment horizontal="left" vertical="center"/>
    </xf>
    <xf numFmtId="0" fontId="26" fillId="0" borderId="1" xfId="0" applyFont="1" applyBorder="1" applyAlignment="1">
      <alignment horizontal="center" vertical="center"/>
    </xf>
    <xf numFmtId="0" fontId="12" fillId="0" borderId="1" xfId="0" applyFont="1" applyBorder="1" applyAlignment="1">
      <alignment horizontal="center" vertical="center"/>
    </xf>
    <xf numFmtId="176" fontId="0" fillId="0" borderId="8" xfId="0" applyNumberFormat="1" applyFill="1" applyBorder="1" applyAlignment="1">
      <alignment horizontal="center" vertical="center"/>
    </xf>
    <xf numFmtId="176" fontId="0" fillId="0" borderId="9" xfId="0" applyNumberFormat="1" applyFill="1" applyBorder="1" applyAlignment="1">
      <alignment horizontal="center" vertical="center"/>
    </xf>
    <xf numFmtId="176" fontId="0" fillId="0" borderId="2" xfId="0" applyNumberFormat="1" applyFill="1" applyBorder="1" applyAlignment="1">
      <alignment horizontal="center" vertical="center"/>
    </xf>
    <xf numFmtId="176" fontId="0" fillId="0" borderId="3" xfId="0" applyNumberFormat="1" applyFill="1" applyBorder="1" applyAlignment="1">
      <alignment horizontal="center" vertical="center"/>
    </xf>
    <xf numFmtId="176" fontId="0" fillId="0" borderId="7" xfId="0" applyNumberFormat="1" applyFill="1" applyBorder="1" applyAlignment="1">
      <alignment horizontal="center" vertical="center"/>
    </xf>
    <xf numFmtId="176" fontId="0" fillId="0" borderId="4" xfId="0" applyNumberFormat="1" applyFill="1" applyBorder="1" applyAlignment="1">
      <alignment horizontal="center" vertical="center"/>
    </xf>
    <xf numFmtId="176" fontId="19" fillId="0" borderId="1" xfId="0" applyNumberFormat="1" applyFont="1" applyFill="1" applyBorder="1" applyAlignment="1">
      <alignment horizontal="center" vertical="center"/>
    </xf>
    <xf numFmtId="0" fontId="19" fillId="0" borderId="1" xfId="0" applyNumberFormat="1" applyFont="1" applyFill="1" applyBorder="1" applyAlignment="1">
      <alignment horizontal="center" vertical="center"/>
    </xf>
    <xf numFmtId="176" fontId="19" fillId="4" borderId="1" xfId="0" applyNumberFormat="1" applyFont="1" applyFill="1" applyBorder="1" applyAlignment="1">
      <alignment horizontal="center" vertical="center" wrapText="1"/>
    </xf>
    <xf numFmtId="0" fontId="19" fillId="4" borderId="1" xfId="0" applyNumberFormat="1" applyFont="1" applyFill="1" applyBorder="1" applyAlignment="1">
      <alignment horizontal="center" vertical="center"/>
    </xf>
    <xf numFmtId="0" fontId="18" fillId="0" borderId="9"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4" xfId="0" applyFont="1" applyFill="1" applyBorder="1" applyAlignment="1">
      <alignment horizontal="center" vertical="center"/>
    </xf>
    <xf numFmtId="176" fontId="26" fillId="0" borderId="26" xfId="0" applyNumberFormat="1" applyFont="1" applyFill="1" applyBorder="1" applyAlignment="1">
      <alignment horizontal="center" vertical="center"/>
    </xf>
    <xf numFmtId="176" fontId="12" fillId="0" borderId="29" xfId="0" applyNumberFormat="1" applyFont="1" applyFill="1" applyBorder="1" applyAlignment="1">
      <alignment horizontal="center" vertical="center"/>
    </xf>
    <xf numFmtId="176" fontId="12" fillId="0" borderId="27" xfId="0" applyNumberFormat="1" applyFont="1" applyFill="1" applyBorder="1" applyAlignment="1">
      <alignment horizontal="center" vertical="center"/>
    </xf>
    <xf numFmtId="176" fontId="26" fillId="0" borderId="8" xfId="0" applyNumberFormat="1" applyFont="1" applyFill="1" applyBorder="1" applyAlignment="1">
      <alignment horizontal="center" vertical="center"/>
    </xf>
    <xf numFmtId="176" fontId="12" fillId="0" borderId="9" xfId="0" applyNumberFormat="1" applyFont="1" applyFill="1" applyBorder="1" applyAlignment="1">
      <alignment horizontal="center" vertical="center"/>
    </xf>
    <xf numFmtId="176" fontId="12" fillId="0" borderId="2" xfId="0" applyNumberFormat="1" applyFont="1" applyFill="1" applyBorder="1" applyAlignment="1">
      <alignment horizontal="center" vertical="center"/>
    </xf>
    <xf numFmtId="176" fontId="12" fillId="0" borderId="3" xfId="0" applyNumberFormat="1" applyFont="1" applyFill="1" applyBorder="1" applyAlignment="1">
      <alignment horizontal="center" vertical="center"/>
    </xf>
    <xf numFmtId="176" fontId="12" fillId="0" borderId="7" xfId="0" applyNumberFormat="1" applyFont="1" applyFill="1" applyBorder="1" applyAlignment="1">
      <alignment horizontal="center" vertical="center"/>
    </xf>
    <xf numFmtId="176" fontId="12" fillId="0" borderId="4" xfId="0" applyNumberFormat="1" applyFont="1" applyFill="1" applyBorder="1" applyAlignment="1">
      <alignment horizontal="center" vertical="center"/>
    </xf>
    <xf numFmtId="176" fontId="12" fillId="0" borderId="8" xfId="0" applyNumberFormat="1" applyFont="1" applyFill="1" applyBorder="1" applyAlignment="1">
      <alignment horizontal="center" vertical="center"/>
    </xf>
    <xf numFmtId="0" fontId="19" fillId="0" borderId="8" xfId="0" applyFont="1" applyFill="1" applyBorder="1" applyAlignment="1">
      <alignment horizontal="center" vertical="center"/>
    </xf>
    <xf numFmtId="0" fontId="18" fillId="0" borderId="3"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shrinkToFit="1"/>
    </xf>
    <xf numFmtId="0" fontId="19" fillId="0"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4" xfId="0" applyFont="1" applyFill="1" applyBorder="1" applyAlignment="1">
      <alignment horizontal="center" vertical="center"/>
    </xf>
    <xf numFmtId="0" fontId="25" fillId="0" borderId="8" xfId="0" applyFont="1" applyFill="1" applyBorder="1" applyAlignment="1">
      <alignment horizontal="center" vertical="center"/>
    </xf>
    <xf numFmtId="0" fontId="25" fillId="0" borderId="9"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7" xfId="0" applyFont="1" applyFill="1" applyBorder="1" applyAlignment="1">
      <alignment horizontal="center" vertical="center"/>
    </xf>
    <xf numFmtId="0" fontId="25" fillId="0" borderId="4"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4" xfId="0" applyFont="1" applyFill="1" applyBorder="1" applyAlignment="1">
      <alignment horizontal="center" vertical="center"/>
    </xf>
    <xf numFmtId="9" fontId="17" fillId="4" borderId="8" xfId="0" applyNumberFormat="1" applyFont="1" applyFill="1" applyBorder="1" applyAlignment="1">
      <alignment horizontal="center" vertical="center" shrinkToFit="1"/>
    </xf>
    <xf numFmtId="9" fontId="17" fillId="4" borderId="9" xfId="0" applyNumberFormat="1" applyFont="1" applyFill="1" applyBorder="1" applyAlignment="1">
      <alignment horizontal="center" vertical="center" shrinkToFit="1"/>
    </xf>
    <xf numFmtId="9" fontId="17" fillId="4" borderId="2" xfId="0" applyNumberFormat="1" applyFont="1" applyFill="1" applyBorder="1" applyAlignment="1">
      <alignment horizontal="center" vertical="center" shrinkToFit="1"/>
    </xf>
    <xf numFmtId="9" fontId="17" fillId="4" borderId="3" xfId="0" applyNumberFormat="1" applyFont="1" applyFill="1" applyBorder="1" applyAlignment="1">
      <alignment horizontal="center" vertical="center" shrinkToFit="1"/>
    </xf>
    <xf numFmtId="9" fontId="17" fillId="4" borderId="7" xfId="0" applyNumberFormat="1" applyFont="1" applyFill="1" applyBorder="1" applyAlignment="1">
      <alignment horizontal="center" vertical="center" shrinkToFit="1"/>
    </xf>
    <xf numFmtId="9" fontId="17" fillId="4" borderId="4" xfId="0" applyNumberFormat="1" applyFont="1" applyFill="1" applyBorder="1" applyAlignment="1">
      <alignment horizontal="center" vertical="center" shrinkToFit="1"/>
    </xf>
    <xf numFmtId="0" fontId="23" fillId="0" borderId="8"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0" borderId="4" xfId="0" applyFont="1" applyFill="1" applyBorder="1" applyAlignment="1">
      <alignment horizontal="left" vertical="center" wrapText="1"/>
    </xf>
    <xf numFmtId="9" fontId="12" fillId="4" borderId="8" xfId="0" applyNumberFormat="1" applyFont="1" applyFill="1" applyBorder="1" applyAlignment="1">
      <alignment horizontal="center" vertical="center" shrinkToFit="1"/>
    </xf>
    <xf numFmtId="9" fontId="12" fillId="4" borderId="9" xfId="0" applyNumberFormat="1" applyFont="1" applyFill="1" applyBorder="1" applyAlignment="1">
      <alignment horizontal="center" vertical="center" shrinkToFit="1"/>
    </xf>
    <xf numFmtId="9" fontId="12" fillId="4" borderId="2" xfId="0" applyNumberFormat="1" applyFont="1" applyFill="1" applyBorder="1" applyAlignment="1">
      <alignment horizontal="center" vertical="center" shrinkToFit="1"/>
    </xf>
    <xf numFmtId="9" fontId="12" fillId="4" borderId="3" xfId="0" applyNumberFormat="1" applyFont="1" applyFill="1" applyBorder="1" applyAlignment="1">
      <alignment horizontal="center" vertical="center" shrinkToFit="1"/>
    </xf>
    <xf numFmtId="9" fontId="12" fillId="4" borderId="7" xfId="0" applyNumberFormat="1" applyFont="1" applyFill="1" applyBorder="1" applyAlignment="1">
      <alignment horizontal="center" vertical="center" shrinkToFit="1"/>
    </xf>
    <xf numFmtId="9" fontId="12" fillId="4" borderId="4" xfId="0" applyNumberFormat="1" applyFont="1" applyFill="1" applyBorder="1" applyAlignment="1">
      <alignment horizontal="center" vertical="center" shrinkToFit="1"/>
    </xf>
    <xf numFmtId="176" fontId="19" fillId="0" borderId="8" xfId="0" applyNumberFormat="1" applyFont="1" applyFill="1" applyBorder="1" applyAlignment="1">
      <alignment horizontal="center" vertical="center"/>
    </xf>
    <xf numFmtId="176" fontId="19" fillId="0" borderId="9" xfId="0" applyNumberFormat="1" applyFont="1" applyFill="1" applyBorder="1" applyAlignment="1">
      <alignment horizontal="center" vertical="center"/>
    </xf>
    <xf numFmtId="176" fontId="19" fillId="0" borderId="2" xfId="0" applyNumberFormat="1" applyFont="1" applyFill="1" applyBorder="1" applyAlignment="1">
      <alignment horizontal="center" vertical="center"/>
    </xf>
    <xf numFmtId="176" fontId="19" fillId="0" borderId="5" xfId="0" applyNumberFormat="1" applyFont="1" applyFill="1" applyBorder="1" applyAlignment="1">
      <alignment horizontal="center" vertical="center"/>
    </xf>
    <xf numFmtId="176" fontId="19" fillId="0" borderId="0" xfId="0" applyNumberFormat="1" applyFont="1" applyFill="1" applyBorder="1" applyAlignment="1">
      <alignment horizontal="center" vertical="center"/>
    </xf>
    <xf numFmtId="176" fontId="19" fillId="0" borderId="6" xfId="0" applyNumberFormat="1" applyFont="1" applyFill="1" applyBorder="1" applyAlignment="1">
      <alignment horizontal="center" vertical="center"/>
    </xf>
    <xf numFmtId="176" fontId="19" fillId="0" borderId="3" xfId="0" applyNumberFormat="1" applyFont="1" applyFill="1" applyBorder="1" applyAlignment="1">
      <alignment horizontal="center" vertical="center"/>
    </xf>
    <xf numFmtId="176" fontId="19" fillId="0" borderId="7" xfId="0" applyNumberFormat="1" applyFont="1" applyFill="1" applyBorder="1" applyAlignment="1">
      <alignment horizontal="center" vertical="center"/>
    </xf>
    <xf numFmtId="176" fontId="19" fillId="0" borderId="4" xfId="0" applyNumberFormat="1" applyFont="1" applyFill="1" applyBorder="1" applyAlignment="1">
      <alignment horizontal="center" vertical="center"/>
    </xf>
    <xf numFmtId="0" fontId="19" fillId="0" borderId="8" xfId="0" applyNumberFormat="1" applyFont="1" applyFill="1" applyBorder="1" applyAlignment="1">
      <alignment horizontal="center" vertical="center"/>
    </xf>
    <xf numFmtId="0" fontId="19" fillId="0" borderId="9" xfId="0" applyNumberFormat="1" applyFont="1" applyFill="1" applyBorder="1" applyAlignment="1">
      <alignment horizontal="center" vertical="center"/>
    </xf>
    <xf numFmtId="0" fontId="19" fillId="0" borderId="2" xfId="0" applyNumberFormat="1" applyFont="1" applyFill="1" applyBorder="1" applyAlignment="1">
      <alignment horizontal="center" vertical="center"/>
    </xf>
    <xf numFmtId="0" fontId="19" fillId="0" borderId="5" xfId="0" applyNumberFormat="1" applyFont="1" applyFill="1" applyBorder="1" applyAlignment="1">
      <alignment horizontal="center" vertical="center"/>
    </xf>
    <xf numFmtId="0" fontId="19" fillId="0" borderId="0" xfId="0" applyNumberFormat="1" applyFont="1" applyFill="1" applyBorder="1" applyAlignment="1">
      <alignment horizontal="center" vertical="center"/>
    </xf>
    <xf numFmtId="0" fontId="19" fillId="0" borderId="6" xfId="0" applyNumberFormat="1" applyFont="1" applyFill="1" applyBorder="1" applyAlignment="1">
      <alignment horizontal="center" vertical="center"/>
    </xf>
    <xf numFmtId="0" fontId="19" fillId="0" borderId="3" xfId="0" applyNumberFormat="1" applyFont="1" applyFill="1" applyBorder="1" applyAlignment="1">
      <alignment horizontal="center" vertical="center"/>
    </xf>
    <xf numFmtId="0" fontId="19" fillId="0" borderId="7" xfId="0" applyNumberFormat="1" applyFont="1" applyFill="1" applyBorder="1" applyAlignment="1">
      <alignment horizontal="center" vertical="center"/>
    </xf>
    <xf numFmtId="0" fontId="19" fillId="0" borderId="4" xfId="0" applyNumberFormat="1" applyFont="1" applyFill="1" applyBorder="1" applyAlignment="1">
      <alignment horizontal="center" vertical="center"/>
    </xf>
    <xf numFmtId="176" fontId="18" fillId="4" borderId="1" xfId="0" applyNumberFormat="1" applyFont="1" applyFill="1" applyBorder="1" applyAlignment="1">
      <alignment horizontal="center" vertical="center"/>
    </xf>
    <xf numFmtId="0" fontId="23" fillId="6" borderId="9" xfId="0" applyFont="1" applyFill="1" applyBorder="1" applyAlignment="1">
      <alignment horizontal="left" vertical="center"/>
    </xf>
    <xf numFmtId="0" fontId="23" fillId="6" borderId="7" xfId="0" applyFont="1" applyFill="1" applyBorder="1" applyAlignment="1">
      <alignment horizontal="left" vertical="center"/>
    </xf>
    <xf numFmtId="176" fontId="23" fillId="0" borderId="8" xfId="0" applyNumberFormat="1" applyFont="1" applyFill="1" applyBorder="1" applyAlignment="1">
      <alignment horizontal="center" vertical="center"/>
    </xf>
    <xf numFmtId="176" fontId="23" fillId="0" borderId="9" xfId="0" applyNumberFormat="1" applyFont="1" applyBorder="1" applyAlignment="1">
      <alignment horizontal="center" vertical="center"/>
    </xf>
    <xf numFmtId="176" fontId="23" fillId="0" borderId="2" xfId="0" applyNumberFormat="1" applyFont="1" applyBorder="1" applyAlignment="1">
      <alignment horizontal="center" vertical="center"/>
    </xf>
    <xf numFmtId="176" fontId="23" fillId="0" borderId="3" xfId="0" applyNumberFormat="1" applyFont="1" applyBorder="1" applyAlignment="1">
      <alignment horizontal="center" vertical="center"/>
    </xf>
    <xf numFmtId="176" fontId="23" fillId="0" borderId="7" xfId="0" applyNumberFormat="1" applyFont="1" applyBorder="1" applyAlignment="1">
      <alignment horizontal="center" vertical="center"/>
    </xf>
    <xf numFmtId="176" fontId="23" fillId="0" borderId="4" xfId="0" applyNumberFormat="1" applyFont="1" applyBorder="1" applyAlignment="1">
      <alignment horizontal="center" vertical="center"/>
    </xf>
    <xf numFmtId="0" fontId="0" fillId="4" borderId="10" xfId="0" applyFont="1" applyFill="1" applyBorder="1" applyAlignment="1">
      <alignment horizontal="center" vertical="center"/>
    </xf>
    <xf numFmtId="0" fontId="26" fillId="4" borderId="1" xfId="0" applyFont="1" applyFill="1" applyBorder="1" applyAlignment="1">
      <alignment horizontal="center" vertical="center" wrapText="1"/>
    </xf>
    <xf numFmtId="0" fontId="12" fillId="4" borderId="1" xfId="0" applyFont="1" applyFill="1" applyBorder="1" applyAlignment="1">
      <alignment horizontal="center" vertical="center"/>
    </xf>
    <xf numFmtId="0" fontId="38" fillId="4" borderId="1" xfId="0" applyFont="1" applyFill="1" applyBorder="1" applyAlignment="1">
      <alignment horizontal="center" vertical="center" wrapText="1"/>
    </xf>
    <xf numFmtId="0" fontId="32" fillId="4" borderId="1" xfId="0" applyFont="1" applyFill="1" applyBorder="1" applyAlignment="1">
      <alignment horizontal="center" vertical="center"/>
    </xf>
    <xf numFmtId="0" fontId="25" fillId="4" borderId="1" xfId="0" applyFont="1" applyFill="1" applyBorder="1" applyAlignment="1">
      <alignment horizontal="center" vertical="center"/>
    </xf>
    <xf numFmtId="0" fontId="12" fillId="4" borderId="8"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23" fillId="0" borderId="8" xfId="0" applyFont="1" applyFill="1" applyBorder="1" applyAlignment="1">
      <alignment horizontal="center" vertical="center"/>
    </xf>
    <xf numFmtId="0" fontId="23" fillId="0" borderId="9"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7" xfId="0" applyFont="1" applyBorder="1" applyAlignment="1">
      <alignment horizontal="center" vertical="center"/>
    </xf>
    <xf numFmtId="0" fontId="23" fillId="0" borderId="4" xfId="0" applyFont="1" applyBorder="1" applyAlignment="1">
      <alignment horizontal="center" vertical="center"/>
    </xf>
    <xf numFmtId="0" fontId="0" fillId="6" borderId="7" xfId="0" applyFill="1" applyBorder="1" applyAlignment="1">
      <alignment horizontal="center" vertical="center"/>
    </xf>
    <xf numFmtId="0" fontId="0" fillId="0" borderId="8" xfId="0" applyFont="1" applyFill="1" applyBorder="1" applyAlignment="1">
      <alignment horizontal="center" vertical="center" wrapText="1"/>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Fill="1" applyBorder="1" applyAlignment="1">
      <alignment horizontal="center" vertical="center" wrapText="1"/>
    </xf>
    <xf numFmtId="0" fontId="25" fillId="4" borderId="1" xfId="0" applyNumberFormat="1" applyFont="1" applyFill="1" applyBorder="1" applyAlignment="1">
      <alignment horizontal="center" vertical="center"/>
    </xf>
    <xf numFmtId="176" fontId="25" fillId="4" borderId="1" xfId="0" applyNumberFormat="1" applyFont="1" applyFill="1" applyBorder="1" applyAlignment="1">
      <alignment horizontal="center" vertical="center"/>
    </xf>
    <xf numFmtId="0" fontId="12" fillId="4" borderId="8" xfId="0" applyFont="1" applyFill="1" applyBorder="1" applyAlignment="1">
      <alignment horizontal="left" vertical="center" wrapText="1"/>
    </xf>
    <xf numFmtId="0" fontId="12" fillId="4" borderId="9" xfId="0" applyFont="1" applyFill="1" applyBorder="1" applyAlignment="1">
      <alignment horizontal="left" vertical="center" wrapText="1"/>
    </xf>
    <xf numFmtId="0" fontId="12" fillId="4" borderId="2"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12" fillId="4" borderId="7"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1" fillId="4" borderId="8" xfId="0" applyFont="1" applyFill="1" applyBorder="1" applyAlignment="1">
      <alignment horizontal="left" vertical="center" wrapText="1"/>
    </xf>
    <xf numFmtId="0" fontId="4" fillId="0" borderId="9"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19" fillId="4" borderId="48" xfId="0" applyFont="1" applyFill="1" applyBorder="1" applyAlignment="1">
      <alignment horizontal="center" vertical="center"/>
    </xf>
    <xf numFmtId="0" fontId="19" fillId="4" borderId="49" xfId="0" applyFont="1" applyFill="1" applyBorder="1" applyAlignment="1">
      <alignment horizontal="center" vertical="center"/>
    </xf>
    <xf numFmtId="0" fontId="19" fillId="4" borderId="50" xfId="0" applyFont="1" applyFill="1" applyBorder="1" applyAlignment="1">
      <alignment horizontal="center" vertical="center"/>
    </xf>
    <xf numFmtId="0" fontId="19" fillId="4" borderId="51" xfId="0" applyFont="1" applyFill="1" applyBorder="1" applyAlignment="1">
      <alignment horizontal="center" vertical="center"/>
    </xf>
    <xf numFmtId="0" fontId="19" fillId="4" borderId="52" xfId="0" applyFont="1" applyFill="1" applyBorder="1" applyAlignment="1">
      <alignment horizontal="center" vertical="center"/>
    </xf>
    <xf numFmtId="0" fontId="19" fillId="4" borderId="53" xfId="0" applyFont="1" applyFill="1" applyBorder="1" applyAlignment="1">
      <alignment horizontal="center" vertical="center"/>
    </xf>
    <xf numFmtId="0" fontId="25" fillId="0" borderId="9" xfId="0" applyFont="1" applyBorder="1" applyAlignment="1">
      <alignment horizontal="center" vertical="center"/>
    </xf>
    <xf numFmtId="0" fontId="25" fillId="0" borderId="2" xfId="0" applyFont="1" applyBorder="1" applyAlignment="1">
      <alignment horizontal="center" vertical="center"/>
    </xf>
    <xf numFmtId="0" fontId="25" fillId="0" borderId="7" xfId="0" applyFont="1" applyBorder="1" applyAlignment="1">
      <alignment horizontal="center" vertical="center"/>
    </xf>
    <xf numFmtId="0" fontId="25" fillId="0" borderId="4" xfId="0" applyFont="1" applyBorder="1" applyAlignment="1">
      <alignment horizontal="center" vertical="center"/>
    </xf>
    <xf numFmtId="0" fontId="11"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4" xfId="0" applyFont="1" applyBorder="1" applyAlignment="1">
      <alignment horizontal="center" vertical="center" wrapText="1"/>
    </xf>
    <xf numFmtId="0" fontId="25" fillId="4" borderId="1" xfId="0" applyFont="1" applyFill="1" applyBorder="1" applyAlignment="1">
      <alignment horizontal="center" vertical="center" wrapText="1"/>
    </xf>
    <xf numFmtId="0" fontId="32" fillId="4" borderId="8" xfId="0" applyFont="1" applyFill="1" applyBorder="1" applyAlignment="1">
      <alignment horizontal="left" vertical="center" wrapText="1"/>
    </xf>
    <xf numFmtId="0" fontId="32" fillId="4" borderId="9" xfId="0" applyFont="1" applyFill="1" applyBorder="1" applyAlignment="1">
      <alignment horizontal="left" vertical="center" wrapText="1"/>
    </xf>
    <xf numFmtId="0" fontId="32" fillId="4" borderId="2" xfId="0" applyFont="1" applyFill="1" applyBorder="1" applyAlignment="1">
      <alignment horizontal="left" vertical="center" wrapText="1"/>
    </xf>
    <xf numFmtId="0" fontId="32" fillId="4" borderId="3" xfId="0" applyFont="1" applyFill="1" applyBorder="1" applyAlignment="1">
      <alignment horizontal="left" vertical="center" wrapText="1"/>
    </xf>
    <xf numFmtId="0" fontId="32" fillId="4" borderId="7" xfId="0" applyFont="1" applyFill="1" applyBorder="1" applyAlignment="1">
      <alignment horizontal="left" vertical="center" wrapText="1"/>
    </xf>
    <xf numFmtId="0" fontId="32" fillId="4" borderId="4" xfId="0" applyFont="1" applyFill="1" applyBorder="1" applyAlignment="1">
      <alignment horizontal="left" vertical="center" wrapText="1"/>
    </xf>
    <xf numFmtId="0" fontId="12" fillId="4" borderId="1" xfId="0" applyFont="1" applyFill="1" applyBorder="1" applyAlignment="1">
      <alignment horizontal="center" vertical="center" wrapText="1"/>
    </xf>
    <xf numFmtId="0" fontId="25" fillId="0" borderId="1" xfId="0" applyFont="1" applyFill="1" applyBorder="1" applyAlignment="1">
      <alignment horizontal="center" vertical="center"/>
    </xf>
    <xf numFmtId="0" fontId="11" fillId="4" borderId="9" xfId="0" applyFont="1" applyFill="1" applyBorder="1" applyAlignment="1">
      <alignment horizontal="left" vertical="center" wrapText="1"/>
    </xf>
    <xf numFmtId="0" fontId="11" fillId="4" borderId="2" xfId="0" applyFont="1" applyFill="1" applyBorder="1" applyAlignment="1">
      <alignment horizontal="left" vertical="center" wrapText="1"/>
    </xf>
    <xf numFmtId="0" fontId="11" fillId="4" borderId="3" xfId="0" applyFont="1" applyFill="1" applyBorder="1" applyAlignment="1">
      <alignment horizontal="left" vertical="center" wrapText="1"/>
    </xf>
    <xf numFmtId="0" fontId="11" fillId="4" borderId="7"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2" fillId="0" borderId="9"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7" xfId="0" applyFont="1" applyBorder="1" applyAlignment="1">
      <alignment horizontal="left" vertical="center" wrapText="1"/>
    </xf>
    <xf numFmtId="0" fontId="12" fillId="0" borderId="4" xfId="0" applyFont="1" applyBorder="1" applyAlignment="1">
      <alignment horizontal="left" vertical="center" wrapText="1"/>
    </xf>
    <xf numFmtId="0" fontId="33" fillId="0" borderId="1" xfId="0" applyFont="1" applyFill="1" applyBorder="1" applyAlignment="1">
      <alignment horizontal="center" vertical="center"/>
    </xf>
    <xf numFmtId="0" fontId="32" fillId="0" borderId="9"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7" xfId="0" applyFont="1" applyBorder="1" applyAlignment="1">
      <alignment horizontal="left" vertical="center" wrapText="1"/>
    </xf>
    <xf numFmtId="0" fontId="32" fillId="0" borderId="4" xfId="0" applyFont="1" applyBorder="1" applyAlignment="1">
      <alignment horizontal="left" vertical="center" wrapText="1"/>
    </xf>
    <xf numFmtId="0" fontId="0" fillId="6" borderId="0" xfId="0" applyFill="1" applyBorder="1" applyAlignment="1">
      <alignment horizontal="left" vertical="center" wrapText="1"/>
    </xf>
    <xf numFmtId="0" fontId="0" fillId="6" borderId="7" xfId="0" applyFill="1" applyBorder="1" applyAlignment="1">
      <alignment horizontal="left" vertical="center" wrapText="1"/>
    </xf>
    <xf numFmtId="0" fontId="22" fillId="6" borderId="0" xfId="0" applyFont="1" applyFill="1" applyBorder="1" applyAlignment="1">
      <alignment horizontal="left" vertical="top" wrapText="1"/>
    </xf>
    <xf numFmtId="0" fontId="19" fillId="4" borderId="1" xfId="0" applyFont="1" applyFill="1" applyBorder="1" applyAlignment="1">
      <alignment horizontal="center" vertical="center"/>
    </xf>
    <xf numFmtId="179" fontId="19" fillId="4" borderId="1" xfId="0" applyNumberFormat="1" applyFont="1" applyFill="1" applyBorder="1" applyAlignment="1">
      <alignment horizontal="center" vertical="center"/>
    </xf>
    <xf numFmtId="0" fontId="34" fillId="4" borderId="1" xfId="0" applyFont="1" applyFill="1" applyBorder="1" applyAlignment="1">
      <alignment horizontal="center" vertical="center"/>
    </xf>
    <xf numFmtId="0" fontId="23" fillId="4" borderId="1" xfId="0" applyFont="1" applyFill="1" applyBorder="1" applyAlignment="1">
      <alignment horizontal="center" vertical="center"/>
    </xf>
    <xf numFmtId="176" fontId="16" fillId="4" borderId="1" xfId="0" applyNumberFormat="1" applyFont="1" applyFill="1" applyBorder="1" applyAlignment="1">
      <alignment horizontal="center" vertical="center"/>
    </xf>
    <xf numFmtId="0" fontId="19" fillId="4" borderId="5" xfId="0" applyFont="1" applyFill="1" applyBorder="1" applyAlignment="1">
      <alignment horizontal="center" vertical="center"/>
    </xf>
    <xf numFmtId="0" fontId="19" fillId="4" borderId="0" xfId="0" applyFont="1" applyFill="1" applyBorder="1" applyAlignment="1">
      <alignment horizontal="center" vertical="center"/>
    </xf>
    <xf numFmtId="0" fontId="19" fillId="4" borderId="6" xfId="0" applyFont="1" applyFill="1" applyBorder="1" applyAlignment="1">
      <alignment horizontal="center" vertical="center"/>
    </xf>
    <xf numFmtId="0" fontId="34" fillId="0" borderId="1" xfId="0" applyFont="1" applyBorder="1" applyAlignment="1">
      <alignment horizontal="center" vertical="center"/>
    </xf>
    <xf numFmtId="176" fontId="35" fillId="4" borderId="8" xfId="0" applyNumberFormat="1" applyFont="1" applyFill="1" applyBorder="1" applyAlignment="1">
      <alignment horizontal="center" vertical="center"/>
    </xf>
    <xf numFmtId="176" fontId="35" fillId="4" borderId="9" xfId="0" applyNumberFormat="1" applyFont="1" applyFill="1" applyBorder="1" applyAlignment="1">
      <alignment horizontal="center" vertical="center"/>
    </xf>
    <xf numFmtId="176" fontId="35" fillId="4" borderId="2" xfId="0" applyNumberFormat="1" applyFont="1" applyFill="1" applyBorder="1" applyAlignment="1">
      <alignment horizontal="center" vertical="center"/>
    </xf>
    <xf numFmtId="176" fontId="35" fillId="4" borderId="5" xfId="0" applyNumberFormat="1" applyFont="1" applyFill="1" applyBorder="1" applyAlignment="1">
      <alignment horizontal="center" vertical="center"/>
    </xf>
    <xf numFmtId="176" fontId="35" fillId="4" borderId="0" xfId="0" applyNumberFormat="1" applyFont="1" applyFill="1" applyBorder="1" applyAlignment="1">
      <alignment horizontal="center" vertical="center"/>
    </xf>
    <xf numFmtId="176" fontId="35" fillId="4" borderId="6" xfId="0" applyNumberFormat="1" applyFont="1" applyFill="1" applyBorder="1" applyAlignment="1">
      <alignment horizontal="center" vertical="center"/>
    </xf>
    <xf numFmtId="176" fontId="35" fillId="4" borderId="3" xfId="0" applyNumberFormat="1" applyFont="1" applyFill="1" applyBorder="1" applyAlignment="1">
      <alignment horizontal="center" vertical="center"/>
    </xf>
    <xf numFmtId="176" fontId="35" fillId="4" borderId="7" xfId="0" applyNumberFormat="1" applyFont="1" applyFill="1" applyBorder="1" applyAlignment="1">
      <alignment horizontal="center" vertical="center"/>
    </xf>
    <xf numFmtId="176" fontId="35" fillId="4" borderId="4" xfId="0" applyNumberFormat="1" applyFont="1" applyFill="1" applyBorder="1" applyAlignment="1">
      <alignment horizontal="center" vertical="center"/>
    </xf>
    <xf numFmtId="0" fontId="0" fillId="0" borderId="0" xfId="0" applyBorder="1" applyAlignment="1">
      <alignment vertical="center"/>
    </xf>
    <xf numFmtId="0" fontId="19" fillId="8" borderId="5" xfId="0" applyNumberFormat="1" applyFont="1" applyFill="1" applyBorder="1" applyAlignment="1">
      <alignment vertical="center"/>
    </xf>
    <xf numFmtId="0" fontId="4" fillId="4" borderId="21" xfId="0" applyFont="1" applyFill="1" applyBorder="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4" fillId="4" borderId="20" xfId="0" applyFont="1" applyFill="1" applyBorder="1" applyAlignment="1" applyProtection="1">
      <alignment horizontal="center" vertical="center"/>
      <protection locked="0"/>
    </xf>
    <xf numFmtId="0" fontId="4" fillId="4" borderId="37" xfId="0" applyFont="1" applyFill="1" applyBorder="1" applyProtection="1">
      <alignment vertical="center"/>
      <protection locked="0"/>
    </xf>
    <xf numFmtId="0" fontId="4" fillId="4" borderId="22" xfId="0" applyFont="1" applyFill="1" applyBorder="1" applyProtection="1">
      <alignment vertical="center"/>
      <protection locked="0"/>
    </xf>
    <xf numFmtId="0" fontId="4" fillId="0" borderId="22" xfId="0" applyFont="1" applyFill="1" applyBorder="1" applyAlignment="1" applyProtection="1">
      <alignment vertical="center" wrapText="1"/>
      <protection locked="0"/>
    </xf>
    <xf numFmtId="0" fontId="4" fillId="4" borderId="22" xfId="0" applyFont="1" applyFill="1" applyBorder="1" applyAlignment="1" applyProtection="1">
      <alignment vertical="center" wrapText="1"/>
      <protection locked="0"/>
    </xf>
    <xf numFmtId="178" fontId="4" fillId="4" borderId="28" xfId="0" applyNumberFormat="1" applyFont="1" applyFill="1" applyBorder="1" applyAlignment="1" applyProtection="1">
      <alignment horizontal="right" vertical="center"/>
      <protection locked="0"/>
    </xf>
    <xf numFmtId="178" fontId="4" fillId="4" borderId="43" xfId="0" applyNumberFormat="1" applyFont="1" applyFill="1" applyBorder="1" applyAlignment="1" applyProtection="1">
      <alignment horizontal="right" vertical="center"/>
      <protection locked="0"/>
    </xf>
    <xf numFmtId="176" fontId="4" fillId="4" borderId="43" xfId="0" applyNumberFormat="1" applyFont="1" applyFill="1" applyBorder="1" applyAlignment="1" applyProtection="1">
      <alignment horizontal="right" vertical="center"/>
      <protection locked="0"/>
    </xf>
    <xf numFmtId="0" fontId="4" fillId="4" borderId="43" xfId="0" applyFont="1" applyFill="1" applyBorder="1" applyAlignment="1" applyProtection="1">
      <alignment horizontal="right" vertical="center"/>
      <protection locked="0"/>
    </xf>
    <xf numFmtId="0" fontId="4" fillId="4" borderId="32" xfId="0" applyFont="1" applyFill="1" applyBorder="1" applyAlignment="1" applyProtection="1">
      <alignment horizontal="right" vertical="center"/>
      <protection locked="0"/>
    </xf>
    <xf numFmtId="178" fontId="4" fillId="4" borderId="32" xfId="0" applyNumberFormat="1" applyFont="1" applyFill="1" applyBorder="1" applyAlignment="1" applyProtection="1">
      <alignment horizontal="right" vertical="center"/>
      <protection locked="0"/>
    </xf>
    <xf numFmtId="178" fontId="4" fillId="0" borderId="39" xfId="0" applyNumberFormat="1" applyFont="1" applyFill="1" applyBorder="1" applyAlignment="1" applyProtection="1">
      <alignment horizontal="right" vertical="center"/>
      <protection locked="0"/>
    </xf>
    <xf numFmtId="178" fontId="4" fillId="0" borderId="32" xfId="0" applyNumberFormat="1" applyFont="1" applyFill="1" applyBorder="1" applyAlignment="1" applyProtection="1">
      <alignment horizontal="right" vertical="center"/>
      <protection locked="0"/>
    </xf>
    <xf numFmtId="176" fontId="4" fillId="4" borderId="32" xfId="0" applyNumberFormat="1" applyFont="1" applyFill="1" applyBorder="1" applyAlignment="1" applyProtection="1">
      <alignment horizontal="right" vertical="center"/>
      <protection locked="0"/>
    </xf>
    <xf numFmtId="0" fontId="4" fillId="0" borderId="32" xfId="0" applyFont="1" applyFill="1" applyBorder="1" applyAlignment="1" applyProtection="1">
      <alignment horizontal="right" vertical="center"/>
      <protection locked="0"/>
    </xf>
    <xf numFmtId="178" fontId="4" fillId="0" borderId="43" xfId="0" applyNumberFormat="1" applyFont="1" applyFill="1" applyBorder="1" applyAlignment="1" applyProtection="1">
      <alignment horizontal="right" vertical="center"/>
      <protection locked="0"/>
    </xf>
    <xf numFmtId="178" fontId="4" fillId="0" borderId="38" xfId="0" applyNumberFormat="1" applyFont="1" applyFill="1" applyBorder="1" applyAlignment="1" applyProtection="1">
      <alignment horizontal="center" vertical="center"/>
      <protection locked="0"/>
    </xf>
    <xf numFmtId="178" fontId="4" fillId="0" borderId="43" xfId="0" applyNumberFormat="1" applyFont="1" applyFill="1" applyBorder="1" applyAlignment="1" applyProtection="1">
      <alignment horizontal="center" vertical="center"/>
      <protection locked="0"/>
    </xf>
    <xf numFmtId="178" fontId="4" fillId="0" borderId="32" xfId="0" applyNumberFormat="1" applyFont="1" applyFill="1" applyBorder="1" applyAlignment="1" applyProtection="1">
      <alignment vertical="center"/>
      <protection locked="0"/>
    </xf>
    <xf numFmtId="176" fontId="4" fillId="4" borderId="32" xfId="0" applyNumberFormat="1" applyFont="1" applyFill="1" applyBorder="1" applyAlignment="1" applyProtection="1">
      <alignment vertical="center"/>
      <protection locked="0"/>
    </xf>
    <xf numFmtId="0" fontId="4" fillId="0" borderId="32" xfId="0" applyFont="1" applyFill="1" applyBorder="1" applyAlignment="1" applyProtection="1">
      <alignment vertical="center"/>
      <protection locked="0"/>
    </xf>
    <xf numFmtId="0" fontId="4" fillId="0" borderId="43" xfId="0" applyFont="1" applyFill="1" applyBorder="1" applyAlignment="1" applyProtection="1">
      <alignment horizontal="right" vertical="center"/>
      <protection locked="0"/>
    </xf>
    <xf numFmtId="176" fontId="4" fillId="4" borderId="43" xfId="0" applyNumberFormat="1" applyFont="1" applyFill="1" applyBorder="1" applyAlignment="1" applyProtection="1">
      <alignment horizontal="center" vertical="center"/>
      <protection locked="0"/>
    </xf>
    <xf numFmtId="0" fontId="4" fillId="0" borderId="43" xfId="0" applyFont="1" applyFill="1" applyBorder="1" applyAlignment="1" applyProtection="1">
      <alignment horizontal="center" vertical="center"/>
      <protection locked="0"/>
    </xf>
    <xf numFmtId="176" fontId="4" fillId="4" borderId="32" xfId="0" applyNumberFormat="1" applyFont="1" applyFill="1" applyBorder="1" applyAlignment="1" applyProtection="1">
      <alignment horizontal="center" vertical="center"/>
      <protection locked="0"/>
    </xf>
    <xf numFmtId="178" fontId="4" fillId="0" borderId="43" xfId="0" applyNumberFormat="1" applyFont="1" applyFill="1" applyBorder="1" applyAlignment="1" applyProtection="1">
      <alignment vertical="center"/>
      <protection locked="0"/>
    </xf>
    <xf numFmtId="176" fontId="4" fillId="4" borderId="43" xfId="0" applyNumberFormat="1" applyFont="1" applyFill="1" applyBorder="1" applyAlignment="1" applyProtection="1">
      <alignment vertical="center"/>
      <protection locked="0"/>
    </xf>
    <xf numFmtId="0" fontId="4" fillId="0" borderId="43" xfId="0" applyFont="1" applyFill="1" applyBorder="1" applyAlignment="1" applyProtection="1">
      <alignment vertical="center"/>
      <protection locked="0"/>
    </xf>
    <xf numFmtId="178" fontId="4" fillId="0" borderId="32" xfId="0" applyNumberFormat="1" applyFont="1" applyFill="1" applyBorder="1" applyAlignment="1" applyProtection="1">
      <alignment horizontal="center" vertical="center"/>
      <protection locked="0"/>
    </xf>
    <xf numFmtId="0" fontId="4" fillId="0" borderId="22" xfId="0" applyFont="1" applyFill="1" applyBorder="1" applyAlignment="1" applyProtection="1">
      <alignment horizontal="right" vertical="center"/>
      <protection locked="0"/>
    </xf>
    <xf numFmtId="0" fontId="4" fillId="0" borderId="22" xfId="16" applyNumberFormat="1" applyFont="1" applyFill="1" applyBorder="1" applyAlignment="1" applyProtection="1">
      <alignment vertical="center"/>
      <protection locked="0"/>
    </xf>
    <xf numFmtId="0" fontId="4" fillId="0" borderId="22" xfId="0" applyFont="1" applyFill="1" applyBorder="1" applyAlignment="1" applyProtection="1">
      <alignment vertical="center"/>
      <protection locked="0"/>
    </xf>
    <xf numFmtId="0" fontId="4" fillId="0" borderId="32" xfId="0" applyFont="1" applyFill="1" applyBorder="1" applyProtection="1">
      <alignment vertical="center"/>
      <protection locked="0"/>
    </xf>
    <xf numFmtId="0" fontId="4" fillId="0" borderId="44" xfId="0" applyFont="1" applyFill="1" applyBorder="1" applyProtection="1">
      <alignment vertical="center"/>
      <protection locked="0"/>
    </xf>
    <xf numFmtId="0" fontId="4" fillId="4" borderId="24" xfId="0" applyFont="1" applyFill="1" applyBorder="1" applyAlignment="1" applyProtection="1">
      <alignment horizontal="center" vertical="center"/>
      <protection locked="0"/>
    </xf>
    <xf numFmtId="0" fontId="4" fillId="4" borderId="23" xfId="0" applyFont="1" applyFill="1" applyBorder="1" applyAlignment="1" applyProtection="1">
      <alignment horizontal="center" vertical="center"/>
      <protection locked="0"/>
    </xf>
    <xf numFmtId="0" fontId="4" fillId="4" borderId="25" xfId="0" applyFont="1" applyFill="1" applyBorder="1" applyAlignment="1" applyProtection="1">
      <alignment horizontal="center" vertical="center"/>
      <protection locked="0"/>
    </xf>
    <xf numFmtId="176" fontId="4" fillId="4" borderId="40" xfId="0" applyNumberFormat="1" applyFont="1" applyFill="1" applyBorder="1" applyAlignment="1" applyProtection="1">
      <alignment horizontal="center" vertical="center"/>
      <protection locked="0"/>
    </xf>
    <xf numFmtId="176" fontId="4" fillId="4" borderId="23" xfId="0" applyNumberFormat="1" applyFont="1" applyFill="1" applyBorder="1" applyAlignment="1" applyProtection="1">
      <alignment horizontal="center" vertical="center"/>
      <protection locked="0"/>
    </xf>
    <xf numFmtId="178" fontId="4" fillId="4" borderId="23" xfId="0" applyNumberFormat="1" applyFont="1" applyFill="1" applyBorder="1" applyAlignment="1" applyProtection="1">
      <alignment horizontal="right" vertical="center"/>
      <protection locked="0"/>
    </xf>
    <xf numFmtId="178" fontId="4" fillId="4" borderId="35" xfId="0" applyNumberFormat="1" applyFont="1" applyFill="1" applyBorder="1" applyAlignment="1" applyProtection="1">
      <alignment horizontal="right" vertical="center"/>
      <protection locked="0"/>
    </xf>
    <xf numFmtId="176" fontId="4" fillId="4" borderId="35" xfId="0" applyNumberFormat="1" applyFont="1" applyFill="1" applyBorder="1" applyAlignment="1" applyProtection="1">
      <alignment horizontal="right" vertical="center"/>
      <protection locked="0"/>
    </xf>
    <xf numFmtId="0" fontId="4" fillId="4" borderId="35" xfId="0" applyFont="1" applyFill="1" applyBorder="1" applyAlignment="1" applyProtection="1">
      <alignment horizontal="right" vertical="center"/>
      <protection locked="0"/>
    </xf>
    <xf numFmtId="0" fontId="4" fillId="4" borderId="30" xfId="0" applyFont="1" applyFill="1" applyBorder="1" applyAlignment="1" applyProtection="1">
      <alignment horizontal="right" vertical="center"/>
      <protection locked="0"/>
    </xf>
    <xf numFmtId="178" fontId="4" fillId="4" borderId="30" xfId="0" applyNumberFormat="1" applyFont="1" applyFill="1" applyBorder="1" applyAlignment="1" applyProtection="1">
      <alignment horizontal="right" vertical="center"/>
      <protection locked="0"/>
    </xf>
    <xf numFmtId="178" fontId="4" fillId="0" borderId="34" xfId="0" applyNumberFormat="1" applyFont="1" applyFill="1" applyBorder="1" applyAlignment="1" applyProtection="1">
      <alignment horizontal="right" vertical="center"/>
      <protection locked="0"/>
    </xf>
    <xf numFmtId="178" fontId="4" fillId="0" borderId="30" xfId="0" applyNumberFormat="1" applyFont="1" applyFill="1" applyBorder="1" applyAlignment="1" applyProtection="1">
      <alignment horizontal="right" vertical="center"/>
      <protection locked="0"/>
    </xf>
    <xf numFmtId="176" fontId="4" fillId="4" borderId="30" xfId="0" applyNumberFormat="1" applyFont="1" applyFill="1" applyBorder="1" applyAlignment="1" applyProtection="1">
      <alignment horizontal="right" vertical="center"/>
      <protection locked="0"/>
    </xf>
    <xf numFmtId="0" fontId="4" fillId="0" borderId="30" xfId="0" applyFont="1" applyFill="1" applyBorder="1" applyAlignment="1" applyProtection="1">
      <alignment horizontal="right" vertical="center"/>
      <protection locked="0"/>
    </xf>
    <xf numFmtId="178" fontId="4" fillId="0" borderId="35" xfId="0" applyNumberFormat="1" applyFont="1" applyFill="1" applyBorder="1" applyAlignment="1" applyProtection="1">
      <alignment horizontal="right" vertical="center"/>
      <protection locked="0"/>
    </xf>
    <xf numFmtId="178" fontId="4" fillId="0" borderId="36" xfId="0" applyNumberFormat="1" applyFont="1" applyFill="1" applyBorder="1" applyAlignment="1" applyProtection="1">
      <alignment horizontal="center" vertical="center"/>
      <protection locked="0"/>
    </xf>
    <xf numFmtId="178" fontId="4" fillId="0" borderId="35" xfId="0" applyNumberFormat="1" applyFont="1" applyFill="1" applyBorder="1" applyAlignment="1" applyProtection="1">
      <alignment horizontal="center" vertical="center"/>
      <protection locked="0"/>
    </xf>
    <xf numFmtId="178" fontId="4" fillId="0" borderId="30" xfId="0" applyNumberFormat="1" applyFont="1" applyFill="1" applyBorder="1" applyAlignment="1" applyProtection="1">
      <alignment vertical="center"/>
      <protection locked="0"/>
    </xf>
    <xf numFmtId="176" fontId="4" fillId="4" borderId="30" xfId="0" applyNumberFormat="1" applyFont="1" applyFill="1" applyBorder="1" applyAlignment="1" applyProtection="1">
      <alignment vertical="center"/>
      <protection locked="0"/>
    </xf>
    <xf numFmtId="0" fontId="4" fillId="0" borderId="30" xfId="0" applyFont="1" applyFill="1" applyBorder="1" applyAlignment="1" applyProtection="1">
      <alignment vertical="center"/>
      <protection locked="0"/>
    </xf>
    <xf numFmtId="0" fontId="4" fillId="0" borderId="35" xfId="0" applyFont="1" applyFill="1" applyBorder="1" applyAlignment="1" applyProtection="1">
      <alignment horizontal="right" vertical="center"/>
      <protection locked="0"/>
    </xf>
    <xf numFmtId="176" fontId="4" fillId="4" borderId="35" xfId="0" applyNumberFormat="1" applyFont="1" applyFill="1" applyBorder="1" applyAlignment="1" applyProtection="1">
      <alignment horizontal="center" vertical="center"/>
      <protection locked="0"/>
    </xf>
    <xf numFmtId="0" fontId="4" fillId="0" borderId="35" xfId="0" applyFont="1" applyFill="1" applyBorder="1" applyAlignment="1" applyProtection="1">
      <alignment horizontal="center" vertical="center"/>
      <protection locked="0"/>
    </xf>
    <xf numFmtId="176" fontId="4" fillId="4" borderId="30" xfId="0" applyNumberFormat="1" applyFont="1" applyFill="1" applyBorder="1" applyAlignment="1" applyProtection="1">
      <alignment horizontal="center" vertical="center"/>
      <protection locked="0"/>
    </xf>
    <xf numFmtId="178" fontId="4" fillId="0" borderId="35" xfId="0" applyNumberFormat="1" applyFont="1" applyFill="1" applyBorder="1" applyAlignment="1" applyProtection="1">
      <alignment vertical="center"/>
      <protection locked="0"/>
    </xf>
    <xf numFmtId="176" fontId="4" fillId="4" borderId="35" xfId="0" applyNumberFormat="1" applyFont="1" applyFill="1" applyBorder="1" applyAlignment="1" applyProtection="1">
      <alignment vertical="center"/>
      <protection locked="0"/>
    </xf>
    <xf numFmtId="0" fontId="4" fillId="0" borderId="35" xfId="0" applyFont="1" applyFill="1" applyBorder="1" applyAlignment="1" applyProtection="1">
      <alignment vertical="center"/>
      <protection locked="0"/>
    </xf>
    <xf numFmtId="178" fontId="4" fillId="0" borderId="30" xfId="0" applyNumberFormat="1" applyFont="1" applyFill="1" applyBorder="1" applyAlignment="1" applyProtection="1">
      <alignment horizontal="center" vertical="center"/>
      <protection locked="0"/>
    </xf>
    <xf numFmtId="176" fontId="4" fillId="0" borderId="23" xfId="0" applyNumberFormat="1" applyFont="1" applyFill="1" applyBorder="1" applyAlignment="1" applyProtection="1">
      <alignment horizontal="right" vertical="center"/>
      <protection locked="0"/>
    </xf>
    <xf numFmtId="176" fontId="4" fillId="0" borderId="35" xfId="16" applyNumberFormat="1" applyFont="1" applyFill="1" applyBorder="1" applyAlignment="1" applyProtection="1">
      <alignment vertical="center"/>
      <protection locked="0"/>
    </xf>
    <xf numFmtId="176" fontId="4" fillId="0" borderId="23" xfId="16" applyNumberFormat="1" applyFont="1" applyFill="1" applyBorder="1" applyAlignment="1" applyProtection="1">
      <alignment vertical="center"/>
      <protection locked="0"/>
    </xf>
    <xf numFmtId="176" fontId="4" fillId="0" borderId="30" xfId="0" applyNumberFormat="1" applyFont="1" applyFill="1" applyBorder="1" applyAlignment="1" applyProtection="1">
      <alignment vertical="center"/>
      <protection locked="0"/>
    </xf>
    <xf numFmtId="176" fontId="4" fillId="0" borderId="35" xfId="0" applyNumberFormat="1" applyFont="1" applyFill="1" applyBorder="1" applyAlignment="1" applyProtection="1">
      <alignment vertical="center"/>
      <protection locked="0"/>
    </xf>
    <xf numFmtId="176" fontId="4" fillId="0" borderId="23" xfId="0" applyNumberFormat="1" applyFont="1" applyFill="1" applyBorder="1" applyProtection="1">
      <alignment vertical="center"/>
      <protection locked="0"/>
    </xf>
    <xf numFmtId="176" fontId="4" fillId="0" borderId="25" xfId="0" applyNumberFormat="1" applyFont="1" applyFill="1" applyBorder="1" applyProtection="1">
      <alignment vertical="center"/>
      <protection locked="0"/>
    </xf>
    <xf numFmtId="0" fontId="4" fillId="5" borderId="8" xfId="0" applyFont="1" applyFill="1" applyBorder="1" applyAlignment="1" applyProtection="1">
      <alignment horizontal="center" vertical="center" textRotation="255" wrapText="1"/>
      <protection locked="0"/>
    </xf>
    <xf numFmtId="0" fontId="4" fillId="5" borderId="35" xfId="0" applyFont="1" applyFill="1" applyBorder="1" applyAlignment="1" applyProtection="1">
      <alignment horizontal="center" vertical="center" textRotation="255" wrapText="1"/>
      <protection locked="0"/>
    </xf>
    <xf numFmtId="0" fontId="15" fillId="0" borderId="0" xfId="0" applyFont="1" applyFill="1" applyAlignment="1" applyProtection="1">
      <alignment horizontal="left" vertical="center"/>
      <protection locked="0"/>
    </xf>
    <xf numFmtId="176" fontId="14" fillId="0" borderId="28" xfId="0" applyNumberFormat="1" applyFont="1" applyFill="1" applyBorder="1" applyAlignment="1" applyProtection="1">
      <alignment horizontal="right" vertical="center"/>
    </xf>
    <xf numFmtId="49" fontId="15" fillId="0" borderId="47" xfId="0" applyNumberFormat="1" applyFont="1" applyFill="1" applyBorder="1" applyAlignment="1" applyProtection="1">
      <alignment horizontal="center" vertical="center"/>
      <protection locked="0"/>
    </xf>
    <xf numFmtId="0" fontId="15" fillId="0" borderId="32" xfId="0" applyFont="1" applyFill="1" applyBorder="1" applyAlignment="1" applyProtection="1">
      <alignment horizontal="center" vertical="center"/>
      <protection locked="0"/>
    </xf>
    <xf numFmtId="176" fontId="15" fillId="0" borderId="32" xfId="0" applyNumberFormat="1" applyFont="1" applyFill="1" applyBorder="1" applyAlignment="1" applyProtection="1">
      <alignment horizontal="right" vertical="center"/>
    </xf>
    <xf numFmtId="49" fontId="33" fillId="0" borderId="45" xfId="0" applyNumberFormat="1" applyFont="1" applyFill="1" applyBorder="1" applyAlignment="1" applyProtection="1">
      <alignment horizontal="center" vertical="center"/>
      <protection locked="0"/>
    </xf>
    <xf numFmtId="0" fontId="33" fillId="0" borderId="1" xfId="0" applyFont="1" applyFill="1" applyBorder="1" applyAlignment="1" applyProtection="1">
      <alignment horizontal="center" vertical="center"/>
      <protection locked="0"/>
    </xf>
    <xf numFmtId="176" fontId="15" fillId="0" borderId="1" xfId="0" applyNumberFormat="1" applyFont="1" applyFill="1" applyBorder="1" applyAlignment="1" applyProtection="1">
      <alignment horizontal="right" vertical="center"/>
    </xf>
    <xf numFmtId="0" fontId="15" fillId="0" borderId="9" xfId="0" applyFont="1" applyFill="1" applyBorder="1" applyAlignment="1" applyProtection="1">
      <alignment horizontal="left" vertical="center"/>
      <protection locked="0"/>
    </xf>
  </cellXfs>
  <cellStyles count="20">
    <cellStyle name="どちらでもない 2" xfId="7" xr:uid="{00000000-0005-0000-0000-000000000000}"/>
    <cellStyle name="パーセント" xfId="16" builtinId="5"/>
    <cellStyle name="パーセント 2" xfId="2" xr:uid="{00000000-0005-0000-0000-000002000000}"/>
    <cellStyle name="ハイパーリンク 2" xfId="5" xr:uid="{00000000-0005-0000-0000-000003000000}"/>
    <cellStyle name="桁区切り 2" xfId="4" xr:uid="{00000000-0005-0000-0000-000004000000}"/>
    <cellStyle name="桁区切り 2 2" xfId="18" xr:uid="{00000000-0005-0000-0000-000005000000}"/>
    <cellStyle name="標準" xfId="0" builtinId="0"/>
    <cellStyle name="標準 2" xfId="1" xr:uid="{00000000-0005-0000-0000-000007000000}"/>
    <cellStyle name="標準 2 2" xfId="3" xr:uid="{00000000-0005-0000-0000-000008000000}"/>
    <cellStyle name="標準 2 3" xfId="9" xr:uid="{00000000-0005-0000-0000-000009000000}"/>
    <cellStyle name="標準 3" xfId="8" xr:uid="{00000000-0005-0000-0000-00000A000000}"/>
    <cellStyle name="標準 3 2" xfId="10" xr:uid="{00000000-0005-0000-0000-00000B000000}"/>
    <cellStyle name="標準 3 3" xfId="17" xr:uid="{00000000-0005-0000-0000-00000C000000}"/>
    <cellStyle name="標準 4" xfId="11" xr:uid="{00000000-0005-0000-0000-00000D000000}"/>
    <cellStyle name="標準 4 2" xfId="19" xr:uid="{00000000-0005-0000-0000-00000E000000}"/>
    <cellStyle name="標準 5" xfId="12" xr:uid="{00000000-0005-0000-0000-00000F000000}"/>
    <cellStyle name="標準 6" xfId="13" xr:uid="{00000000-0005-0000-0000-000010000000}"/>
    <cellStyle name="標準 7" xfId="14" xr:uid="{00000000-0005-0000-0000-000011000000}"/>
    <cellStyle name="標準 8" xfId="15" xr:uid="{00000000-0005-0000-0000-000012000000}"/>
    <cellStyle name="良い 2" xfId="6" xr:uid="{00000000-0005-0000-0000-000013000000}"/>
  </cellStyles>
  <dxfs count="40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0"/>
        </patternFill>
      </fill>
    </dxf>
    <dxf>
      <font>
        <color theme="0"/>
      </font>
      <fill>
        <patternFill>
          <bgColor theme="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i val="0"/>
        <strike/>
        <u val="double"/>
        <color rgb="FFFF0000"/>
      </font>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strike/>
      </font>
      <fill>
        <patternFill>
          <bgColor rgb="FFFF0000"/>
        </patternFill>
      </fill>
    </dxf>
    <dxf>
      <font>
        <b/>
        <i val="0"/>
        <strike/>
        <u val="double"/>
        <color rgb="FFFF0000"/>
      </font>
    </dxf>
    <dxf>
      <font>
        <strike/>
      </font>
      <fill>
        <patternFill>
          <bgColor rgb="FFFF0000"/>
        </patternFill>
      </fill>
    </dxf>
    <dxf>
      <font>
        <b/>
        <i val="0"/>
        <strike/>
        <u val="double"/>
        <color rgb="FFFF0000"/>
      </font>
    </dxf>
    <dxf>
      <font>
        <strike/>
      </font>
      <fill>
        <patternFill>
          <bgColor rgb="FFFF0000"/>
        </patternFill>
      </fill>
    </dxf>
    <dxf>
      <fill>
        <patternFill>
          <bgColor theme="1" tint="0.499984740745262"/>
        </patternFill>
      </fill>
    </dxf>
  </dxfs>
  <tableStyles count="0" defaultTableStyle="TableStyleMedium2" defaultPivotStyle="PivotStyleLight16"/>
  <colors>
    <mruColors>
      <color rgb="FF8EECFC"/>
      <color rgb="FFCCFFFF"/>
      <color rgb="FFD2F8FE"/>
      <color rgb="FF3399FF"/>
      <color rgb="FF66CCFF"/>
      <color rgb="FF33CCFF"/>
      <color rgb="FF009E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100</xdr:col>
      <xdr:colOff>76200</xdr:colOff>
      <xdr:row>19</xdr:row>
      <xdr:rowOff>30480</xdr:rowOff>
    </xdr:from>
    <xdr:to>
      <xdr:col>102</xdr:col>
      <xdr:colOff>152400</xdr:colOff>
      <xdr:row>21</xdr:row>
      <xdr:rowOff>0</xdr:rowOff>
    </xdr:to>
    <xdr:sp macro="" textlink="">
      <xdr:nvSpPr>
        <xdr:cNvPr id="2" name="右矢印 1">
          <a:extLst>
            <a:ext uri="{FF2B5EF4-FFF2-40B4-BE49-F238E27FC236}">
              <a16:creationId xmlns:a16="http://schemas.microsoft.com/office/drawing/2014/main" id="{ED889813-0958-4ADE-8609-C993834078D9}"/>
            </a:ext>
          </a:extLst>
        </xdr:cNvPr>
        <xdr:cNvSpPr/>
      </xdr:nvSpPr>
      <xdr:spPr>
        <a:xfrm>
          <a:off x="21326475" y="3103880"/>
          <a:ext cx="476250" cy="37274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101</xdr:col>
      <xdr:colOff>101600</xdr:colOff>
      <xdr:row>34</xdr:row>
      <xdr:rowOff>154940</xdr:rowOff>
    </xdr:from>
    <xdr:to>
      <xdr:col>103</xdr:col>
      <xdr:colOff>172720</xdr:colOff>
      <xdr:row>38</xdr:row>
      <xdr:rowOff>15240</xdr:rowOff>
    </xdr:to>
    <xdr:sp macro="" textlink="">
      <xdr:nvSpPr>
        <xdr:cNvPr id="3" name="右矢印 2">
          <a:extLst>
            <a:ext uri="{FF2B5EF4-FFF2-40B4-BE49-F238E27FC236}">
              <a16:creationId xmlns:a16="http://schemas.microsoft.com/office/drawing/2014/main" id="{E399429B-6A95-4B80-9A3F-A5F13DB40DFE}"/>
            </a:ext>
          </a:extLst>
        </xdr:cNvPr>
        <xdr:cNvSpPr/>
      </xdr:nvSpPr>
      <xdr:spPr>
        <a:xfrm>
          <a:off x="21555075" y="6231890"/>
          <a:ext cx="467995" cy="657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79</xdr:col>
      <xdr:colOff>3980</xdr:colOff>
      <xdr:row>14</xdr:row>
      <xdr:rowOff>79126</xdr:rowOff>
    </xdr:from>
    <xdr:to>
      <xdr:col>95</xdr:col>
      <xdr:colOff>81826</xdr:colOff>
      <xdr:row>17</xdr:row>
      <xdr:rowOff>91202</xdr:rowOff>
    </xdr:to>
    <xdr:sp macro="" textlink="">
      <xdr:nvSpPr>
        <xdr:cNvPr id="8" name="角丸四角形 7">
          <a:extLst>
            <a:ext uri="{FF2B5EF4-FFF2-40B4-BE49-F238E27FC236}">
              <a16:creationId xmlns:a16="http://schemas.microsoft.com/office/drawing/2014/main" id="{38E77ECB-5340-49A4-ACEB-F49D3D8614BD}"/>
            </a:ext>
          </a:extLst>
        </xdr:cNvPr>
        <xdr:cNvSpPr/>
      </xdr:nvSpPr>
      <xdr:spPr>
        <a:xfrm>
          <a:off x="17056905" y="2346076"/>
          <a:ext cx="3278246" cy="494676"/>
        </a:xfrm>
        <a:prstGeom prst="roundRect">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b="1">
              <a:solidFill>
                <a:sysClr val="windowText" lastClr="000000"/>
              </a:solidFill>
              <a:latin typeface="+mj-ea"/>
              <a:ea typeface="+mj-ea"/>
            </a:rPr>
            <a:t>(3)</a:t>
          </a:r>
          <a:r>
            <a:rPr kumimoji="1" lang="ja-JP" altLang="en-US" sz="1800" b="1">
              <a:solidFill>
                <a:sysClr val="windowText" lastClr="000000"/>
              </a:solidFill>
              <a:latin typeface="+mj-ea"/>
              <a:ea typeface="+mj-ea"/>
            </a:rPr>
            <a:t>窓口業務</a:t>
          </a:r>
        </a:p>
      </xdr:txBody>
    </xdr:sp>
    <xdr:clientData/>
  </xdr:twoCellAnchor>
  <xdr:twoCellAnchor>
    <xdr:from>
      <xdr:col>100</xdr:col>
      <xdr:colOff>76200</xdr:colOff>
      <xdr:row>19</xdr:row>
      <xdr:rowOff>30480</xdr:rowOff>
    </xdr:from>
    <xdr:to>
      <xdr:col>102</xdr:col>
      <xdr:colOff>152400</xdr:colOff>
      <xdr:row>21</xdr:row>
      <xdr:rowOff>0</xdr:rowOff>
    </xdr:to>
    <xdr:sp macro="" textlink="">
      <xdr:nvSpPr>
        <xdr:cNvPr id="10" name="右矢印 9">
          <a:extLst>
            <a:ext uri="{FF2B5EF4-FFF2-40B4-BE49-F238E27FC236}">
              <a16:creationId xmlns:a16="http://schemas.microsoft.com/office/drawing/2014/main" id="{A8D407A9-BC14-4E46-9374-3B87AAA28FAD}"/>
            </a:ext>
          </a:extLst>
        </xdr:cNvPr>
        <xdr:cNvSpPr/>
      </xdr:nvSpPr>
      <xdr:spPr>
        <a:xfrm>
          <a:off x="21326475" y="3103880"/>
          <a:ext cx="476250" cy="37274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82</xdr:col>
      <xdr:colOff>182880</xdr:colOff>
      <xdr:row>38</xdr:row>
      <xdr:rowOff>127000</xdr:rowOff>
    </xdr:from>
    <xdr:to>
      <xdr:col>89</xdr:col>
      <xdr:colOff>124460</xdr:colOff>
      <xdr:row>49</xdr:row>
      <xdr:rowOff>127000</xdr:rowOff>
    </xdr:to>
    <xdr:sp macro="" textlink="">
      <xdr:nvSpPr>
        <xdr:cNvPr id="11" name="屈折矢印 10">
          <a:extLst>
            <a:ext uri="{FF2B5EF4-FFF2-40B4-BE49-F238E27FC236}">
              <a16:creationId xmlns:a16="http://schemas.microsoft.com/office/drawing/2014/main" id="{964C17A6-8226-4512-9394-424A631BAFDC}"/>
            </a:ext>
          </a:extLst>
        </xdr:cNvPr>
        <xdr:cNvSpPr/>
      </xdr:nvSpPr>
      <xdr:spPr>
        <a:xfrm rot="5400000">
          <a:off x="17400270" y="7430135"/>
          <a:ext cx="2200275" cy="1341755"/>
        </a:xfrm>
        <a:prstGeom prst="bentUpArrow">
          <a:avLst>
            <a:gd name="adj1" fmla="val 17929"/>
            <a:gd name="adj2" fmla="val 18434"/>
            <a:gd name="adj3" fmla="val 25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98</xdr:col>
      <xdr:colOff>149860</xdr:colOff>
      <xdr:row>40</xdr:row>
      <xdr:rowOff>81280</xdr:rowOff>
    </xdr:from>
    <xdr:to>
      <xdr:col>101</xdr:col>
      <xdr:colOff>81280</xdr:colOff>
      <xdr:row>41</xdr:row>
      <xdr:rowOff>101600</xdr:rowOff>
    </xdr:to>
    <xdr:sp macro="" textlink="">
      <xdr:nvSpPr>
        <xdr:cNvPr id="12" name="右矢印 11">
          <a:extLst>
            <a:ext uri="{FF2B5EF4-FFF2-40B4-BE49-F238E27FC236}">
              <a16:creationId xmlns:a16="http://schemas.microsoft.com/office/drawing/2014/main" id="{F53CE1ED-1072-45FA-8594-F26E72E864FE}"/>
            </a:ext>
          </a:extLst>
        </xdr:cNvPr>
        <xdr:cNvSpPr/>
      </xdr:nvSpPr>
      <xdr:spPr>
        <a:xfrm rot="5400000">
          <a:off x="21157247" y="7204393"/>
          <a:ext cx="220345" cy="5346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78</xdr:col>
      <xdr:colOff>200755</xdr:colOff>
      <xdr:row>97</xdr:row>
      <xdr:rowOff>180358</xdr:rowOff>
    </xdr:from>
    <xdr:to>
      <xdr:col>91</xdr:col>
      <xdr:colOff>159920</xdr:colOff>
      <xdr:row>100</xdr:row>
      <xdr:rowOff>66636</xdr:rowOff>
    </xdr:to>
    <xdr:sp macro="" textlink="">
      <xdr:nvSpPr>
        <xdr:cNvPr id="19" name="角丸四角形 18">
          <a:extLst>
            <a:ext uri="{FF2B5EF4-FFF2-40B4-BE49-F238E27FC236}">
              <a16:creationId xmlns:a16="http://schemas.microsoft.com/office/drawing/2014/main" id="{5C3A0DD3-EE74-4759-8EFE-4A263954B346}"/>
            </a:ext>
          </a:extLst>
        </xdr:cNvPr>
        <xdr:cNvSpPr/>
      </xdr:nvSpPr>
      <xdr:spPr>
        <a:xfrm>
          <a:off x="17802955" y="19611358"/>
          <a:ext cx="2683315" cy="514928"/>
        </a:xfrm>
        <a:prstGeom prst="roundRect">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b="1">
              <a:solidFill>
                <a:sysClr val="windowText" lastClr="000000"/>
              </a:solidFill>
              <a:latin typeface="+mj-ea"/>
              <a:ea typeface="+mj-ea"/>
            </a:rPr>
            <a:t>(7)</a:t>
          </a:r>
          <a:r>
            <a:rPr kumimoji="1" lang="ja-JP" altLang="en-US" sz="1800" b="1">
              <a:solidFill>
                <a:sysClr val="windowText" lastClr="000000"/>
              </a:solidFill>
              <a:latin typeface="+mj-ea"/>
              <a:ea typeface="+mj-ea"/>
            </a:rPr>
            <a:t>地方公会計の整備</a:t>
          </a:r>
        </a:p>
      </xdr:txBody>
    </xdr:sp>
    <xdr:clientData/>
  </xdr:twoCellAnchor>
  <xdr:twoCellAnchor>
    <xdr:from>
      <xdr:col>78</xdr:col>
      <xdr:colOff>201831</xdr:colOff>
      <xdr:row>76</xdr:row>
      <xdr:rowOff>161576</xdr:rowOff>
    </xdr:from>
    <xdr:to>
      <xdr:col>99</xdr:col>
      <xdr:colOff>44589</xdr:colOff>
      <xdr:row>79</xdr:row>
      <xdr:rowOff>54204</xdr:rowOff>
    </xdr:to>
    <xdr:sp macro="" textlink="">
      <xdr:nvSpPr>
        <xdr:cNvPr id="20" name="角丸四角形 19">
          <a:extLst>
            <a:ext uri="{FF2B5EF4-FFF2-40B4-BE49-F238E27FC236}">
              <a16:creationId xmlns:a16="http://schemas.microsoft.com/office/drawing/2014/main" id="{F97AB153-3C25-437E-8BB0-BEE3CDB1AC47}"/>
            </a:ext>
          </a:extLst>
        </xdr:cNvPr>
        <xdr:cNvSpPr/>
      </xdr:nvSpPr>
      <xdr:spPr>
        <a:xfrm>
          <a:off x="17804031" y="15058676"/>
          <a:ext cx="4243308" cy="521278"/>
        </a:xfrm>
        <a:prstGeom prst="roundRect">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b="1">
              <a:solidFill>
                <a:sysClr val="windowText" lastClr="000000"/>
              </a:solidFill>
              <a:latin typeface="+mj-ea"/>
              <a:ea typeface="+mj-ea"/>
            </a:rPr>
            <a:t>(6)</a:t>
          </a:r>
          <a:r>
            <a:rPr kumimoji="1" lang="ja-JP" altLang="en-US" sz="1800" b="1">
              <a:solidFill>
                <a:sysClr val="windowText" lastClr="000000"/>
              </a:solidFill>
              <a:latin typeface="+mj-ea"/>
              <a:ea typeface="+mj-ea"/>
            </a:rPr>
            <a:t>公共施設等総合管理計画</a:t>
          </a:r>
        </a:p>
      </xdr:txBody>
    </xdr:sp>
    <xdr:clientData/>
  </xdr:twoCellAnchor>
  <xdr:twoCellAnchor>
    <xdr:from>
      <xdr:col>79</xdr:col>
      <xdr:colOff>5201</xdr:colOff>
      <xdr:row>59</xdr:row>
      <xdr:rowOff>76547</xdr:rowOff>
    </xdr:from>
    <xdr:to>
      <xdr:col>102</xdr:col>
      <xdr:colOff>188395</xdr:colOff>
      <xdr:row>62</xdr:row>
      <xdr:rowOff>85247</xdr:rowOff>
    </xdr:to>
    <xdr:sp macro="" textlink="">
      <xdr:nvSpPr>
        <xdr:cNvPr id="21" name="角丸四角形 20">
          <a:extLst>
            <a:ext uri="{FF2B5EF4-FFF2-40B4-BE49-F238E27FC236}">
              <a16:creationId xmlns:a16="http://schemas.microsoft.com/office/drawing/2014/main" id="{3FA4BD7D-6B81-413D-B635-713106434347}"/>
            </a:ext>
          </a:extLst>
        </xdr:cNvPr>
        <xdr:cNvSpPr/>
      </xdr:nvSpPr>
      <xdr:spPr>
        <a:xfrm>
          <a:off x="17058126" y="11001722"/>
          <a:ext cx="4780594" cy="497650"/>
        </a:xfrm>
        <a:prstGeom prst="roundRect">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b="1">
              <a:solidFill>
                <a:sysClr val="windowText" lastClr="000000"/>
              </a:solidFill>
              <a:latin typeface="+mj-ea"/>
              <a:ea typeface="+mj-ea"/>
            </a:rPr>
            <a:t>(5)</a:t>
          </a:r>
          <a:r>
            <a:rPr kumimoji="1" lang="ja-JP" altLang="en-US" sz="1800" b="1">
              <a:solidFill>
                <a:sysClr val="windowText" lastClr="000000"/>
              </a:solidFill>
              <a:latin typeface="+mj-ea"/>
              <a:ea typeface="+mj-ea"/>
            </a:rPr>
            <a:t>自治体情報システムのクラウド化</a:t>
          </a:r>
        </a:p>
      </xdr:txBody>
    </xdr:sp>
    <xdr:clientData/>
  </xdr:twoCellAnchor>
  <xdr:twoCellAnchor>
    <xdr:from>
      <xdr:col>79</xdr:col>
      <xdr:colOff>6068</xdr:colOff>
      <xdr:row>30</xdr:row>
      <xdr:rowOff>162995</xdr:rowOff>
    </xdr:from>
    <xdr:to>
      <xdr:col>96</xdr:col>
      <xdr:colOff>176530</xdr:colOff>
      <xdr:row>33</xdr:row>
      <xdr:rowOff>60639</xdr:rowOff>
    </xdr:to>
    <xdr:sp macro="" textlink="">
      <xdr:nvSpPr>
        <xdr:cNvPr id="22" name="角丸四角形 21">
          <a:extLst>
            <a:ext uri="{FF2B5EF4-FFF2-40B4-BE49-F238E27FC236}">
              <a16:creationId xmlns:a16="http://schemas.microsoft.com/office/drawing/2014/main" id="{070F912D-7111-4430-ADE7-B84B48047D46}"/>
            </a:ext>
          </a:extLst>
        </xdr:cNvPr>
        <xdr:cNvSpPr/>
      </xdr:nvSpPr>
      <xdr:spPr>
        <a:xfrm>
          <a:off x="17058993" y="5436670"/>
          <a:ext cx="3570887" cy="504069"/>
        </a:xfrm>
        <a:prstGeom prst="roundRect">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b="1">
              <a:solidFill>
                <a:sysClr val="windowText" lastClr="000000"/>
              </a:solidFill>
              <a:latin typeface="+mj-ea"/>
              <a:ea typeface="+mj-ea"/>
            </a:rPr>
            <a:t>(4)</a:t>
          </a:r>
          <a:r>
            <a:rPr kumimoji="1" lang="ja-JP" altLang="en-US" sz="1800" b="1">
              <a:solidFill>
                <a:sysClr val="windowText" lastClr="000000"/>
              </a:solidFill>
              <a:latin typeface="+mj-ea"/>
              <a:ea typeface="+mj-ea"/>
            </a:rPr>
            <a:t>庶務業務の集約化</a:t>
          </a:r>
        </a:p>
      </xdr:txBody>
    </xdr:sp>
    <xdr:clientData/>
  </xdr:twoCellAnchor>
  <xdr:twoCellAnchor>
    <xdr:from>
      <xdr:col>2</xdr:col>
      <xdr:colOff>156</xdr:colOff>
      <xdr:row>60</xdr:row>
      <xdr:rowOff>71468</xdr:rowOff>
    </xdr:from>
    <xdr:to>
      <xdr:col>20</xdr:col>
      <xdr:colOff>86916</xdr:colOff>
      <xdr:row>63</xdr:row>
      <xdr:rowOff>97003</xdr:rowOff>
    </xdr:to>
    <xdr:sp macro="" textlink="">
      <xdr:nvSpPr>
        <xdr:cNvPr id="23" name="角丸四角形 22">
          <a:extLst>
            <a:ext uri="{FF2B5EF4-FFF2-40B4-BE49-F238E27FC236}">
              <a16:creationId xmlns:a16="http://schemas.microsoft.com/office/drawing/2014/main" id="{15A2D986-79A4-4E66-944B-C05F44F8A337}"/>
            </a:ext>
          </a:extLst>
        </xdr:cNvPr>
        <xdr:cNvSpPr/>
      </xdr:nvSpPr>
      <xdr:spPr>
        <a:xfrm>
          <a:off x="400206" y="11155393"/>
          <a:ext cx="3684035" cy="514485"/>
        </a:xfrm>
        <a:prstGeom prst="roundRect">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b="1">
              <a:solidFill>
                <a:sysClr val="windowText" lastClr="000000"/>
              </a:solidFill>
              <a:latin typeface="+mj-ea"/>
              <a:ea typeface="+mj-ea"/>
            </a:rPr>
            <a:t>(</a:t>
          </a:r>
          <a:r>
            <a:rPr kumimoji="1" lang="ja-JP" altLang="en-US" sz="1800" b="1">
              <a:solidFill>
                <a:sysClr val="windowText" lastClr="000000"/>
              </a:solidFill>
              <a:latin typeface="+mj-ea"/>
              <a:ea typeface="+mj-ea"/>
            </a:rPr>
            <a:t>２</a:t>
          </a:r>
          <a:r>
            <a:rPr kumimoji="1" lang="en-US" altLang="ja-JP" sz="1800" b="1">
              <a:solidFill>
                <a:sysClr val="windowText" lastClr="000000"/>
              </a:solidFill>
              <a:latin typeface="+mj-ea"/>
              <a:ea typeface="+mj-ea"/>
            </a:rPr>
            <a:t>)</a:t>
          </a:r>
          <a:r>
            <a:rPr kumimoji="1" lang="ja-JP" altLang="en-US" sz="1800" b="1">
              <a:solidFill>
                <a:sysClr val="windowText" lastClr="000000"/>
              </a:solidFill>
              <a:latin typeface="+mj-ea"/>
              <a:ea typeface="+mj-ea"/>
            </a:rPr>
            <a:t>指定管理者制度等の導入</a:t>
          </a:r>
        </a:p>
      </xdr:txBody>
    </xdr:sp>
    <xdr:clientData/>
  </xdr:twoCellAnchor>
  <xdr:twoCellAnchor>
    <xdr:from>
      <xdr:col>2</xdr:col>
      <xdr:colOff>11144</xdr:colOff>
      <xdr:row>14</xdr:row>
      <xdr:rowOff>55937</xdr:rowOff>
    </xdr:from>
    <xdr:to>
      <xdr:col>18</xdr:col>
      <xdr:colOff>124990</xdr:colOff>
      <xdr:row>17</xdr:row>
      <xdr:rowOff>80615</xdr:rowOff>
    </xdr:to>
    <xdr:sp macro="" textlink="">
      <xdr:nvSpPr>
        <xdr:cNvPr id="24" name="角丸四角形 23">
          <a:extLst>
            <a:ext uri="{FF2B5EF4-FFF2-40B4-BE49-F238E27FC236}">
              <a16:creationId xmlns:a16="http://schemas.microsoft.com/office/drawing/2014/main" id="{36D6F43F-8279-4A99-B8A9-98F88E537D12}"/>
            </a:ext>
          </a:extLst>
        </xdr:cNvPr>
        <xdr:cNvSpPr/>
      </xdr:nvSpPr>
      <xdr:spPr>
        <a:xfrm>
          <a:off x="408019" y="2322887"/>
          <a:ext cx="3314246" cy="513628"/>
        </a:xfrm>
        <a:prstGeom prst="roundRect">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800" b="1">
              <a:solidFill>
                <a:sysClr val="windowText" lastClr="000000"/>
              </a:solidFill>
              <a:latin typeface="+mj-ea"/>
              <a:ea typeface="+mj-ea"/>
            </a:rPr>
            <a:t>(1)</a:t>
          </a:r>
          <a:r>
            <a:rPr kumimoji="1" lang="ja-JP" altLang="en-US" sz="1800" b="1">
              <a:solidFill>
                <a:sysClr val="windowText" lastClr="000000"/>
              </a:solidFill>
              <a:latin typeface="+mj-ea"/>
              <a:ea typeface="+mj-ea"/>
            </a:rPr>
            <a:t>民間委託</a:t>
          </a:r>
        </a:p>
      </xdr:txBody>
    </xdr:sp>
    <xdr:clientData/>
  </xdr:twoCellAnchor>
  <xdr:twoCellAnchor>
    <xdr:from>
      <xdr:col>46</xdr:col>
      <xdr:colOff>201930</xdr:colOff>
      <xdr:row>1</xdr:row>
      <xdr:rowOff>102870</xdr:rowOff>
    </xdr:from>
    <xdr:to>
      <xdr:col>107</xdr:col>
      <xdr:colOff>144780</xdr:colOff>
      <xdr:row>6</xdr:row>
      <xdr:rowOff>7620</xdr:rowOff>
    </xdr:to>
    <xdr:sp macro="" textlink="">
      <xdr:nvSpPr>
        <xdr:cNvPr id="25" name="角丸四角形 24">
          <a:extLst>
            <a:ext uri="{FF2B5EF4-FFF2-40B4-BE49-F238E27FC236}">
              <a16:creationId xmlns:a16="http://schemas.microsoft.com/office/drawing/2014/main" id="{18F907EB-C976-4028-B458-161655095BE9}"/>
            </a:ext>
          </a:extLst>
        </xdr:cNvPr>
        <xdr:cNvSpPr/>
      </xdr:nvSpPr>
      <xdr:spPr>
        <a:xfrm>
          <a:off x="11060430" y="274320"/>
          <a:ext cx="12763500" cy="762000"/>
        </a:xfrm>
        <a:prstGeom prst="roundRect">
          <a:avLst/>
        </a:prstGeom>
        <a:solidFill>
          <a:srgbClr val="CCFF99"/>
        </a:solidFill>
        <a:ln w="44450" cmpd="thickThi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b="1">
              <a:solidFill>
                <a:sysClr val="windowText" lastClr="000000"/>
              </a:solidFill>
            </a:rPr>
            <a:t>地方行政サービス改革の取組状況等（令和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4</a:t>
          </a:r>
          <a:r>
            <a:rPr kumimoji="1" lang="ja-JP" altLang="en-US" sz="2800" b="1">
              <a:solidFill>
                <a:sysClr val="windowText" lastClr="000000"/>
              </a:solidFill>
            </a:rPr>
            <a:t>月</a:t>
          </a:r>
          <a:r>
            <a:rPr kumimoji="1" lang="en-US" altLang="ja-JP" sz="2800" b="1">
              <a:solidFill>
                <a:sysClr val="windowText" lastClr="000000"/>
              </a:solidFill>
            </a:rPr>
            <a:t>1</a:t>
          </a:r>
          <a:r>
            <a:rPr kumimoji="1" lang="ja-JP" altLang="en-US" sz="2800" b="1">
              <a:solidFill>
                <a:sysClr val="windowText" lastClr="000000"/>
              </a:solidFill>
            </a:rPr>
            <a:t>日現在）</a:t>
          </a:r>
        </a:p>
      </xdr:txBody>
    </xdr:sp>
    <xdr:clientData/>
  </xdr:twoCellAnchor>
  <xdr:twoCellAnchor>
    <xdr:from>
      <xdr:col>100</xdr:col>
      <xdr:colOff>60960</xdr:colOff>
      <xdr:row>25</xdr:row>
      <xdr:rowOff>121920</xdr:rowOff>
    </xdr:from>
    <xdr:to>
      <xdr:col>102</xdr:col>
      <xdr:colOff>137160</xdr:colOff>
      <xdr:row>27</xdr:row>
      <xdr:rowOff>91440</xdr:rowOff>
    </xdr:to>
    <xdr:sp macro="" textlink="">
      <xdr:nvSpPr>
        <xdr:cNvPr id="26" name="右矢印 25">
          <a:extLst>
            <a:ext uri="{FF2B5EF4-FFF2-40B4-BE49-F238E27FC236}">
              <a16:creationId xmlns:a16="http://schemas.microsoft.com/office/drawing/2014/main" id="{4765051C-0800-4647-957A-051D6DAA766E}"/>
            </a:ext>
          </a:extLst>
        </xdr:cNvPr>
        <xdr:cNvSpPr/>
      </xdr:nvSpPr>
      <xdr:spPr>
        <a:xfrm>
          <a:off x="21314410" y="4401820"/>
          <a:ext cx="476250" cy="3632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100</xdr:col>
      <xdr:colOff>131665</xdr:colOff>
      <xdr:row>53</xdr:row>
      <xdr:rowOff>121782</xdr:rowOff>
    </xdr:from>
    <xdr:to>
      <xdr:col>103</xdr:col>
      <xdr:colOff>17365</xdr:colOff>
      <xdr:row>55</xdr:row>
      <xdr:rowOff>91302</xdr:rowOff>
    </xdr:to>
    <xdr:sp macro="" textlink="">
      <xdr:nvSpPr>
        <xdr:cNvPr id="27" name="右矢印 26">
          <a:extLst>
            <a:ext uri="{FF2B5EF4-FFF2-40B4-BE49-F238E27FC236}">
              <a16:creationId xmlns:a16="http://schemas.microsoft.com/office/drawing/2014/main" id="{6562EADD-6415-467C-AE0C-60ECEDA3110B}"/>
            </a:ext>
          </a:extLst>
        </xdr:cNvPr>
        <xdr:cNvSpPr/>
      </xdr:nvSpPr>
      <xdr:spPr>
        <a:xfrm>
          <a:off x="21381940" y="10002382"/>
          <a:ext cx="485775" cy="3632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125</xdr:col>
      <xdr:colOff>130436</xdr:colOff>
      <xdr:row>82</xdr:row>
      <xdr:rowOff>68019</xdr:rowOff>
    </xdr:from>
    <xdr:to>
      <xdr:col>127</xdr:col>
      <xdr:colOff>142501</xdr:colOff>
      <xdr:row>84</xdr:row>
      <xdr:rowOff>83259</xdr:rowOff>
    </xdr:to>
    <xdr:sp macro="" textlink="">
      <xdr:nvSpPr>
        <xdr:cNvPr id="28" name="右矢印 16">
          <a:extLst>
            <a:ext uri="{FF2B5EF4-FFF2-40B4-BE49-F238E27FC236}">
              <a16:creationId xmlns:a16="http://schemas.microsoft.com/office/drawing/2014/main" id="{C419DC11-AB49-4BC7-BD54-2958187CF49E}"/>
            </a:ext>
          </a:extLst>
        </xdr:cNvPr>
        <xdr:cNvSpPr/>
      </xdr:nvSpPr>
      <xdr:spPr>
        <a:xfrm>
          <a:off x="27581486" y="16355769"/>
          <a:ext cx="431165" cy="4343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125</xdr:col>
      <xdr:colOff>73510</xdr:colOff>
      <xdr:row>103</xdr:row>
      <xdr:rowOff>21664</xdr:rowOff>
    </xdr:from>
    <xdr:to>
      <xdr:col>127</xdr:col>
      <xdr:colOff>154790</xdr:colOff>
      <xdr:row>105</xdr:row>
      <xdr:rowOff>114374</xdr:rowOff>
    </xdr:to>
    <xdr:sp macro="" textlink="">
      <xdr:nvSpPr>
        <xdr:cNvPr id="29" name="右矢印 17">
          <a:extLst>
            <a:ext uri="{FF2B5EF4-FFF2-40B4-BE49-F238E27FC236}">
              <a16:creationId xmlns:a16="http://schemas.microsoft.com/office/drawing/2014/main" id="{E72A1ADD-CED7-4162-8B2F-264C964C108E}"/>
            </a:ext>
          </a:extLst>
        </xdr:cNvPr>
        <xdr:cNvSpPr/>
      </xdr:nvSpPr>
      <xdr:spPr>
        <a:xfrm>
          <a:off x="27524560" y="20805214"/>
          <a:ext cx="500380" cy="51181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104</xdr:col>
      <xdr:colOff>45720</xdr:colOff>
      <xdr:row>67</xdr:row>
      <xdr:rowOff>30480</xdr:rowOff>
    </xdr:from>
    <xdr:to>
      <xdr:col>107</xdr:col>
      <xdr:colOff>0</xdr:colOff>
      <xdr:row>70</xdr:row>
      <xdr:rowOff>137160</xdr:rowOff>
    </xdr:to>
    <xdr:sp macro="" textlink="">
      <xdr:nvSpPr>
        <xdr:cNvPr id="31" name="右矢印 3">
          <a:extLst>
            <a:ext uri="{FF2B5EF4-FFF2-40B4-BE49-F238E27FC236}">
              <a16:creationId xmlns:a16="http://schemas.microsoft.com/office/drawing/2014/main" id="{28D8AC43-B882-4FB3-BE50-CE58A12F5B24}"/>
            </a:ext>
          </a:extLst>
        </xdr:cNvPr>
        <xdr:cNvSpPr/>
      </xdr:nvSpPr>
      <xdr:spPr>
        <a:xfrm>
          <a:off x="38606095" y="12200255"/>
          <a:ext cx="579755" cy="7416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K33"/>
  <sheetViews>
    <sheetView view="pageBreakPreview" zoomScale="70" zoomScaleNormal="52" zoomScaleSheetLayoutView="70" workbookViewId="0">
      <pane xSplit="3" ySplit="8" topLeftCell="D27" activePane="bottomRight" state="frozen"/>
      <selection pane="topRight" activeCell="D1" sqref="D1"/>
      <selection pane="bottomLeft" activeCell="A9" sqref="A9"/>
      <selection pane="bottomRight" activeCell="N27" sqref="N27"/>
    </sheetView>
  </sheetViews>
  <sheetFormatPr defaultColWidth="8.90625" defaultRowHeight="13"/>
  <cols>
    <col min="1" max="1" width="10.08984375" style="82" customWidth="1"/>
    <col min="2" max="3" width="13.7265625" style="82" customWidth="1"/>
    <col min="4" max="4" width="10.36328125" style="4" customWidth="1"/>
    <col min="5" max="5" width="6" style="62" customWidth="1"/>
    <col min="6" max="6" width="28.7265625" style="4" customWidth="1"/>
    <col min="7" max="7" width="10.453125" style="4" customWidth="1"/>
    <col min="8" max="8" width="6" style="62" customWidth="1"/>
    <col min="9" max="9" width="28.7265625" style="4" customWidth="1"/>
    <col min="10" max="10" width="12" style="4" customWidth="1"/>
    <col min="11" max="11" width="6" style="62" customWidth="1"/>
    <col min="12" max="12" width="28.6328125" style="4" customWidth="1"/>
    <col min="13" max="13" width="11.08984375" style="4" customWidth="1"/>
    <col min="14" max="14" width="6" style="62" customWidth="1"/>
    <col min="15" max="15" width="28.6328125" style="4" customWidth="1"/>
    <col min="16" max="16" width="9.08984375" style="4" customWidth="1"/>
    <col min="17" max="17" width="6" style="62" customWidth="1"/>
    <col min="18" max="18" width="28.6328125" style="4" customWidth="1"/>
    <col min="19" max="19" width="10.36328125" style="4" customWidth="1"/>
    <col min="20" max="20" width="6" style="62" customWidth="1"/>
    <col min="21" max="21" width="28.6328125" style="4" customWidth="1"/>
    <col min="22" max="22" width="10.453125" style="4" customWidth="1"/>
    <col min="23" max="23" width="6" style="62" customWidth="1"/>
    <col min="24" max="24" width="29.453125" style="4" customWidth="1"/>
    <col min="25" max="25" width="11.7265625" style="4" customWidth="1"/>
    <col min="26" max="26" width="6" style="62" customWidth="1"/>
    <col min="27" max="27" width="28.6328125" style="4" customWidth="1"/>
    <col min="28" max="28" width="10.453125" style="4" customWidth="1"/>
    <col min="29" max="29" width="6" style="62" customWidth="1"/>
    <col min="30" max="30" width="28.6328125" style="4" customWidth="1"/>
    <col min="31" max="31" width="9.26953125" style="66" customWidth="1"/>
    <col min="32" max="32" width="8" style="66" customWidth="1"/>
    <col min="33" max="33" width="28.7265625" style="68" customWidth="1"/>
    <col min="34" max="34" width="9.36328125" style="4" customWidth="1"/>
    <col min="35" max="35" width="6" style="62" customWidth="1"/>
    <col min="36" max="36" width="28.6328125" style="4" customWidth="1"/>
    <col min="37" max="37" width="10.08984375" style="4" customWidth="1"/>
    <col min="38" max="38" width="6" style="62" customWidth="1"/>
    <col min="39" max="39" width="28.6328125" style="4" customWidth="1"/>
    <col min="40" max="40" width="12.6328125" style="4" customWidth="1"/>
    <col min="41" max="41" width="5.90625" style="62" customWidth="1"/>
    <col min="42" max="42" width="28.6328125" style="4" customWidth="1"/>
    <col min="43" max="43" width="9.90625" style="4" customWidth="1"/>
    <col min="44" max="44" width="5.90625" style="62" customWidth="1"/>
    <col min="45" max="45" width="28.6328125" style="4" customWidth="1"/>
    <col min="46" max="46" width="10.90625" style="4" customWidth="1"/>
    <col min="47" max="47" width="6" style="62" customWidth="1"/>
    <col min="48" max="48" width="28.6328125" style="4" customWidth="1"/>
    <col min="49" max="49" width="10" style="4" customWidth="1"/>
    <col min="50" max="50" width="6" style="62" customWidth="1"/>
    <col min="51" max="51" width="28.6328125" style="4" customWidth="1"/>
    <col min="52" max="52" width="11.453125" style="4" customWidth="1"/>
    <col min="53" max="53" width="6" style="62" customWidth="1"/>
    <col min="54" max="54" width="28.6328125" style="4" customWidth="1"/>
    <col min="55" max="56" width="8.7265625" style="4" customWidth="1"/>
    <col min="57" max="57" width="9.26953125" style="63" customWidth="1"/>
    <col min="58" max="58" width="29.453125" style="4" customWidth="1"/>
    <col min="59" max="59" width="9" style="4" customWidth="1"/>
    <col min="60" max="60" width="27.90625" style="4" customWidth="1"/>
    <col min="61" max="62" width="8.7265625" style="4" customWidth="1"/>
    <col min="63" max="63" width="9.26953125" style="63" customWidth="1"/>
    <col min="64" max="64" width="29.36328125" style="4" customWidth="1"/>
    <col min="65" max="65" width="8" style="4" customWidth="1"/>
    <col min="66" max="66" width="27.90625" style="4" customWidth="1"/>
    <col min="67" max="68" width="8.7265625" style="4" customWidth="1"/>
    <col min="69" max="69" width="9.26953125" style="63" customWidth="1"/>
    <col min="70" max="70" width="27.6328125" style="4" customWidth="1"/>
    <col min="71" max="71" width="8.7265625" style="4" customWidth="1"/>
    <col min="72" max="72" width="27.90625" style="4" customWidth="1"/>
    <col min="73" max="74" width="8.7265625" style="4" customWidth="1"/>
    <col min="75" max="75" width="9.26953125" style="62" customWidth="1"/>
    <col min="76" max="76" width="27.6328125" style="4" customWidth="1"/>
    <col min="77" max="77" width="8.7265625" style="4" customWidth="1"/>
    <col min="78" max="78" width="27.90625" style="4" customWidth="1"/>
    <col min="79" max="80" width="8.7265625" style="4" customWidth="1"/>
    <col min="81" max="81" width="9" style="63" customWidth="1"/>
    <col min="82" max="82" width="27.7265625" style="4" customWidth="1"/>
    <col min="83" max="83" width="8.7265625" style="4" customWidth="1"/>
    <col min="84" max="84" width="27.90625" style="4" customWidth="1"/>
    <col min="85" max="86" width="8.7265625" style="4" customWidth="1"/>
    <col min="87" max="87" width="9.26953125" style="64" customWidth="1"/>
    <col min="88" max="88" width="27" style="4" customWidth="1"/>
    <col min="89" max="89" width="8.7265625" style="4" customWidth="1"/>
    <col min="90" max="90" width="27.90625" style="4" customWidth="1"/>
    <col min="91" max="92" width="8.7265625" style="4" customWidth="1"/>
    <col min="93" max="93" width="9" style="63" customWidth="1"/>
    <col min="94" max="94" width="27.453125" style="4" customWidth="1"/>
    <col min="95" max="95" width="8.7265625" style="4" customWidth="1"/>
    <col min="96" max="96" width="27.90625" style="4" customWidth="1"/>
    <col min="97" max="98" width="8.7265625" style="4" customWidth="1"/>
    <col min="99" max="99" width="9.26953125" style="63" customWidth="1"/>
    <col min="100" max="100" width="27.7265625" style="4" customWidth="1"/>
    <col min="101" max="101" width="8.7265625" style="4" customWidth="1"/>
    <col min="102" max="102" width="27.90625" style="4" customWidth="1"/>
    <col min="103" max="104" width="8.7265625" style="4" customWidth="1"/>
    <col min="105" max="105" width="9" style="63" customWidth="1"/>
    <col min="106" max="106" width="27.453125" style="4" customWidth="1"/>
    <col min="107" max="107" width="8.7265625" style="4" customWidth="1"/>
    <col min="108" max="108" width="27.90625" style="4" customWidth="1"/>
    <col min="109" max="110" width="8.7265625" style="4" customWidth="1"/>
    <col min="111" max="111" width="9.26953125" style="63" customWidth="1"/>
    <col min="112" max="112" width="27.453125" style="4" customWidth="1"/>
    <col min="113" max="113" width="8.90625" style="4" customWidth="1"/>
    <col min="114" max="114" width="27.90625" style="4" customWidth="1"/>
    <col min="115" max="116" width="8.7265625" style="4" customWidth="1"/>
    <col min="117" max="117" width="9" style="63" customWidth="1"/>
    <col min="118" max="118" width="27.453125" style="4" customWidth="1"/>
    <col min="119" max="119" width="8.7265625" style="67" customWidth="1"/>
    <col min="120" max="120" width="27.90625" style="4" customWidth="1"/>
    <col min="121" max="121" width="8.7265625" style="4" customWidth="1"/>
    <col min="122" max="122" width="9.36328125" style="4" customWidth="1"/>
    <col min="123" max="123" width="9.26953125" style="63" customWidth="1"/>
    <col min="124" max="124" width="27.453125" style="4" customWidth="1"/>
    <col min="125" max="125" width="8.7265625" style="4" customWidth="1"/>
    <col min="126" max="126" width="27.90625" style="4" customWidth="1"/>
    <col min="127" max="128" width="8.7265625" style="4" customWidth="1"/>
    <col min="129" max="129" width="9.26953125" style="63" customWidth="1"/>
    <col min="130" max="130" width="27.453125" style="4" customWidth="1"/>
    <col min="131" max="131" width="8.7265625" style="4" customWidth="1"/>
    <col min="132" max="132" width="27.90625" style="4" customWidth="1"/>
    <col min="133" max="134" width="8.7265625" style="4" customWidth="1"/>
    <col min="135" max="135" width="9.453125" style="63" customWidth="1"/>
    <col min="136" max="136" width="30.08984375" style="4" customWidth="1"/>
    <col min="137" max="137" width="8.90625" style="4" customWidth="1"/>
    <col min="138" max="138" width="28.08984375" style="4" customWidth="1"/>
    <col min="139" max="140" width="8.7265625" style="4" customWidth="1"/>
    <col min="141" max="141" width="9" style="63" customWidth="1"/>
    <col min="142" max="142" width="27.26953125" style="4" customWidth="1"/>
    <col min="143" max="143" width="8.7265625" style="4" customWidth="1"/>
    <col min="144" max="144" width="27.90625" style="4" customWidth="1"/>
    <col min="145" max="146" width="8.7265625" style="4" customWidth="1"/>
    <col min="147" max="147" width="9.26953125" style="63" customWidth="1"/>
    <col min="148" max="148" width="27.453125" style="4" customWidth="1"/>
    <col min="149" max="149" width="8.7265625" style="4" customWidth="1"/>
    <col min="150" max="150" width="27.90625" style="4" customWidth="1"/>
    <col min="151" max="151" width="9" style="4" customWidth="1"/>
    <col min="152" max="152" width="8.7265625" style="4" customWidth="1"/>
    <col min="153" max="153" width="9.26953125" style="63" customWidth="1"/>
    <col min="154" max="154" width="27.08984375" style="4" customWidth="1"/>
    <col min="155" max="155" width="8.7265625" style="4" customWidth="1"/>
    <col min="156" max="156" width="27.6328125" style="4" customWidth="1"/>
    <col min="157" max="158" width="8.7265625" style="4" customWidth="1"/>
    <col min="159" max="159" width="9" style="63" customWidth="1"/>
    <col min="160" max="160" width="27.453125" style="4" customWidth="1"/>
    <col min="161" max="161" width="8.7265625" style="4" customWidth="1"/>
    <col min="162" max="162" width="27.90625" style="4" customWidth="1"/>
    <col min="163" max="164" width="8.7265625" style="4" customWidth="1"/>
    <col min="165" max="165" width="9" style="63" customWidth="1"/>
    <col min="166" max="166" width="27.6328125" style="4" customWidth="1"/>
    <col min="167" max="167" width="8.6328125" style="4" customWidth="1"/>
    <col min="168" max="168" width="27.90625" style="4" customWidth="1"/>
    <col min="169" max="170" width="8.7265625" style="4" customWidth="1"/>
    <col min="171" max="171" width="9" style="62" customWidth="1"/>
    <col min="172" max="172" width="27.6328125" style="4" customWidth="1"/>
    <col min="173" max="173" width="8.6328125" style="4" customWidth="1"/>
    <col min="174" max="174" width="27.90625" style="4" customWidth="1"/>
    <col min="175" max="176" width="8.7265625" style="4" customWidth="1"/>
    <col min="177" max="177" width="9.26953125" style="63" customWidth="1"/>
    <col min="178" max="178" width="26.90625" style="4" customWidth="1"/>
    <col min="179" max="179" width="8.6328125" style="4" customWidth="1"/>
    <col min="180" max="180" width="27.90625" style="4" customWidth="1"/>
    <col min="181" max="182" width="8.7265625" style="4" customWidth="1"/>
    <col min="183" max="183" width="9" style="63" customWidth="1"/>
    <col min="184" max="184" width="27.36328125" style="4" customWidth="1"/>
    <col min="185" max="185" width="8.6328125" style="4" customWidth="1"/>
    <col min="186" max="186" width="27.90625" style="4" customWidth="1"/>
    <col min="187" max="188" width="8.7265625" style="4" customWidth="1"/>
    <col min="189" max="189" width="9" style="63" customWidth="1"/>
    <col min="190" max="190" width="27.26953125" style="4" customWidth="1"/>
    <col min="191" max="191" width="8.6328125" style="4" customWidth="1"/>
    <col min="192" max="192" width="27.90625" style="4" customWidth="1"/>
    <col min="193" max="193" width="15.90625" style="4" customWidth="1"/>
    <col min="194" max="194" width="19.90625" style="4" customWidth="1"/>
    <col min="195" max="195" width="19" style="65" customWidth="1"/>
    <col min="196" max="197" width="15.6328125" style="65" customWidth="1"/>
    <col min="198" max="198" width="17" style="4" customWidth="1"/>
    <col min="199" max="199" width="17.453125" style="4" customWidth="1"/>
    <col min="200" max="203" width="5.7265625" style="4" customWidth="1"/>
    <col min="204" max="204" width="76" style="4" customWidth="1"/>
    <col min="205" max="207" width="5.90625" style="4" customWidth="1"/>
    <col min="208" max="208" width="6.90625" style="4" customWidth="1"/>
    <col min="209" max="209" width="18" style="4" customWidth="1"/>
    <col min="210" max="210" width="19.90625" style="4" customWidth="1"/>
    <col min="211" max="214" width="12.6328125" style="4" customWidth="1"/>
    <col min="215" max="215" width="24.1796875" style="4" customWidth="1"/>
    <col min="216" max="217" width="12.6328125" style="4" customWidth="1"/>
    <col min="218" max="218" width="24.1796875" style="4" customWidth="1"/>
    <col min="219" max="16384" width="8.90625" style="4"/>
  </cols>
  <sheetData>
    <row r="1" spans="1:218" ht="28.75" customHeight="1" thickBot="1">
      <c r="A1" s="81" t="s">
        <v>273</v>
      </c>
      <c r="DM1" s="125"/>
      <c r="DN1" s="125"/>
      <c r="DO1" s="125"/>
      <c r="DP1" s="125"/>
      <c r="DQ1" s="125"/>
      <c r="DR1" s="125"/>
      <c r="DS1" s="125"/>
      <c r="DT1" s="125"/>
      <c r="DU1" s="125"/>
      <c r="DV1" s="125"/>
      <c r="DW1" s="125"/>
      <c r="DX1" s="125"/>
      <c r="DY1" s="125"/>
      <c r="DZ1" s="125"/>
      <c r="EA1" s="125"/>
      <c r="EB1" s="125"/>
      <c r="EC1" s="125"/>
      <c r="ED1" s="125"/>
      <c r="EE1" s="125"/>
      <c r="EF1" s="125"/>
      <c r="EG1" s="125"/>
      <c r="EH1" s="125"/>
      <c r="EI1" s="125"/>
      <c r="EJ1" s="125"/>
      <c r="EK1" s="125"/>
      <c r="EL1" s="125"/>
      <c r="EM1" s="125"/>
      <c r="EN1" s="125"/>
      <c r="EO1" s="125"/>
      <c r="EP1" s="125"/>
      <c r="EQ1" s="125"/>
      <c r="ER1" s="125"/>
      <c r="ES1" s="125"/>
      <c r="ET1" s="125"/>
      <c r="EU1" s="125"/>
      <c r="EV1" s="125"/>
      <c r="EW1" s="125"/>
      <c r="EX1" s="125"/>
      <c r="EY1" s="125"/>
      <c r="EZ1" s="125"/>
      <c r="FA1" s="125"/>
      <c r="FB1" s="125"/>
      <c r="FC1" s="125"/>
      <c r="FD1" s="125"/>
      <c r="FE1" s="125"/>
      <c r="FF1" s="125"/>
      <c r="FG1" s="125"/>
      <c r="FH1" s="125"/>
      <c r="FI1" s="125"/>
      <c r="FJ1" s="125"/>
      <c r="FK1" s="125"/>
      <c r="FL1" s="125"/>
      <c r="FM1" s="125"/>
      <c r="FN1" s="125"/>
      <c r="FO1" s="125"/>
      <c r="FP1" s="125"/>
      <c r="FQ1" s="125"/>
      <c r="FR1" s="125"/>
      <c r="FS1" s="125"/>
      <c r="FT1" s="125"/>
      <c r="FU1" s="125"/>
      <c r="FV1" s="125"/>
      <c r="FW1" s="125"/>
      <c r="FX1" s="125"/>
      <c r="FY1" s="125"/>
      <c r="FZ1" s="125"/>
      <c r="GA1" s="125"/>
      <c r="GB1" s="125"/>
      <c r="GC1" s="125"/>
      <c r="GD1" s="125"/>
      <c r="GE1" s="125"/>
      <c r="GF1" s="125"/>
      <c r="GG1" s="125"/>
      <c r="GH1" s="125"/>
      <c r="GI1" s="125"/>
      <c r="GJ1" s="125"/>
      <c r="GK1" s="125"/>
      <c r="GL1" s="125"/>
      <c r="GM1" s="125"/>
      <c r="GN1" s="125"/>
      <c r="GO1" s="125"/>
      <c r="GP1" s="125"/>
      <c r="GQ1" s="125"/>
      <c r="GR1" s="125"/>
      <c r="GS1" s="125"/>
      <c r="GT1" s="125"/>
      <c r="GU1" s="125"/>
      <c r="GV1" s="125"/>
      <c r="GW1" s="125"/>
      <c r="GX1" s="125"/>
      <c r="GY1" s="125"/>
      <c r="GZ1" s="125"/>
      <c r="HA1" s="125"/>
      <c r="HB1" s="125"/>
      <c r="HC1" s="125"/>
      <c r="HD1" s="125"/>
      <c r="HE1" s="125"/>
      <c r="HF1" s="125"/>
      <c r="HG1" s="125"/>
      <c r="HH1" s="125"/>
      <c r="HI1" s="125"/>
      <c r="HJ1" s="125"/>
    </row>
    <row r="2" spans="1:218" ht="18.649999999999999" customHeight="1">
      <c r="A2" s="170" t="s">
        <v>3</v>
      </c>
      <c r="B2" s="173" t="s">
        <v>6</v>
      </c>
      <c r="C2" s="173" t="s">
        <v>40</v>
      </c>
      <c r="D2" s="191" t="s">
        <v>25</v>
      </c>
      <c r="E2" s="192"/>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2"/>
      <c r="AZ2" s="192"/>
      <c r="BA2" s="192"/>
      <c r="BB2" s="193"/>
      <c r="BC2" s="194" t="s">
        <v>378</v>
      </c>
      <c r="BD2" s="194"/>
      <c r="BE2" s="194"/>
      <c r="BF2" s="194"/>
      <c r="BG2" s="194"/>
      <c r="BH2" s="194"/>
      <c r="BI2" s="194"/>
      <c r="BJ2" s="194"/>
      <c r="BK2" s="194"/>
      <c r="BL2" s="194"/>
      <c r="BM2" s="194"/>
      <c r="BN2" s="194"/>
      <c r="BO2" s="194"/>
      <c r="BP2" s="194"/>
      <c r="BQ2" s="194"/>
      <c r="BR2" s="194"/>
      <c r="BS2" s="194"/>
      <c r="BT2" s="194"/>
      <c r="BU2" s="194"/>
      <c r="BV2" s="194"/>
      <c r="BW2" s="194"/>
      <c r="BX2" s="194"/>
      <c r="BY2" s="194"/>
      <c r="BZ2" s="194"/>
      <c r="CA2" s="194"/>
      <c r="CB2" s="194"/>
      <c r="CC2" s="194"/>
      <c r="CD2" s="194"/>
      <c r="CE2" s="194"/>
      <c r="CF2" s="194"/>
      <c r="CG2" s="194"/>
      <c r="CH2" s="194"/>
      <c r="CI2" s="194"/>
      <c r="CJ2" s="194"/>
      <c r="CK2" s="194"/>
      <c r="CL2" s="194"/>
      <c r="CM2" s="194"/>
      <c r="CN2" s="194"/>
      <c r="CO2" s="194"/>
      <c r="CP2" s="194"/>
      <c r="CQ2" s="194"/>
      <c r="CR2" s="194"/>
      <c r="CS2" s="194"/>
      <c r="CT2" s="194"/>
      <c r="CU2" s="194"/>
      <c r="CV2" s="194"/>
      <c r="CW2" s="194"/>
      <c r="CX2" s="194"/>
      <c r="CY2" s="194"/>
      <c r="CZ2" s="194"/>
      <c r="DA2" s="194"/>
      <c r="DB2" s="194"/>
      <c r="DC2" s="194"/>
      <c r="DD2" s="194"/>
      <c r="DE2" s="194"/>
      <c r="DF2" s="194"/>
      <c r="DG2" s="194"/>
      <c r="DH2" s="194"/>
      <c r="DI2" s="194"/>
      <c r="DJ2" s="194"/>
      <c r="DK2" s="194"/>
      <c r="DL2" s="194"/>
      <c r="DM2" s="194"/>
      <c r="DN2" s="194"/>
      <c r="DO2" s="194"/>
      <c r="DP2" s="194"/>
      <c r="DQ2" s="194"/>
      <c r="DR2" s="194"/>
      <c r="DS2" s="194"/>
      <c r="DT2" s="194"/>
      <c r="DU2" s="194"/>
      <c r="DV2" s="194"/>
      <c r="DW2" s="194"/>
      <c r="DX2" s="194"/>
      <c r="DY2" s="194"/>
      <c r="DZ2" s="194"/>
      <c r="EA2" s="194"/>
      <c r="EB2" s="194"/>
      <c r="EC2" s="194"/>
      <c r="ED2" s="194"/>
      <c r="EE2" s="194"/>
      <c r="EF2" s="194"/>
      <c r="EG2" s="194"/>
      <c r="EH2" s="194"/>
      <c r="EI2" s="194"/>
      <c r="EJ2" s="194"/>
      <c r="EK2" s="194"/>
      <c r="EL2" s="194"/>
      <c r="EM2" s="194"/>
      <c r="EN2" s="194"/>
      <c r="EO2" s="194"/>
      <c r="EP2" s="194"/>
      <c r="EQ2" s="194"/>
      <c r="ER2" s="194"/>
      <c r="ES2" s="194"/>
      <c r="ET2" s="194"/>
      <c r="EU2" s="194"/>
      <c r="EV2" s="194"/>
      <c r="EW2" s="194"/>
      <c r="EX2" s="194"/>
      <c r="EY2" s="194"/>
      <c r="EZ2" s="194"/>
      <c r="FA2" s="194"/>
      <c r="FB2" s="194"/>
      <c r="FC2" s="194"/>
      <c r="FD2" s="194"/>
      <c r="FE2" s="194"/>
      <c r="FF2" s="194"/>
      <c r="FG2" s="194"/>
      <c r="FH2" s="194"/>
      <c r="FI2" s="194"/>
      <c r="FJ2" s="194"/>
      <c r="FK2" s="194"/>
      <c r="FL2" s="194"/>
      <c r="FM2" s="194"/>
      <c r="FN2" s="194"/>
      <c r="FO2" s="194"/>
      <c r="FP2" s="194"/>
      <c r="FQ2" s="194"/>
      <c r="FR2" s="194"/>
      <c r="FS2" s="194"/>
      <c r="FT2" s="194"/>
      <c r="FU2" s="194"/>
      <c r="FV2" s="194"/>
      <c r="FW2" s="194"/>
      <c r="FX2" s="194"/>
      <c r="FY2" s="194"/>
      <c r="FZ2" s="194"/>
      <c r="GA2" s="194"/>
      <c r="GB2" s="194"/>
      <c r="GC2" s="194"/>
      <c r="GD2" s="194"/>
      <c r="GE2" s="194"/>
      <c r="GF2" s="194"/>
      <c r="GG2" s="194"/>
      <c r="GH2" s="194"/>
      <c r="GI2" s="194"/>
      <c r="GJ2" s="194"/>
      <c r="GK2" s="195" t="s">
        <v>48</v>
      </c>
      <c r="GL2" s="195"/>
      <c r="GM2" s="195"/>
      <c r="GN2" s="195"/>
      <c r="GO2" s="195"/>
      <c r="GP2" s="196" t="s">
        <v>46</v>
      </c>
      <c r="GQ2" s="196"/>
      <c r="GR2" s="196"/>
      <c r="GS2" s="196"/>
      <c r="GT2" s="196"/>
      <c r="GU2" s="196"/>
      <c r="GV2" s="196"/>
      <c r="GW2" s="196"/>
      <c r="GX2" s="196"/>
      <c r="GY2" s="196"/>
      <c r="GZ2" s="196"/>
      <c r="HA2" s="196"/>
      <c r="HB2" s="196"/>
      <c r="HC2" s="197" t="s">
        <v>54</v>
      </c>
      <c r="HD2" s="197"/>
      <c r="HE2" s="231" t="s">
        <v>68</v>
      </c>
      <c r="HF2" s="231"/>
      <c r="HG2" s="231"/>
      <c r="HH2" s="231" t="s">
        <v>69</v>
      </c>
      <c r="HI2" s="231"/>
      <c r="HJ2" s="232"/>
    </row>
    <row r="3" spans="1:218" ht="21.65" customHeight="1">
      <c r="A3" s="171"/>
      <c r="B3" s="174"/>
      <c r="C3" s="174"/>
      <c r="D3" s="198" t="s">
        <v>12</v>
      </c>
      <c r="E3" s="199"/>
      <c r="F3" s="200"/>
      <c r="G3" s="198" t="s">
        <v>379</v>
      </c>
      <c r="H3" s="199"/>
      <c r="I3" s="200"/>
      <c r="J3" s="204" t="s">
        <v>352</v>
      </c>
      <c r="K3" s="204"/>
      <c r="L3" s="204"/>
      <c r="M3" s="204" t="s">
        <v>14</v>
      </c>
      <c r="N3" s="204"/>
      <c r="O3" s="204"/>
      <c r="P3" s="204" t="s">
        <v>15</v>
      </c>
      <c r="Q3" s="204"/>
      <c r="R3" s="204"/>
      <c r="S3" s="205" t="s">
        <v>269</v>
      </c>
      <c r="T3" s="206"/>
      <c r="U3" s="207"/>
      <c r="V3" s="205" t="s">
        <v>270</v>
      </c>
      <c r="W3" s="206"/>
      <c r="X3" s="207"/>
      <c r="Y3" s="204" t="s">
        <v>16</v>
      </c>
      <c r="Z3" s="204"/>
      <c r="AA3" s="204"/>
      <c r="AB3" s="211" t="s">
        <v>380</v>
      </c>
      <c r="AC3" s="211"/>
      <c r="AD3" s="211"/>
      <c r="AE3" s="199" t="s">
        <v>574</v>
      </c>
      <c r="AF3" s="199"/>
      <c r="AG3" s="199"/>
      <c r="AH3" s="204" t="s">
        <v>17</v>
      </c>
      <c r="AI3" s="204"/>
      <c r="AJ3" s="204"/>
      <c r="AK3" s="204" t="s">
        <v>18</v>
      </c>
      <c r="AL3" s="204"/>
      <c r="AM3" s="204"/>
      <c r="AN3" s="211" t="s">
        <v>259</v>
      </c>
      <c r="AO3" s="211"/>
      <c r="AP3" s="211"/>
      <c r="AQ3" s="211" t="s">
        <v>260</v>
      </c>
      <c r="AR3" s="211"/>
      <c r="AS3" s="211"/>
      <c r="AT3" s="204" t="s">
        <v>19</v>
      </c>
      <c r="AU3" s="204"/>
      <c r="AV3" s="204"/>
      <c r="AW3" s="204" t="s">
        <v>20</v>
      </c>
      <c r="AX3" s="204"/>
      <c r="AY3" s="204"/>
      <c r="AZ3" s="204" t="s">
        <v>21</v>
      </c>
      <c r="BA3" s="204"/>
      <c r="BB3" s="204"/>
      <c r="BC3" s="226" t="s">
        <v>28</v>
      </c>
      <c r="BD3" s="226"/>
      <c r="BE3" s="226"/>
      <c r="BF3" s="226"/>
      <c r="BG3" s="226"/>
      <c r="BH3" s="226"/>
      <c r="BI3" s="226" t="s">
        <v>29</v>
      </c>
      <c r="BJ3" s="226"/>
      <c r="BK3" s="226"/>
      <c r="BL3" s="226"/>
      <c r="BM3" s="226"/>
      <c r="BN3" s="226"/>
      <c r="BO3" s="226" t="s">
        <v>381</v>
      </c>
      <c r="BP3" s="226"/>
      <c r="BQ3" s="226"/>
      <c r="BR3" s="226"/>
      <c r="BS3" s="226"/>
      <c r="BT3" s="226"/>
      <c r="BU3" s="226" t="s">
        <v>353</v>
      </c>
      <c r="BV3" s="226"/>
      <c r="BW3" s="226"/>
      <c r="BX3" s="226"/>
      <c r="BY3" s="226"/>
      <c r="BZ3" s="226"/>
      <c r="CA3" s="226" t="s">
        <v>30</v>
      </c>
      <c r="CB3" s="226"/>
      <c r="CC3" s="226"/>
      <c r="CD3" s="226"/>
      <c r="CE3" s="226"/>
      <c r="CF3" s="226"/>
      <c r="CG3" s="226" t="s">
        <v>31</v>
      </c>
      <c r="CH3" s="226"/>
      <c r="CI3" s="226"/>
      <c r="CJ3" s="226"/>
      <c r="CK3" s="226"/>
      <c r="CL3" s="226"/>
      <c r="CM3" s="226" t="s">
        <v>32</v>
      </c>
      <c r="CN3" s="226"/>
      <c r="CO3" s="226"/>
      <c r="CP3" s="226"/>
      <c r="CQ3" s="226"/>
      <c r="CR3" s="226"/>
      <c r="CS3" s="226" t="s">
        <v>382</v>
      </c>
      <c r="CT3" s="226"/>
      <c r="CU3" s="226"/>
      <c r="CV3" s="226"/>
      <c r="CW3" s="226"/>
      <c r="CX3" s="226"/>
      <c r="CY3" s="226" t="s">
        <v>383</v>
      </c>
      <c r="CZ3" s="226"/>
      <c r="DA3" s="226"/>
      <c r="DB3" s="226"/>
      <c r="DC3" s="226"/>
      <c r="DD3" s="226"/>
      <c r="DE3" s="226" t="s">
        <v>384</v>
      </c>
      <c r="DF3" s="226"/>
      <c r="DG3" s="226"/>
      <c r="DH3" s="226"/>
      <c r="DI3" s="226"/>
      <c r="DJ3" s="226"/>
      <c r="DK3" s="226" t="s">
        <v>33</v>
      </c>
      <c r="DL3" s="226"/>
      <c r="DM3" s="226"/>
      <c r="DN3" s="226"/>
      <c r="DO3" s="226"/>
      <c r="DP3" s="226"/>
      <c r="DQ3" s="227" t="s">
        <v>34</v>
      </c>
      <c r="DR3" s="227"/>
      <c r="DS3" s="227"/>
      <c r="DT3" s="227"/>
      <c r="DU3" s="227"/>
      <c r="DV3" s="227"/>
      <c r="DW3" s="226" t="s">
        <v>385</v>
      </c>
      <c r="DX3" s="226"/>
      <c r="DY3" s="226"/>
      <c r="DZ3" s="226"/>
      <c r="EA3" s="226"/>
      <c r="EB3" s="226"/>
      <c r="EC3" s="226" t="s">
        <v>35</v>
      </c>
      <c r="ED3" s="226"/>
      <c r="EE3" s="226"/>
      <c r="EF3" s="226"/>
      <c r="EG3" s="226"/>
      <c r="EH3" s="226"/>
      <c r="EI3" s="226" t="s">
        <v>36</v>
      </c>
      <c r="EJ3" s="226"/>
      <c r="EK3" s="226"/>
      <c r="EL3" s="226"/>
      <c r="EM3" s="226"/>
      <c r="EN3" s="226"/>
      <c r="EO3" s="226" t="s">
        <v>37</v>
      </c>
      <c r="EP3" s="226"/>
      <c r="EQ3" s="226"/>
      <c r="ER3" s="226"/>
      <c r="ES3" s="226"/>
      <c r="ET3" s="226"/>
      <c r="EU3" s="227" t="s">
        <v>429</v>
      </c>
      <c r="EV3" s="226"/>
      <c r="EW3" s="226"/>
      <c r="EX3" s="226"/>
      <c r="EY3" s="226"/>
      <c r="EZ3" s="226"/>
      <c r="FA3" s="226" t="s">
        <v>350</v>
      </c>
      <c r="FB3" s="226"/>
      <c r="FC3" s="226"/>
      <c r="FD3" s="226"/>
      <c r="FE3" s="226"/>
      <c r="FF3" s="226"/>
      <c r="FG3" s="226" t="s">
        <v>38</v>
      </c>
      <c r="FH3" s="226"/>
      <c r="FI3" s="226"/>
      <c r="FJ3" s="226"/>
      <c r="FK3" s="226"/>
      <c r="FL3" s="226"/>
      <c r="FM3" s="226" t="s">
        <v>386</v>
      </c>
      <c r="FN3" s="226"/>
      <c r="FO3" s="226"/>
      <c r="FP3" s="226"/>
      <c r="FQ3" s="226"/>
      <c r="FR3" s="226"/>
      <c r="FS3" s="226" t="s">
        <v>387</v>
      </c>
      <c r="FT3" s="226"/>
      <c r="FU3" s="226"/>
      <c r="FV3" s="226"/>
      <c r="FW3" s="226"/>
      <c r="FX3" s="226"/>
      <c r="FY3" s="226" t="s">
        <v>388</v>
      </c>
      <c r="FZ3" s="226"/>
      <c r="GA3" s="226"/>
      <c r="GB3" s="226"/>
      <c r="GC3" s="226"/>
      <c r="GD3" s="226"/>
      <c r="GE3" s="228" t="s">
        <v>45</v>
      </c>
      <c r="GF3" s="228"/>
      <c r="GG3" s="228"/>
      <c r="GH3" s="228"/>
      <c r="GI3" s="228"/>
      <c r="GJ3" s="228"/>
      <c r="GK3" s="174" t="s">
        <v>58</v>
      </c>
      <c r="GL3" s="174" t="s">
        <v>351</v>
      </c>
      <c r="GM3" s="220" t="s">
        <v>389</v>
      </c>
      <c r="GN3" s="222" t="s">
        <v>55</v>
      </c>
      <c r="GO3" s="222" t="s">
        <v>390</v>
      </c>
      <c r="GP3" s="218" t="s">
        <v>47</v>
      </c>
      <c r="GQ3" s="218" t="s">
        <v>391</v>
      </c>
      <c r="GR3" s="233" t="s">
        <v>27</v>
      </c>
      <c r="GS3" s="234"/>
      <c r="GT3" s="234"/>
      <c r="GU3" s="234"/>
      <c r="GV3" s="235"/>
      <c r="GW3" s="174" t="s">
        <v>26</v>
      </c>
      <c r="GX3" s="174"/>
      <c r="GY3" s="174"/>
      <c r="GZ3" s="174"/>
      <c r="HA3" s="251" t="s">
        <v>55</v>
      </c>
      <c r="HB3" s="242" t="s">
        <v>516</v>
      </c>
      <c r="HC3" s="245" t="s">
        <v>8</v>
      </c>
      <c r="HD3" s="246"/>
      <c r="HE3" s="212" t="s">
        <v>70</v>
      </c>
      <c r="HF3" s="213"/>
      <c r="HG3" s="214"/>
      <c r="HH3" s="261" t="s">
        <v>470</v>
      </c>
      <c r="HI3" s="261"/>
      <c r="HJ3" s="261"/>
    </row>
    <row r="4" spans="1:218" ht="9" customHeight="1">
      <c r="A4" s="171"/>
      <c r="B4" s="174"/>
      <c r="C4" s="174"/>
      <c r="D4" s="201"/>
      <c r="E4" s="202"/>
      <c r="F4" s="203"/>
      <c r="G4" s="201"/>
      <c r="H4" s="202"/>
      <c r="I4" s="203"/>
      <c r="J4" s="204"/>
      <c r="K4" s="204"/>
      <c r="L4" s="204"/>
      <c r="M4" s="204"/>
      <c r="N4" s="204"/>
      <c r="O4" s="204"/>
      <c r="P4" s="204"/>
      <c r="Q4" s="204"/>
      <c r="R4" s="204"/>
      <c r="S4" s="208"/>
      <c r="T4" s="209"/>
      <c r="U4" s="210"/>
      <c r="V4" s="208"/>
      <c r="W4" s="209"/>
      <c r="X4" s="210"/>
      <c r="Y4" s="204"/>
      <c r="Z4" s="204"/>
      <c r="AA4" s="204"/>
      <c r="AB4" s="211"/>
      <c r="AC4" s="211"/>
      <c r="AD4" s="211"/>
      <c r="AE4" s="202"/>
      <c r="AF4" s="202"/>
      <c r="AG4" s="202"/>
      <c r="AH4" s="204"/>
      <c r="AI4" s="204"/>
      <c r="AJ4" s="204"/>
      <c r="AK4" s="204"/>
      <c r="AL4" s="204"/>
      <c r="AM4" s="204"/>
      <c r="AN4" s="211"/>
      <c r="AO4" s="211"/>
      <c r="AP4" s="211"/>
      <c r="AQ4" s="211"/>
      <c r="AR4" s="211"/>
      <c r="AS4" s="211"/>
      <c r="AT4" s="204"/>
      <c r="AU4" s="204"/>
      <c r="AV4" s="204"/>
      <c r="AW4" s="204"/>
      <c r="AX4" s="204"/>
      <c r="AY4" s="204"/>
      <c r="AZ4" s="204"/>
      <c r="BA4" s="204"/>
      <c r="BB4" s="204"/>
      <c r="BC4" s="226"/>
      <c r="BD4" s="226"/>
      <c r="BE4" s="226"/>
      <c r="BF4" s="226"/>
      <c r="BG4" s="226"/>
      <c r="BH4" s="226"/>
      <c r="BI4" s="226"/>
      <c r="BJ4" s="226"/>
      <c r="BK4" s="226"/>
      <c r="BL4" s="226"/>
      <c r="BM4" s="226"/>
      <c r="BN4" s="226"/>
      <c r="BO4" s="226"/>
      <c r="BP4" s="226"/>
      <c r="BQ4" s="226"/>
      <c r="BR4" s="226"/>
      <c r="BS4" s="226"/>
      <c r="BT4" s="226"/>
      <c r="BU4" s="226"/>
      <c r="BV4" s="226"/>
      <c r="BW4" s="226"/>
      <c r="BX4" s="226"/>
      <c r="BY4" s="226"/>
      <c r="BZ4" s="226"/>
      <c r="CA4" s="226"/>
      <c r="CB4" s="226"/>
      <c r="CC4" s="226"/>
      <c r="CD4" s="226"/>
      <c r="CE4" s="226"/>
      <c r="CF4" s="226"/>
      <c r="CG4" s="226"/>
      <c r="CH4" s="226"/>
      <c r="CI4" s="226"/>
      <c r="CJ4" s="226"/>
      <c r="CK4" s="226"/>
      <c r="CL4" s="226"/>
      <c r="CM4" s="226"/>
      <c r="CN4" s="226"/>
      <c r="CO4" s="226"/>
      <c r="CP4" s="226"/>
      <c r="CQ4" s="226"/>
      <c r="CR4" s="226"/>
      <c r="CS4" s="226"/>
      <c r="CT4" s="226"/>
      <c r="CU4" s="226"/>
      <c r="CV4" s="226"/>
      <c r="CW4" s="226"/>
      <c r="CX4" s="226"/>
      <c r="CY4" s="226"/>
      <c r="CZ4" s="226"/>
      <c r="DA4" s="226"/>
      <c r="DB4" s="226"/>
      <c r="DC4" s="226"/>
      <c r="DD4" s="226"/>
      <c r="DE4" s="226"/>
      <c r="DF4" s="226"/>
      <c r="DG4" s="226"/>
      <c r="DH4" s="226"/>
      <c r="DI4" s="226"/>
      <c r="DJ4" s="226"/>
      <c r="DK4" s="226"/>
      <c r="DL4" s="226"/>
      <c r="DM4" s="226"/>
      <c r="DN4" s="226"/>
      <c r="DO4" s="226"/>
      <c r="DP4" s="226"/>
      <c r="DQ4" s="227"/>
      <c r="DR4" s="227"/>
      <c r="DS4" s="227"/>
      <c r="DT4" s="227"/>
      <c r="DU4" s="227"/>
      <c r="DV4" s="227"/>
      <c r="DW4" s="226"/>
      <c r="DX4" s="226"/>
      <c r="DY4" s="226"/>
      <c r="DZ4" s="226"/>
      <c r="EA4" s="226"/>
      <c r="EB4" s="226"/>
      <c r="EC4" s="226"/>
      <c r="ED4" s="226"/>
      <c r="EE4" s="226"/>
      <c r="EF4" s="226"/>
      <c r="EG4" s="226"/>
      <c r="EH4" s="226"/>
      <c r="EI4" s="226"/>
      <c r="EJ4" s="226"/>
      <c r="EK4" s="226"/>
      <c r="EL4" s="226"/>
      <c r="EM4" s="226"/>
      <c r="EN4" s="226"/>
      <c r="EO4" s="226"/>
      <c r="EP4" s="226"/>
      <c r="EQ4" s="226"/>
      <c r="ER4" s="226"/>
      <c r="ES4" s="226"/>
      <c r="ET4" s="226"/>
      <c r="EU4" s="226"/>
      <c r="EV4" s="226"/>
      <c r="EW4" s="226"/>
      <c r="EX4" s="226"/>
      <c r="EY4" s="226"/>
      <c r="EZ4" s="226"/>
      <c r="FA4" s="226"/>
      <c r="FB4" s="226"/>
      <c r="FC4" s="226"/>
      <c r="FD4" s="226"/>
      <c r="FE4" s="226"/>
      <c r="FF4" s="226"/>
      <c r="FG4" s="226"/>
      <c r="FH4" s="226"/>
      <c r="FI4" s="226"/>
      <c r="FJ4" s="226"/>
      <c r="FK4" s="226"/>
      <c r="FL4" s="226"/>
      <c r="FM4" s="226"/>
      <c r="FN4" s="226"/>
      <c r="FO4" s="226"/>
      <c r="FP4" s="226"/>
      <c r="FQ4" s="226"/>
      <c r="FR4" s="226"/>
      <c r="FS4" s="226"/>
      <c r="FT4" s="226"/>
      <c r="FU4" s="226"/>
      <c r="FV4" s="226"/>
      <c r="FW4" s="226"/>
      <c r="FX4" s="226"/>
      <c r="FY4" s="226"/>
      <c r="FZ4" s="226"/>
      <c r="GA4" s="226"/>
      <c r="GB4" s="226"/>
      <c r="GC4" s="226"/>
      <c r="GD4" s="226"/>
      <c r="GE4" s="228"/>
      <c r="GF4" s="228"/>
      <c r="GG4" s="228"/>
      <c r="GH4" s="228"/>
      <c r="GI4" s="228"/>
      <c r="GJ4" s="228"/>
      <c r="GK4" s="174"/>
      <c r="GL4" s="174"/>
      <c r="GM4" s="220"/>
      <c r="GN4" s="222"/>
      <c r="GO4" s="222"/>
      <c r="GP4" s="218"/>
      <c r="GQ4" s="218"/>
      <c r="GR4" s="236"/>
      <c r="GS4" s="237"/>
      <c r="GT4" s="237"/>
      <c r="GU4" s="237"/>
      <c r="GV4" s="238"/>
      <c r="GW4" s="174"/>
      <c r="GX4" s="174"/>
      <c r="GY4" s="174"/>
      <c r="GZ4" s="174"/>
      <c r="HA4" s="251"/>
      <c r="HB4" s="243"/>
      <c r="HC4" s="247"/>
      <c r="HD4" s="248"/>
      <c r="HE4" s="215"/>
      <c r="HF4" s="216"/>
      <c r="HG4" s="217"/>
      <c r="HH4" s="261"/>
      <c r="HI4" s="261"/>
      <c r="HJ4" s="261"/>
    </row>
    <row r="5" spans="1:218" ht="12.65" customHeight="1">
      <c r="A5" s="171"/>
      <c r="B5" s="174"/>
      <c r="C5" s="174"/>
      <c r="D5" s="178" t="s">
        <v>0</v>
      </c>
      <c r="E5" s="176" t="s">
        <v>13</v>
      </c>
      <c r="F5" s="174" t="s">
        <v>392</v>
      </c>
      <c r="G5" s="178" t="s">
        <v>0</v>
      </c>
      <c r="H5" s="176" t="s">
        <v>13</v>
      </c>
      <c r="I5" s="174" t="s">
        <v>392</v>
      </c>
      <c r="J5" s="178" t="s">
        <v>0</v>
      </c>
      <c r="K5" s="176" t="s">
        <v>13</v>
      </c>
      <c r="L5" s="174" t="s">
        <v>392</v>
      </c>
      <c r="M5" s="178" t="s">
        <v>0</v>
      </c>
      <c r="N5" s="176" t="s">
        <v>13</v>
      </c>
      <c r="O5" s="174" t="s">
        <v>392</v>
      </c>
      <c r="P5" s="178" t="s">
        <v>0</v>
      </c>
      <c r="Q5" s="176" t="s">
        <v>13</v>
      </c>
      <c r="R5" s="174" t="s">
        <v>392</v>
      </c>
      <c r="S5" s="178" t="s">
        <v>0</v>
      </c>
      <c r="T5" s="176" t="s">
        <v>13</v>
      </c>
      <c r="U5" s="174" t="s">
        <v>392</v>
      </c>
      <c r="V5" s="178" t="s">
        <v>0</v>
      </c>
      <c r="W5" s="176" t="s">
        <v>13</v>
      </c>
      <c r="X5" s="174" t="s">
        <v>392</v>
      </c>
      <c r="Y5" s="178" t="s">
        <v>0</v>
      </c>
      <c r="Z5" s="176" t="s">
        <v>13</v>
      </c>
      <c r="AA5" s="174" t="s">
        <v>392</v>
      </c>
      <c r="AB5" s="178" t="s">
        <v>0</v>
      </c>
      <c r="AC5" s="176" t="s">
        <v>13</v>
      </c>
      <c r="AD5" s="174" t="s">
        <v>392</v>
      </c>
      <c r="AE5" s="258" t="s">
        <v>572</v>
      </c>
      <c r="AF5" s="255" t="s">
        <v>393</v>
      </c>
      <c r="AG5" s="174" t="s">
        <v>392</v>
      </c>
      <c r="AH5" s="178" t="s">
        <v>0</v>
      </c>
      <c r="AI5" s="176" t="s">
        <v>13</v>
      </c>
      <c r="AJ5" s="174" t="s">
        <v>392</v>
      </c>
      <c r="AK5" s="178" t="s">
        <v>0</v>
      </c>
      <c r="AL5" s="176" t="s">
        <v>13</v>
      </c>
      <c r="AM5" s="174" t="s">
        <v>392</v>
      </c>
      <c r="AN5" s="178" t="s">
        <v>0</v>
      </c>
      <c r="AO5" s="176" t="s">
        <v>13</v>
      </c>
      <c r="AP5" s="174" t="s">
        <v>392</v>
      </c>
      <c r="AQ5" s="178" t="s">
        <v>0</v>
      </c>
      <c r="AR5" s="176" t="s">
        <v>13</v>
      </c>
      <c r="AS5" s="174" t="s">
        <v>392</v>
      </c>
      <c r="AT5" s="178" t="s">
        <v>0</v>
      </c>
      <c r="AU5" s="176" t="s">
        <v>13</v>
      </c>
      <c r="AV5" s="174" t="s">
        <v>392</v>
      </c>
      <c r="AW5" s="178" t="s">
        <v>0</v>
      </c>
      <c r="AX5" s="176" t="s">
        <v>13</v>
      </c>
      <c r="AY5" s="174" t="s">
        <v>392</v>
      </c>
      <c r="AZ5" s="178" t="s">
        <v>0</v>
      </c>
      <c r="BA5" s="176" t="s">
        <v>13</v>
      </c>
      <c r="BB5" s="174" t="s">
        <v>392</v>
      </c>
      <c r="BC5" s="174" t="s">
        <v>4</v>
      </c>
      <c r="BD5" s="174" t="s">
        <v>394</v>
      </c>
      <c r="BE5" s="179" t="s">
        <v>2</v>
      </c>
      <c r="BF5" s="181" t="s">
        <v>395</v>
      </c>
      <c r="BG5" s="181" t="s">
        <v>44</v>
      </c>
      <c r="BH5" s="181" t="s">
        <v>345</v>
      </c>
      <c r="BI5" s="174" t="s">
        <v>4</v>
      </c>
      <c r="BJ5" s="174" t="s">
        <v>394</v>
      </c>
      <c r="BK5" s="179" t="s">
        <v>2</v>
      </c>
      <c r="BL5" s="181" t="s">
        <v>395</v>
      </c>
      <c r="BM5" s="181" t="s">
        <v>44</v>
      </c>
      <c r="BN5" s="181" t="s">
        <v>345</v>
      </c>
      <c r="BO5" s="174" t="s">
        <v>4</v>
      </c>
      <c r="BP5" s="174" t="s">
        <v>394</v>
      </c>
      <c r="BQ5" s="179" t="s">
        <v>2</v>
      </c>
      <c r="BR5" s="181" t="s">
        <v>395</v>
      </c>
      <c r="BS5" s="181" t="s">
        <v>44</v>
      </c>
      <c r="BT5" s="181" t="s">
        <v>345</v>
      </c>
      <c r="BU5" s="174" t="s">
        <v>4</v>
      </c>
      <c r="BV5" s="174" t="s">
        <v>394</v>
      </c>
      <c r="BW5" s="174" t="s">
        <v>2</v>
      </c>
      <c r="BX5" s="181" t="s">
        <v>395</v>
      </c>
      <c r="BY5" s="181" t="s">
        <v>44</v>
      </c>
      <c r="BZ5" s="181" t="s">
        <v>345</v>
      </c>
      <c r="CA5" s="174" t="s">
        <v>4</v>
      </c>
      <c r="CB5" s="174" t="s">
        <v>394</v>
      </c>
      <c r="CC5" s="179" t="s">
        <v>2</v>
      </c>
      <c r="CD5" s="181" t="s">
        <v>395</v>
      </c>
      <c r="CE5" s="181" t="s">
        <v>44</v>
      </c>
      <c r="CF5" s="181" t="s">
        <v>345</v>
      </c>
      <c r="CG5" s="174" t="s">
        <v>4</v>
      </c>
      <c r="CH5" s="174" t="s">
        <v>394</v>
      </c>
      <c r="CI5" s="184" t="s">
        <v>2</v>
      </c>
      <c r="CJ5" s="181" t="s">
        <v>395</v>
      </c>
      <c r="CK5" s="181" t="s">
        <v>44</v>
      </c>
      <c r="CL5" s="181" t="s">
        <v>345</v>
      </c>
      <c r="CM5" s="174" t="s">
        <v>4</v>
      </c>
      <c r="CN5" s="174" t="s">
        <v>394</v>
      </c>
      <c r="CO5" s="179" t="s">
        <v>2</v>
      </c>
      <c r="CP5" s="181" t="s">
        <v>395</v>
      </c>
      <c r="CQ5" s="181" t="s">
        <v>44</v>
      </c>
      <c r="CR5" s="181" t="s">
        <v>345</v>
      </c>
      <c r="CS5" s="174" t="s">
        <v>4</v>
      </c>
      <c r="CT5" s="174" t="s">
        <v>394</v>
      </c>
      <c r="CU5" s="179" t="s">
        <v>2</v>
      </c>
      <c r="CV5" s="181" t="s">
        <v>395</v>
      </c>
      <c r="CW5" s="181" t="s">
        <v>44</v>
      </c>
      <c r="CX5" s="181" t="s">
        <v>345</v>
      </c>
      <c r="CY5" s="174" t="s">
        <v>4</v>
      </c>
      <c r="CZ5" s="174" t="s">
        <v>394</v>
      </c>
      <c r="DA5" s="179" t="s">
        <v>2</v>
      </c>
      <c r="DB5" s="181" t="s">
        <v>395</v>
      </c>
      <c r="DC5" s="181" t="s">
        <v>44</v>
      </c>
      <c r="DD5" s="181" t="s">
        <v>345</v>
      </c>
      <c r="DE5" s="174" t="s">
        <v>4</v>
      </c>
      <c r="DF5" s="174" t="s">
        <v>394</v>
      </c>
      <c r="DG5" s="179" t="s">
        <v>2</v>
      </c>
      <c r="DH5" s="181" t="s">
        <v>395</v>
      </c>
      <c r="DI5" s="181" t="s">
        <v>44</v>
      </c>
      <c r="DJ5" s="181" t="s">
        <v>345</v>
      </c>
      <c r="DK5" s="174" t="s">
        <v>4</v>
      </c>
      <c r="DL5" s="174" t="s">
        <v>394</v>
      </c>
      <c r="DM5" s="179" t="s">
        <v>2</v>
      </c>
      <c r="DN5" s="181" t="s">
        <v>395</v>
      </c>
      <c r="DO5" s="186" t="s">
        <v>44</v>
      </c>
      <c r="DP5" s="181" t="s">
        <v>345</v>
      </c>
      <c r="DQ5" s="174" t="s">
        <v>4</v>
      </c>
      <c r="DR5" s="174" t="s">
        <v>394</v>
      </c>
      <c r="DS5" s="179" t="s">
        <v>2</v>
      </c>
      <c r="DT5" s="181" t="s">
        <v>395</v>
      </c>
      <c r="DU5" s="181" t="s">
        <v>44</v>
      </c>
      <c r="DV5" s="181" t="s">
        <v>345</v>
      </c>
      <c r="DW5" s="174" t="s">
        <v>4</v>
      </c>
      <c r="DX5" s="174" t="s">
        <v>394</v>
      </c>
      <c r="DY5" s="179" t="s">
        <v>2</v>
      </c>
      <c r="DZ5" s="181" t="s">
        <v>395</v>
      </c>
      <c r="EA5" s="181" t="s">
        <v>44</v>
      </c>
      <c r="EB5" s="181" t="s">
        <v>345</v>
      </c>
      <c r="EC5" s="174" t="s">
        <v>4</v>
      </c>
      <c r="ED5" s="174" t="s">
        <v>394</v>
      </c>
      <c r="EE5" s="179" t="s">
        <v>2</v>
      </c>
      <c r="EF5" s="181" t="s">
        <v>395</v>
      </c>
      <c r="EG5" s="181" t="s">
        <v>44</v>
      </c>
      <c r="EH5" s="181" t="s">
        <v>345</v>
      </c>
      <c r="EI5" s="174" t="s">
        <v>4</v>
      </c>
      <c r="EJ5" s="174" t="s">
        <v>394</v>
      </c>
      <c r="EK5" s="179" t="s">
        <v>2</v>
      </c>
      <c r="EL5" s="181" t="s">
        <v>395</v>
      </c>
      <c r="EM5" s="181" t="s">
        <v>44</v>
      </c>
      <c r="EN5" s="181" t="s">
        <v>345</v>
      </c>
      <c r="EO5" s="174" t="s">
        <v>4</v>
      </c>
      <c r="EP5" s="174" t="s">
        <v>394</v>
      </c>
      <c r="EQ5" s="179" t="s">
        <v>2</v>
      </c>
      <c r="ER5" s="181" t="s">
        <v>395</v>
      </c>
      <c r="ES5" s="181" t="s">
        <v>44</v>
      </c>
      <c r="ET5" s="181" t="s">
        <v>345</v>
      </c>
      <c r="EU5" s="174" t="s">
        <v>4</v>
      </c>
      <c r="EV5" s="174" t="s">
        <v>394</v>
      </c>
      <c r="EW5" s="179" t="s">
        <v>2</v>
      </c>
      <c r="EX5" s="181" t="s">
        <v>395</v>
      </c>
      <c r="EY5" s="181" t="s">
        <v>44</v>
      </c>
      <c r="EZ5" s="181" t="s">
        <v>345</v>
      </c>
      <c r="FA5" s="174" t="s">
        <v>4</v>
      </c>
      <c r="FB5" s="174" t="s">
        <v>394</v>
      </c>
      <c r="FC5" s="179" t="s">
        <v>2</v>
      </c>
      <c r="FD5" s="181" t="s">
        <v>395</v>
      </c>
      <c r="FE5" s="181" t="s">
        <v>44</v>
      </c>
      <c r="FF5" s="181" t="s">
        <v>345</v>
      </c>
      <c r="FG5" s="174" t="s">
        <v>4</v>
      </c>
      <c r="FH5" s="174" t="s">
        <v>394</v>
      </c>
      <c r="FI5" s="179" t="s">
        <v>2</v>
      </c>
      <c r="FJ5" s="181" t="s">
        <v>395</v>
      </c>
      <c r="FK5" s="181" t="s">
        <v>44</v>
      </c>
      <c r="FL5" s="181" t="s">
        <v>345</v>
      </c>
      <c r="FM5" s="174" t="s">
        <v>4</v>
      </c>
      <c r="FN5" s="174" t="s">
        <v>394</v>
      </c>
      <c r="FO5" s="174" t="s">
        <v>2</v>
      </c>
      <c r="FP5" s="181" t="s">
        <v>395</v>
      </c>
      <c r="FQ5" s="181" t="s">
        <v>44</v>
      </c>
      <c r="FR5" s="181" t="s">
        <v>345</v>
      </c>
      <c r="FS5" s="174" t="s">
        <v>4</v>
      </c>
      <c r="FT5" s="174" t="s">
        <v>394</v>
      </c>
      <c r="FU5" s="179" t="s">
        <v>2</v>
      </c>
      <c r="FV5" s="181" t="s">
        <v>395</v>
      </c>
      <c r="FW5" s="181" t="s">
        <v>44</v>
      </c>
      <c r="FX5" s="181" t="s">
        <v>345</v>
      </c>
      <c r="FY5" s="174" t="s">
        <v>4</v>
      </c>
      <c r="FZ5" s="174" t="s">
        <v>394</v>
      </c>
      <c r="GA5" s="179" t="s">
        <v>2</v>
      </c>
      <c r="GB5" s="181" t="s">
        <v>395</v>
      </c>
      <c r="GC5" s="181" t="s">
        <v>44</v>
      </c>
      <c r="GD5" s="181" t="s">
        <v>345</v>
      </c>
      <c r="GE5" s="174" t="s">
        <v>4</v>
      </c>
      <c r="GF5" s="174" t="s">
        <v>394</v>
      </c>
      <c r="GG5" s="179" t="s">
        <v>2</v>
      </c>
      <c r="GH5" s="181" t="s">
        <v>395</v>
      </c>
      <c r="GI5" s="181" t="s">
        <v>44</v>
      </c>
      <c r="GJ5" s="181" t="s">
        <v>345</v>
      </c>
      <c r="GK5" s="174"/>
      <c r="GL5" s="174"/>
      <c r="GM5" s="220"/>
      <c r="GN5" s="222"/>
      <c r="GO5" s="222"/>
      <c r="GP5" s="218"/>
      <c r="GQ5" s="218"/>
      <c r="GR5" s="239"/>
      <c r="GS5" s="240"/>
      <c r="GT5" s="240"/>
      <c r="GU5" s="240"/>
      <c r="GV5" s="241"/>
      <c r="GW5" s="174"/>
      <c r="GX5" s="174"/>
      <c r="GY5" s="174"/>
      <c r="GZ5" s="174"/>
      <c r="HA5" s="251"/>
      <c r="HB5" s="243"/>
      <c r="HC5" s="247"/>
      <c r="HD5" s="248"/>
      <c r="HE5" s="215"/>
      <c r="HF5" s="216"/>
      <c r="HG5" s="217"/>
      <c r="HH5" s="261"/>
      <c r="HI5" s="261"/>
      <c r="HJ5" s="261"/>
    </row>
    <row r="6" spans="1:218" ht="83.5" customHeight="1">
      <c r="A6" s="171"/>
      <c r="B6" s="174"/>
      <c r="C6" s="174"/>
      <c r="D6" s="178"/>
      <c r="E6" s="176"/>
      <c r="F6" s="174"/>
      <c r="G6" s="178"/>
      <c r="H6" s="176"/>
      <c r="I6" s="174"/>
      <c r="J6" s="178"/>
      <c r="K6" s="176"/>
      <c r="L6" s="174"/>
      <c r="M6" s="178"/>
      <c r="N6" s="176"/>
      <c r="O6" s="174"/>
      <c r="P6" s="178"/>
      <c r="Q6" s="176"/>
      <c r="R6" s="174"/>
      <c r="S6" s="178"/>
      <c r="T6" s="176"/>
      <c r="U6" s="174"/>
      <c r="V6" s="178"/>
      <c r="W6" s="176"/>
      <c r="X6" s="174"/>
      <c r="Y6" s="178"/>
      <c r="Z6" s="176"/>
      <c r="AA6" s="174"/>
      <c r="AB6" s="178"/>
      <c r="AC6" s="176"/>
      <c r="AD6" s="174"/>
      <c r="AE6" s="259"/>
      <c r="AF6" s="256"/>
      <c r="AG6" s="174"/>
      <c r="AH6" s="178"/>
      <c r="AI6" s="176"/>
      <c r="AJ6" s="174"/>
      <c r="AK6" s="178"/>
      <c r="AL6" s="176"/>
      <c r="AM6" s="174"/>
      <c r="AN6" s="178"/>
      <c r="AO6" s="176"/>
      <c r="AP6" s="174"/>
      <c r="AQ6" s="178"/>
      <c r="AR6" s="176"/>
      <c r="AS6" s="174"/>
      <c r="AT6" s="178"/>
      <c r="AU6" s="176"/>
      <c r="AV6" s="174"/>
      <c r="AW6" s="178"/>
      <c r="AX6" s="176"/>
      <c r="AY6" s="174"/>
      <c r="AZ6" s="178"/>
      <c r="BA6" s="176"/>
      <c r="BB6" s="174"/>
      <c r="BC6" s="174"/>
      <c r="BD6" s="174"/>
      <c r="BE6" s="179"/>
      <c r="BF6" s="182"/>
      <c r="BG6" s="182"/>
      <c r="BH6" s="182"/>
      <c r="BI6" s="174"/>
      <c r="BJ6" s="174"/>
      <c r="BK6" s="179"/>
      <c r="BL6" s="182"/>
      <c r="BM6" s="182"/>
      <c r="BN6" s="182"/>
      <c r="BO6" s="174"/>
      <c r="BP6" s="174"/>
      <c r="BQ6" s="179"/>
      <c r="BR6" s="182"/>
      <c r="BS6" s="182"/>
      <c r="BT6" s="182"/>
      <c r="BU6" s="174"/>
      <c r="BV6" s="174"/>
      <c r="BW6" s="174"/>
      <c r="BX6" s="182"/>
      <c r="BY6" s="182"/>
      <c r="BZ6" s="182"/>
      <c r="CA6" s="174"/>
      <c r="CB6" s="174"/>
      <c r="CC6" s="179"/>
      <c r="CD6" s="182"/>
      <c r="CE6" s="182"/>
      <c r="CF6" s="182"/>
      <c r="CG6" s="174"/>
      <c r="CH6" s="174"/>
      <c r="CI6" s="184"/>
      <c r="CJ6" s="182"/>
      <c r="CK6" s="182"/>
      <c r="CL6" s="182"/>
      <c r="CM6" s="174"/>
      <c r="CN6" s="174"/>
      <c r="CO6" s="179"/>
      <c r="CP6" s="182"/>
      <c r="CQ6" s="182"/>
      <c r="CR6" s="182"/>
      <c r="CS6" s="174"/>
      <c r="CT6" s="174"/>
      <c r="CU6" s="179"/>
      <c r="CV6" s="182"/>
      <c r="CW6" s="182"/>
      <c r="CX6" s="182"/>
      <c r="CY6" s="174"/>
      <c r="CZ6" s="174"/>
      <c r="DA6" s="179"/>
      <c r="DB6" s="182"/>
      <c r="DC6" s="182"/>
      <c r="DD6" s="182"/>
      <c r="DE6" s="174"/>
      <c r="DF6" s="174"/>
      <c r="DG6" s="179"/>
      <c r="DH6" s="182"/>
      <c r="DI6" s="182"/>
      <c r="DJ6" s="182"/>
      <c r="DK6" s="174"/>
      <c r="DL6" s="174"/>
      <c r="DM6" s="179"/>
      <c r="DN6" s="182"/>
      <c r="DO6" s="187"/>
      <c r="DP6" s="182"/>
      <c r="DQ6" s="174"/>
      <c r="DR6" s="174"/>
      <c r="DS6" s="179"/>
      <c r="DT6" s="182"/>
      <c r="DU6" s="182"/>
      <c r="DV6" s="182"/>
      <c r="DW6" s="174"/>
      <c r="DX6" s="174"/>
      <c r="DY6" s="179"/>
      <c r="DZ6" s="182"/>
      <c r="EA6" s="182"/>
      <c r="EB6" s="182"/>
      <c r="EC6" s="174"/>
      <c r="ED6" s="174"/>
      <c r="EE6" s="179"/>
      <c r="EF6" s="182"/>
      <c r="EG6" s="182"/>
      <c r="EH6" s="182"/>
      <c r="EI6" s="174"/>
      <c r="EJ6" s="174"/>
      <c r="EK6" s="179"/>
      <c r="EL6" s="182"/>
      <c r="EM6" s="182"/>
      <c r="EN6" s="182"/>
      <c r="EO6" s="174"/>
      <c r="EP6" s="174"/>
      <c r="EQ6" s="179"/>
      <c r="ER6" s="182"/>
      <c r="ES6" s="182"/>
      <c r="ET6" s="182"/>
      <c r="EU6" s="174"/>
      <c r="EV6" s="174"/>
      <c r="EW6" s="179"/>
      <c r="EX6" s="182"/>
      <c r="EY6" s="182"/>
      <c r="EZ6" s="182"/>
      <c r="FA6" s="174"/>
      <c r="FB6" s="174"/>
      <c r="FC6" s="179"/>
      <c r="FD6" s="182"/>
      <c r="FE6" s="182"/>
      <c r="FF6" s="182"/>
      <c r="FG6" s="174"/>
      <c r="FH6" s="174"/>
      <c r="FI6" s="179"/>
      <c r="FJ6" s="182"/>
      <c r="FK6" s="182"/>
      <c r="FL6" s="182"/>
      <c r="FM6" s="174"/>
      <c r="FN6" s="174"/>
      <c r="FO6" s="174"/>
      <c r="FP6" s="182"/>
      <c r="FQ6" s="182"/>
      <c r="FR6" s="182"/>
      <c r="FS6" s="174"/>
      <c r="FT6" s="174"/>
      <c r="FU6" s="179"/>
      <c r="FV6" s="182"/>
      <c r="FW6" s="182"/>
      <c r="FX6" s="182"/>
      <c r="FY6" s="174"/>
      <c r="FZ6" s="174"/>
      <c r="GA6" s="179"/>
      <c r="GB6" s="182"/>
      <c r="GC6" s="182"/>
      <c r="GD6" s="182"/>
      <c r="GE6" s="174"/>
      <c r="GF6" s="174"/>
      <c r="GG6" s="179"/>
      <c r="GH6" s="182"/>
      <c r="GI6" s="182"/>
      <c r="GJ6" s="182"/>
      <c r="GK6" s="174"/>
      <c r="GL6" s="174"/>
      <c r="GM6" s="220"/>
      <c r="GN6" s="222"/>
      <c r="GO6" s="222"/>
      <c r="GP6" s="218"/>
      <c r="GQ6" s="218"/>
      <c r="GR6" s="249" t="s">
        <v>1</v>
      </c>
      <c r="GS6" s="249" t="s">
        <v>9</v>
      </c>
      <c r="GT6" s="249" t="s">
        <v>7</v>
      </c>
      <c r="GU6" s="249" t="s">
        <v>5</v>
      </c>
      <c r="GV6" s="174" t="s">
        <v>346</v>
      </c>
      <c r="GW6" s="249" t="s">
        <v>39</v>
      </c>
      <c r="GX6" s="249" t="s">
        <v>22</v>
      </c>
      <c r="GY6" s="249" t="s">
        <v>23</v>
      </c>
      <c r="GZ6" s="249" t="s">
        <v>24</v>
      </c>
      <c r="HA6" s="251"/>
      <c r="HB6" s="243"/>
      <c r="HC6" s="247"/>
      <c r="HD6" s="248"/>
      <c r="HE6" s="215"/>
      <c r="HF6" s="216"/>
      <c r="HG6" s="217"/>
      <c r="HH6" s="261"/>
      <c r="HI6" s="261"/>
      <c r="HJ6" s="261"/>
    </row>
    <row r="7" spans="1:218" ht="28" customHeight="1">
      <c r="A7" s="171"/>
      <c r="B7" s="174"/>
      <c r="C7" s="174"/>
      <c r="D7" s="178"/>
      <c r="E7" s="176"/>
      <c r="F7" s="174"/>
      <c r="G7" s="178"/>
      <c r="H7" s="176"/>
      <c r="I7" s="174"/>
      <c r="J7" s="178"/>
      <c r="K7" s="176"/>
      <c r="L7" s="174"/>
      <c r="M7" s="178"/>
      <c r="N7" s="176"/>
      <c r="O7" s="174"/>
      <c r="P7" s="178"/>
      <c r="Q7" s="176"/>
      <c r="R7" s="174"/>
      <c r="S7" s="178"/>
      <c r="T7" s="176"/>
      <c r="U7" s="174"/>
      <c r="V7" s="178"/>
      <c r="W7" s="176"/>
      <c r="X7" s="174"/>
      <c r="Y7" s="178"/>
      <c r="Z7" s="176"/>
      <c r="AA7" s="174"/>
      <c r="AB7" s="178"/>
      <c r="AC7" s="176"/>
      <c r="AD7" s="174"/>
      <c r="AE7" s="260"/>
      <c r="AF7" s="256"/>
      <c r="AG7" s="174"/>
      <c r="AH7" s="178"/>
      <c r="AI7" s="176"/>
      <c r="AJ7" s="174"/>
      <c r="AK7" s="178"/>
      <c r="AL7" s="176"/>
      <c r="AM7" s="174"/>
      <c r="AN7" s="178"/>
      <c r="AO7" s="176"/>
      <c r="AP7" s="174"/>
      <c r="AQ7" s="178"/>
      <c r="AR7" s="176"/>
      <c r="AS7" s="174"/>
      <c r="AT7" s="178"/>
      <c r="AU7" s="176"/>
      <c r="AV7" s="174"/>
      <c r="AW7" s="178"/>
      <c r="AX7" s="176"/>
      <c r="AY7" s="174"/>
      <c r="AZ7" s="178"/>
      <c r="BA7" s="176"/>
      <c r="BB7" s="174"/>
      <c r="BC7" s="174"/>
      <c r="BD7" s="174"/>
      <c r="BE7" s="179"/>
      <c r="BF7" s="182"/>
      <c r="BG7" s="182"/>
      <c r="BH7" s="182"/>
      <c r="BI7" s="174"/>
      <c r="BJ7" s="174"/>
      <c r="BK7" s="179"/>
      <c r="BL7" s="182"/>
      <c r="BM7" s="182"/>
      <c r="BN7" s="182"/>
      <c r="BO7" s="174"/>
      <c r="BP7" s="174"/>
      <c r="BQ7" s="179"/>
      <c r="BR7" s="182"/>
      <c r="BS7" s="182"/>
      <c r="BT7" s="182"/>
      <c r="BU7" s="174"/>
      <c r="BV7" s="174"/>
      <c r="BW7" s="174"/>
      <c r="BX7" s="182"/>
      <c r="BY7" s="182"/>
      <c r="BZ7" s="182"/>
      <c r="CA7" s="174"/>
      <c r="CB7" s="174"/>
      <c r="CC7" s="179"/>
      <c r="CD7" s="182"/>
      <c r="CE7" s="182"/>
      <c r="CF7" s="182"/>
      <c r="CG7" s="174"/>
      <c r="CH7" s="174"/>
      <c r="CI7" s="184"/>
      <c r="CJ7" s="182"/>
      <c r="CK7" s="182"/>
      <c r="CL7" s="182"/>
      <c r="CM7" s="174"/>
      <c r="CN7" s="174"/>
      <c r="CO7" s="179"/>
      <c r="CP7" s="182"/>
      <c r="CQ7" s="182"/>
      <c r="CR7" s="182"/>
      <c r="CS7" s="174"/>
      <c r="CT7" s="174"/>
      <c r="CU7" s="179"/>
      <c r="CV7" s="182"/>
      <c r="CW7" s="182"/>
      <c r="CX7" s="182"/>
      <c r="CY7" s="174"/>
      <c r="CZ7" s="174"/>
      <c r="DA7" s="179"/>
      <c r="DB7" s="182"/>
      <c r="DC7" s="182"/>
      <c r="DD7" s="182"/>
      <c r="DE7" s="174"/>
      <c r="DF7" s="174"/>
      <c r="DG7" s="179"/>
      <c r="DH7" s="182"/>
      <c r="DI7" s="182"/>
      <c r="DJ7" s="182"/>
      <c r="DK7" s="174"/>
      <c r="DL7" s="174"/>
      <c r="DM7" s="179"/>
      <c r="DN7" s="182"/>
      <c r="DO7" s="187"/>
      <c r="DP7" s="182"/>
      <c r="DQ7" s="174"/>
      <c r="DR7" s="174"/>
      <c r="DS7" s="179"/>
      <c r="DT7" s="182"/>
      <c r="DU7" s="182"/>
      <c r="DV7" s="182"/>
      <c r="DW7" s="174"/>
      <c r="DX7" s="174"/>
      <c r="DY7" s="179"/>
      <c r="DZ7" s="182"/>
      <c r="EA7" s="182"/>
      <c r="EB7" s="182"/>
      <c r="EC7" s="174"/>
      <c r="ED7" s="174"/>
      <c r="EE7" s="179"/>
      <c r="EF7" s="182"/>
      <c r="EG7" s="182"/>
      <c r="EH7" s="182"/>
      <c r="EI7" s="174"/>
      <c r="EJ7" s="174"/>
      <c r="EK7" s="179"/>
      <c r="EL7" s="182"/>
      <c r="EM7" s="182"/>
      <c r="EN7" s="182"/>
      <c r="EO7" s="174"/>
      <c r="EP7" s="174"/>
      <c r="EQ7" s="179"/>
      <c r="ER7" s="182"/>
      <c r="ES7" s="182"/>
      <c r="ET7" s="182"/>
      <c r="EU7" s="174"/>
      <c r="EV7" s="174"/>
      <c r="EW7" s="179"/>
      <c r="EX7" s="182"/>
      <c r="EY7" s="182"/>
      <c r="EZ7" s="182"/>
      <c r="FA7" s="174"/>
      <c r="FB7" s="174"/>
      <c r="FC7" s="179"/>
      <c r="FD7" s="182"/>
      <c r="FE7" s="182"/>
      <c r="FF7" s="182"/>
      <c r="FG7" s="174"/>
      <c r="FH7" s="174"/>
      <c r="FI7" s="179"/>
      <c r="FJ7" s="182"/>
      <c r="FK7" s="182"/>
      <c r="FL7" s="182"/>
      <c r="FM7" s="174"/>
      <c r="FN7" s="174"/>
      <c r="FO7" s="174"/>
      <c r="FP7" s="182"/>
      <c r="FQ7" s="182"/>
      <c r="FR7" s="182"/>
      <c r="FS7" s="174"/>
      <c r="FT7" s="174"/>
      <c r="FU7" s="179"/>
      <c r="FV7" s="182"/>
      <c r="FW7" s="182"/>
      <c r="FX7" s="182"/>
      <c r="FY7" s="174"/>
      <c r="FZ7" s="174"/>
      <c r="GA7" s="179"/>
      <c r="GB7" s="182"/>
      <c r="GC7" s="182"/>
      <c r="GD7" s="182"/>
      <c r="GE7" s="174"/>
      <c r="GF7" s="174"/>
      <c r="GG7" s="179"/>
      <c r="GH7" s="182"/>
      <c r="GI7" s="182"/>
      <c r="GJ7" s="182"/>
      <c r="GK7" s="174"/>
      <c r="GL7" s="174"/>
      <c r="GM7" s="220"/>
      <c r="GN7" s="222"/>
      <c r="GO7" s="222"/>
      <c r="GP7" s="218"/>
      <c r="GQ7" s="218"/>
      <c r="GR7" s="249"/>
      <c r="GS7" s="249"/>
      <c r="GT7" s="249"/>
      <c r="GU7" s="249"/>
      <c r="GV7" s="174"/>
      <c r="GW7" s="249"/>
      <c r="GX7" s="249"/>
      <c r="GY7" s="249"/>
      <c r="GZ7" s="249"/>
      <c r="HA7" s="251"/>
      <c r="HB7" s="243"/>
      <c r="HC7" s="253" t="s">
        <v>60</v>
      </c>
      <c r="HD7" s="589" t="s">
        <v>344</v>
      </c>
      <c r="HE7" s="80" t="s">
        <v>71</v>
      </c>
      <c r="HF7" s="224" t="s">
        <v>11</v>
      </c>
      <c r="HG7" s="225"/>
      <c r="HH7" s="80" t="s">
        <v>73</v>
      </c>
      <c r="HI7" s="229" t="s">
        <v>432</v>
      </c>
      <c r="HJ7" s="230"/>
    </row>
    <row r="8" spans="1:218" ht="159" customHeight="1" thickBot="1">
      <c r="A8" s="172"/>
      <c r="B8" s="175"/>
      <c r="C8" s="175"/>
      <c r="D8" s="83" t="s">
        <v>261</v>
      </c>
      <c r="E8" s="177"/>
      <c r="F8" s="175"/>
      <c r="G8" s="83" t="s">
        <v>261</v>
      </c>
      <c r="H8" s="177"/>
      <c r="I8" s="175"/>
      <c r="J8" s="83" t="s">
        <v>261</v>
      </c>
      <c r="K8" s="177"/>
      <c r="L8" s="175"/>
      <c r="M8" s="83" t="s">
        <v>261</v>
      </c>
      <c r="N8" s="177"/>
      <c r="O8" s="175"/>
      <c r="P8" s="83" t="s">
        <v>261</v>
      </c>
      <c r="Q8" s="177"/>
      <c r="R8" s="175"/>
      <c r="S8" s="83" t="s">
        <v>261</v>
      </c>
      <c r="T8" s="177"/>
      <c r="U8" s="175"/>
      <c r="V8" s="83" t="s">
        <v>261</v>
      </c>
      <c r="W8" s="177"/>
      <c r="X8" s="175"/>
      <c r="Y8" s="83" t="s">
        <v>261</v>
      </c>
      <c r="Z8" s="177"/>
      <c r="AA8" s="175"/>
      <c r="AB8" s="83" t="s">
        <v>261</v>
      </c>
      <c r="AC8" s="177"/>
      <c r="AD8" s="175"/>
      <c r="AE8" s="84" t="s">
        <v>261</v>
      </c>
      <c r="AF8" s="257"/>
      <c r="AG8" s="175"/>
      <c r="AH8" s="83" t="s">
        <v>261</v>
      </c>
      <c r="AI8" s="177"/>
      <c r="AJ8" s="175"/>
      <c r="AK8" s="83" t="s">
        <v>261</v>
      </c>
      <c r="AL8" s="177"/>
      <c r="AM8" s="175"/>
      <c r="AN8" s="83" t="s">
        <v>261</v>
      </c>
      <c r="AO8" s="177"/>
      <c r="AP8" s="175"/>
      <c r="AQ8" s="83" t="s">
        <v>261</v>
      </c>
      <c r="AR8" s="177"/>
      <c r="AS8" s="175"/>
      <c r="AT8" s="83" t="s">
        <v>261</v>
      </c>
      <c r="AU8" s="177"/>
      <c r="AV8" s="175"/>
      <c r="AW8" s="83" t="s">
        <v>261</v>
      </c>
      <c r="AX8" s="177"/>
      <c r="AY8" s="175"/>
      <c r="AZ8" s="83" t="s">
        <v>261</v>
      </c>
      <c r="BA8" s="177"/>
      <c r="BB8" s="175"/>
      <c r="BC8" s="175"/>
      <c r="BD8" s="175"/>
      <c r="BE8" s="180"/>
      <c r="BF8" s="183"/>
      <c r="BG8" s="183"/>
      <c r="BH8" s="183"/>
      <c r="BI8" s="175"/>
      <c r="BJ8" s="175"/>
      <c r="BK8" s="180"/>
      <c r="BL8" s="183"/>
      <c r="BM8" s="183"/>
      <c r="BN8" s="183"/>
      <c r="BO8" s="175"/>
      <c r="BP8" s="175"/>
      <c r="BQ8" s="180"/>
      <c r="BR8" s="183"/>
      <c r="BS8" s="183"/>
      <c r="BT8" s="183"/>
      <c r="BU8" s="175"/>
      <c r="BV8" s="175"/>
      <c r="BW8" s="175"/>
      <c r="BX8" s="183"/>
      <c r="BY8" s="183"/>
      <c r="BZ8" s="183"/>
      <c r="CA8" s="175"/>
      <c r="CB8" s="175"/>
      <c r="CC8" s="180"/>
      <c r="CD8" s="183"/>
      <c r="CE8" s="183"/>
      <c r="CF8" s="183"/>
      <c r="CG8" s="175"/>
      <c r="CH8" s="175"/>
      <c r="CI8" s="185"/>
      <c r="CJ8" s="183"/>
      <c r="CK8" s="183"/>
      <c r="CL8" s="183"/>
      <c r="CM8" s="175"/>
      <c r="CN8" s="175"/>
      <c r="CO8" s="180"/>
      <c r="CP8" s="183"/>
      <c r="CQ8" s="183"/>
      <c r="CR8" s="183"/>
      <c r="CS8" s="175"/>
      <c r="CT8" s="175"/>
      <c r="CU8" s="180"/>
      <c r="CV8" s="183"/>
      <c r="CW8" s="183"/>
      <c r="CX8" s="183"/>
      <c r="CY8" s="175"/>
      <c r="CZ8" s="175"/>
      <c r="DA8" s="180"/>
      <c r="DB8" s="183"/>
      <c r="DC8" s="183"/>
      <c r="DD8" s="183"/>
      <c r="DE8" s="175"/>
      <c r="DF8" s="175"/>
      <c r="DG8" s="180"/>
      <c r="DH8" s="183"/>
      <c r="DI8" s="183"/>
      <c r="DJ8" s="183"/>
      <c r="DK8" s="175"/>
      <c r="DL8" s="175"/>
      <c r="DM8" s="180"/>
      <c r="DN8" s="183"/>
      <c r="DO8" s="188"/>
      <c r="DP8" s="183"/>
      <c r="DQ8" s="175"/>
      <c r="DR8" s="175"/>
      <c r="DS8" s="180"/>
      <c r="DT8" s="183"/>
      <c r="DU8" s="183"/>
      <c r="DV8" s="183"/>
      <c r="DW8" s="175"/>
      <c r="DX8" s="175"/>
      <c r="DY8" s="180"/>
      <c r="DZ8" s="183"/>
      <c r="EA8" s="183"/>
      <c r="EB8" s="183"/>
      <c r="EC8" s="175"/>
      <c r="ED8" s="175"/>
      <c r="EE8" s="180"/>
      <c r="EF8" s="183"/>
      <c r="EG8" s="183"/>
      <c r="EH8" s="183"/>
      <c r="EI8" s="175"/>
      <c r="EJ8" s="175"/>
      <c r="EK8" s="180"/>
      <c r="EL8" s="183"/>
      <c r="EM8" s="183"/>
      <c r="EN8" s="183"/>
      <c r="EO8" s="175"/>
      <c r="EP8" s="175"/>
      <c r="EQ8" s="180"/>
      <c r="ER8" s="183"/>
      <c r="ES8" s="183"/>
      <c r="ET8" s="183"/>
      <c r="EU8" s="175"/>
      <c r="EV8" s="175"/>
      <c r="EW8" s="180"/>
      <c r="EX8" s="183"/>
      <c r="EY8" s="183"/>
      <c r="EZ8" s="183"/>
      <c r="FA8" s="175"/>
      <c r="FB8" s="175"/>
      <c r="FC8" s="180"/>
      <c r="FD8" s="183"/>
      <c r="FE8" s="183"/>
      <c r="FF8" s="183"/>
      <c r="FG8" s="175"/>
      <c r="FH8" s="175"/>
      <c r="FI8" s="180"/>
      <c r="FJ8" s="183"/>
      <c r="FK8" s="183"/>
      <c r="FL8" s="183"/>
      <c r="FM8" s="175"/>
      <c r="FN8" s="175"/>
      <c r="FO8" s="175"/>
      <c r="FP8" s="183"/>
      <c r="FQ8" s="183"/>
      <c r="FR8" s="183"/>
      <c r="FS8" s="175"/>
      <c r="FT8" s="175"/>
      <c r="FU8" s="180"/>
      <c r="FV8" s="183"/>
      <c r="FW8" s="183"/>
      <c r="FX8" s="183"/>
      <c r="FY8" s="175"/>
      <c r="FZ8" s="175"/>
      <c r="GA8" s="180"/>
      <c r="GB8" s="183"/>
      <c r="GC8" s="183"/>
      <c r="GD8" s="183"/>
      <c r="GE8" s="175"/>
      <c r="GF8" s="175"/>
      <c r="GG8" s="180"/>
      <c r="GH8" s="183"/>
      <c r="GI8" s="183"/>
      <c r="GJ8" s="183"/>
      <c r="GK8" s="175"/>
      <c r="GL8" s="175"/>
      <c r="GM8" s="221"/>
      <c r="GN8" s="223"/>
      <c r="GO8" s="223"/>
      <c r="GP8" s="219"/>
      <c r="GQ8" s="219"/>
      <c r="GR8" s="250"/>
      <c r="GS8" s="250"/>
      <c r="GT8" s="250"/>
      <c r="GU8" s="250"/>
      <c r="GV8" s="175"/>
      <c r="GW8" s="250"/>
      <c r="GX8" s="250"/>
      <c r="GY8" s="250"/>
      <c r="GZ8" s="250"/>
      <c r="HA8" s="252"/>
      <c r="HB8" s="244"/>
      <c r="HC8" s="254"/>
      <c r="HD8" s="590"/>
      <c r="HE8" s="85"/>
      <c r="HF8" s="86"/>
      <c r="HG8" s="90" t="s">
        <v>72</v>
      </c>
      <c r="HH8" s="89"/>
      <c r="HI8" s="89"/>
      <c r="HJ8" s="88" t="s">
        <v>433</v>
      </c>
    </row>
    <row r="9" spans="1:218" s="591" customFormat="1" ht="143.5" customHeight="1">
      <c r="A9" s="103" t="s">
        <v>348</v>
      </c>
      <c r="B9" s="102" t="s">
        <v>65</v>
      </c>
      <c r="C9" s="102" t="s">
        <v>66</v>
      </c>
      <c r="D9" s="136" t="s">
        <v>62</v>
      </c>
      <c r="E9" s="136" t="s">
        <v>148</v>
      </c>
      <c r="F9" s="134" t="s">
        <v>148</v>
      </c>
      <c r="G9" s="136" t="s">
        <v>62</v>
      </c>
      <c r="H9" s="136" t="s">
        <v>148</v>
      </c>
      <c r="I9" s="134" t="s">
        <v>148</v>
      </c>
      <c r="J9" s="136" t="s">
        <v>62</v>
      </c>
      <c r="K9" s="136"/>
      <c r="L9" s="134" t="s">
        <v>148</v>
      </c>
      <c r="M9" s="136" t="s">
        <v>62</v>
      </c>
      <c r="N9" s="136" t="s">
        <v>148</v>
      </c>
      <c r="O9" s="134" t="s">
        <v>148</v>
      </c>
      <c r="P9" s="136" t="s">
        <v>62</v>
      </c>
      <c r="Q9" s="136"/>
      <c r="R9" s="134"/>
      <c r="S9" s="136" t="s">
        <v>62</v>
      </c>
      <c r="T9" s="136" t="s">
        <v>148</v>
      </c>
      <c r="U9" s="134" t="s">
        <v>148</v>
      </c>
      <c r="V9" s="136" t="s">
        <v>62</v>
      </c>
      <c r="W9" s="136" t="s">
        <v>148</v>
      </c>
      <c r="X9" s="134" t="s">
        <v>148</v>
      </c>
      <c r="Y9" s="136" t="s">
        <v>62</v>
      </c>
      <c r="Z9" s="136" t="s">
        <v>148</v>
      </c>
      <c r="AA9" s="134" t="s">
        <v>448</v>
      </c>
      <c r="AB9" s="136" t="s">
        <v>62</v>
      </c>
      <c r="AC9" s="136" t="s">
        <v>148</v>
      </c>
      <c r="AD9" s="134" t="s">
        <v>148</v>
      </c>
      <c r="AE9" s="161" t="s">
        <v>62</v>
      </c>
      <c r="AF9" s="161" t="s">
        <v>354</v>
      </c>
      <c r="AG9" s="137"/>
      <c r="AH9" s="136" t="s">
        <v>62</v>
      </c>
      <c r="AI9" s="136" t="s">
        <v>148</v>
      </c>
      <c r="AJ9" s="134" t="s">
        <v>148</v>
      </c>
      <c r="AK9" s="136" t="s">
        <v>62</v>
      </c>
      <c r="AL9" s="136" t="s">
        <v>148</v>
      </c>
      <c r="AM9" s="134" t="s">
        <v>148</v>
      </c>
      <c r="AN9" s="136" t="s">
        <v>62</v>
      </c>
      <c r="AO9" s="136" t="s">
        <v>148</v>
      </c>
      <c r="AP9" s="134" t="s">
        <v>148</v>
      </c>
      <c r="AQ9" s="136" t="s">
        <v>62</v>
      </c>
      <c r="AR9" s="136" t="s">
        <v>148</v>
      </c>
      <c r="AS9" s="134" t="s">
        <v>148</v>
      </c>
      <c r="AT9" s="136" t="s">
        <v>62</v>
      </c>
      <c r="AU9" s="136" t="s">
        <v>148</v>
      </c>
      <c r="AV9" s="134" t="s">
        <v>148</v>
      </c>
      <c r="AW9" s="136" t="s">
        <v>62</v>
      </c>
      <c r="AX9" s="136" t="s">
        <v>148</v>
      </c>
      <c r="AY9" s="134" t="s">
        <v>148</v>
      </c>
      <c r="AZ9" s="136" t="s">
        <v>62</v>
      </c>
      <c r="BA9" s="136" t="s">
        <v>148</v>
      </c>
      <c r="BB9" s="134" t="s">
        <v>148</v>
      </c>
      <c r="BC9" s="133">
        <v>15</v>
      </c>
      <c r="BD9" s="133">
        <v>15</v>
      </c>
      <c r="BE9" s="105">
        <f>IF(ISERROR(BD9/BC9),"",BD9/BC9)</f>
        <v>1</v>
      </c>
      <c r="BF9" s="134" t="s">
        <v>148</v>
      </c>
      <c r="BG9" s="147">
        <v>0</v>
      </c>
      <c r="BH9" s="134" t="s">
        <v>148</v>
      </c>
      <c r="BI9" s="133">
        <v>10</v>
      </c>
      <c r="BJ9" s="133">
        <v>7</v>
      </c>
      <c r="BK9" s="105">
        <f>IF(ISERROR(BJ9/BI9),"",BJ9/BI9)</f>
        <v>0.7</v>
      </c>
      <c r="BL9" s="134" t="s">
        <v>488</v>
      </c>
      <c r="BM9" s="147">
        <v>0</v>
      </c>
      <c r="BN9" s="134" t="s">
        <v>148</v>
      </c>
      <c r="BO9" s="133">
        <v>9</v>
      </c>
      <c r="BP9" s="133">
        <v>9</v>
      </c>
      <c r="BQ9" s="105">
        <f>IF(ISERROR(BP9/BO9),"",BP9/BO9)</f>
        <v>1</v>
      </c>
      <c r="BR9" s="134" t="s">
        <v>148</v>
      </c>
      <c r="BS9" s="147">
        <v>0</v>
      </c>
      <c r="BT9" s="134" t="s">
        <v>517</v>
      </c>
      <c r="BU9" s="133">
        <v>0</v>
      </c>
      <c r="BV9" s="133">
        <v>0</v>
      </c>
      <c r="BW9" s="105" t="str">
        <f>IF(ISERROR(BV9/BU9),"",BV9/BU9)</f>
        <v/>
      </c>
      <c r="BX9" s="134" t="s">
        <v>148</v>
      </c>
      <c r="BY9" s="147">
        <v>0</v>
      </c>
      <c r="BZ9" s="134" t="s">
        <v>148</v>
      </c>
      <c r="CA9" s="133">
        <v>1</v>
      </c>
      <c r="CB9" s="133">
        <v>1</v>
      </c>
      <c r="CC9" s="105">
        <f>IF(ISERROR(CB9/CA9),"",CB9/CA9)</f>
        <v>1</v>
      </c>
      <c r="CD9" s="134" t="s">
        <v>148</v>
      </c>
      <c r="CE9" s="147">
        <v>0</v>
      </c>
      <c r="CF9" s="134" t="s">
        <v>148</v>
      </c>
      <c r="CG9" s="133">
        <v>1</v>
      </c>
      <c r="CH9" s="133">
        <v>1</v>
      </c>
      <c r="CI9" s="105">
        <f>IF(ISERROR(CH9/CG9),"",CH9/CG9)</f>
        <v>1</v>
      </c>
      <c r="CJ9" s="134" t="s">
        <v>148</v>
      </c>
      <c r="CK9" s="147">
        <v>0</v>
      </c>
      <c r="CL9" s="134" t="s">
        <v>148</v>
      </c>
      <c r="CM9" s="133">
        <v>1</v>
      </c>
      <c r="CN9" s="133">
        <v>1</v>
      </c>
      <c r="CO9" s="105">
        <f>IF(ISERROR(CN9/CM9),"",CN9/CM9)</f>
        <v>1</v>
      </c>
      <c r="CP9" s="134" t="s">
        <v>148</v>
      </c>
      <c r="CQ9" s="147">
        <v>0</v>
      </c>
      <c r="CR9" s="134" t="s">
        <v>148</v>
      </c>
      <c r="CS9" s="133">
        <v>1</v>
      </c>
      <c r="CT9" s="133">
        <v>1</v>
      </c>
      <c r="CU9" s="105">
        <f>IF(ISERROR(CT9/CS9),"",CT9/CS9)</f>
        <v>1</v>
      </c>
      <c r="CV9" s="134" t="s">
        <v>148</v>
      </c>
      <c r="CW9" s="147">
        <v>0</v>
      </c>
      <c r="CX9" s="134" t="s">
        <v>148</v>
      </c>
      <c r="CY9" s="133">
        <v>1</v>
      </c>
      <c r="CZ9" s="133">
        <v>1</v>
      </c>
      <c r="DA9" s="105">
        <f>IF(ISERROR(CZ9/CY9),"",CZ9/CY9)</f>
        <v>1</v>
      </c>
      <c r="DB9" s="134" t="s">
        <v>148</v>
      </c>
      <c r="DC9" s="147">
        <v>0</v>
      </c>
      <c r="DD9" s="134" t="s">
        <v>148</v>
      </c>
      <c r="DE9" s="133">
        <v>1</v>
      </c>
      <c r="DF9" s="133">
        <v>1</v>
      </c>
      <c r="DG9" s="105">
        <f>IF(ISERROR(DF9/DE9),"",DF9/DE9)</f>
        <v>1</v>
      </c>
      <c r="DH9" s="134" t="s">
        <v>148</v>
      </c>
      <c r="DI9" s="147">
        <v>0</v>
      </c>
      <c r="DJ9" s="134" t="s">
        <v>148</v>
      </c>
      <c r="DK9" s="133">
        <v>32</v>
      </c>
      <c r="DL9" s="133">
        <v>25</v>
      </c>
      <c r="DM9" s="105">
        <f>IF(ISERROR(DL9/DK9),"",DL9/DK9)</f>
        <v>0.78125</v>
      </c>
      <c r="DN9" s="134" t="s">
        <v>434</v>
      </c>
      <c r="DO9" s="147">
        <v>0</v>
      </c>
      <c r="DP9" s="134" t="s">
        <v>148</v>
      </c>
      <c r="DQ9" s="133">
        <v>100</v>
      </c>
      <c r="DR9" s="133">
        <v>100</v>
      </c>
      <c r="DS9" s="105">
        <f>IF(ISERROR(DR9/DQ9),"",DR9/DQ9)</f>
        <v>1</v>
      </c>
      <c r="DT9" s="134" t="s">
        <v>148</v>
      </c>
      <c r="DU9" s="147">
        <v>0</v>
      </c>
      <c r="DV9" s="134" t="s">
        <v>148</v>
      </c>
      <c r="DW9" s="133">
        <v>21</v>
      </c>
      <c r="DX9" s="133">
        <v>15</v>
      </c>
      <c r="DY9" s="105">
        <f>IF(ISERROR(DX9/DW9),"",DX9/DW9)</f>
        <v>0.7142857142857143</v>
      </c>
      <c r="DZ9" s="134" t="s">
        <v>435</v>
      </c>
      <c r="EA9" s="147">
        <v>0</v>
      </c>
      <c r="EB9" s="134" t="s">
        <v>148</v>
      </c>
      <c r="EC9" s="133">
        <v>5</v>
      </c>
      <c r="ED9" s="133">
        <v>0</v>
      </c>
      <c r="EE9" s="105">
        <f>IF(ISERROR(ED9/EC9),"",ED9/EC9)</f>
        <v>0</v>
      </c>
      <c r="EF9" s="134" t="s">
        <v>279</v>
      </c>
      <c r="EG9" s="147">
        <v>4</v>
      </c>
      <c r="EH9" s="134" t="s">
        <v>280</v>
      </c>
      <c r="EI9" s="133">
        <v>12</v>
      </c>
      <c r="EJ9" s="133">
        <v>0</v>
      </c>
      <c r="EK9" s="105">
        <f>IF(ISERROR(EJ9/EI9),"",EJ9/EI9)</f>
        <v>0</v>
      </c>
      <c r="EL9" s="134" t="s">
        <v>281</v>
      </c>
      <c r="EM9" s="147">
        <v>12</v>
      </c>
      <c r="EN9" s="134" t="s">
        <v>281</v>
      </c>
      <c r="EO9" s="133">
        <v>13</v>
      </c>
      <c r="EP9" s="133">
        <v>7</v>
      </c>
      <c r="EQ9" s="105">
        <f>IF(ISERROR(EP9/EO9),"",EP9/EO9)</f>
        <v>0.53846153846153844</v>
      </c>
      <c r="ER9" s="134" t="s">
        <v>282</v>
      </c>
      <c r="ES9" s="147">
        <v>4</v>
      </c>
      <c r="ET9" s="134" t="s">
        <v>282</v>
      </c>
      <c r="EU9" s="133">
        <v>37</v>
      </c>
      <c r="EV9" s="133">
        <v>37</v>
      </c>
      <c r="EW9" s="105">
        <f>IF(ISERROR(EV9/EU9),"",EV9/EU9)</f>
        <v>1</v>
      </c>
      <c r="EX9" s="134" t="s">
        <v>148</v>
      </c>
      <c r="EY9" s="147">
        <v>0</v>
      </c>
      <c r="EZ9" s="134" t="s">
        <v>148</v>
      </c>
      <c r="FA9" s="133">
        <v>7</v>
      </c>
      <c r="FB9" s="133">
        <v>7</v>
      </c>
      <c r="FC9" s="105">
        <f>IF(ISERROR(FB9/FA9),"",FB9/FA9)</f>
        <v>1</v>
      </c>
      <c r="FD9" s="134" t="s">
        <v>148</v>
      </c>
      <c r="FE9" s="147">
        <v>0</v>
      </c>
      <c r="FF9" s="134" t="s">
        <v>148</v>
      </c>
      <c r="FG9" s="133">
        <v>1</v>
      </c>
      <c r="FH9" s="133">
        <v>1</v>
      </c>
      <c r="FI9" s="105">
        <f>IF(ISERROR(FH9/FG9),"",FH9/FG9)</f>
        <v>1</v>
      </c>
      <c r="FJ9" s="134" t="s">
        <v>148</v>
      </c>
      <c r="FK9" s="147">
        <v>0</v>
      </c>
      <c r="FL9" s="134" t="s">
        <v>148</v>
      </c>
      <c r="FM9" s="133">
        <v>1</v>
      </c>
      <c r="FN9" s="133">
        <v>1</v>
      </c>
      <c r="FO9" s="105">
        <f>IF(ISERROR(FN9/FM9),"",FN9/FM9)</f>
        <v>1</v>
      </c>
      <c r="FP9" s="134" t="s">
        <v>148</v>
      </c>
      <c r="FQ9" s="147">
        <v>0</v>
      </c>
      <c r="FR9" s="134" t="s">
        <v>148</v>
      </c>
      <c r="FS9" s="133">
        <v>0</v>
      </c>
      <c r="FT9" s="133">
        <v>0</v>
      </c>
      <c r="FU9" s="105" t="str">
        <f>IF(ISERROR(FT9/FS9),"",FT9/FS9)</f>
        <v/>
      </c>
      <c r="FV9" s="134" t="s">
        <v>148</v>
      </c>
      <c r="FW9" s="147">
        <v>0</v>
      </c>
      <c r="FX9" s="134" t="s">
        <v>148</v>
      </c>
      <c r="FY9" s="133">
        <v>14</v>
      </c>
      <c r="FZ9" s="133">
        <v>14</v>
      </c>
      <c r="GA9" s="105">
        <f>IF(ISERROR(FZ9/FY9),"",FZ9/FY9)</f>
        <v>1</v>
      </c>
      <c r="GB9" s="134" t="s">
        <v>148</v>
      </c>
      <c r="GC9" s="147">
        <v>0</v>
      </c>
      <c r="GD9" s="134" t="s">
        <v>148</v>
      </c>
      <c r="GE9" s="133">
        <v>120</v>
      </c>
      <c r="GF9" s="133">
        <v>108</v>
      </c>
      <c r="GG9" s="105">
        <f>IF(ISERROR(GF9/GE9),"",GF9/GE9)</f>
        <v>0.9</v>
      </c>
      <c r="GH9" s="134" t="s">
        <v>283</v>
      </c>
      <c r="GI9" s="147">
        <v>0</v>
      </c>
      <c r="GJ9" s="134" t="s">
        <v>148</v>
      </c>
      <c r="GK9" s="134" t="s">
        <v>169</v>
      </c>
      <c r="GL9" s="134"/>
      <c r="GM9" s="134" t="s">
        <v>64</v>
      </c>
      <c r="GN9" s="136" t="s">
        <v>148</v>
      </c>
      <c r="GO9" s="136" t="s">
        <v>277</v>
      </c>
      <c r="GP9" s="134" t="s">
        <v>63</v>
      </c>
      <c r="GQ9" s="134" t="s">
        <v>64</v>
      </c>
      <c r="GR9" s="158" t="s">
        <v>62</v>
      </c>
      <c r="GS9" s="158" t="s">
        <v>62</v>
      </c>
      <c r="GT9" s="158" t="s">
        <v>62</v>
      </c>
      <c r="GU9" s="158" t="s">
        <v>148</v>
      </c>
      <c r="GV9" s="134" t="s">
        <v>148</v>
      </c>
      <c r="GW9" s="158" t="s">
        <v>62</v>
      </c>
      <c r="GX9" s="158"/>
      <c r="GY9" s="158" t="s">
        <v>148</v>
      </c>
      <c r="GZ9" s="158" t="s">
        <v>148</v>
      </c>
      <c r="HA9" s="158" t="s">
        <v>148</v>
      </c>
      <c r="HB9" s="158" t="s">
        <v>148</v>
      </c>
      <c r="HC9" s="128" t="s">
        <v>354</v>
      </c>
      <c r="HD9" s="127"/>
      <c r="HE9" s="169" t="s">
        <v>62</v>
      </c>
      <c r="HF9" s="169" t="s">
        <v>164</v>
      </c>
      <c r="HG9" s="169" t="s">
        <v>164</v>
      </c>
      <c r="HH9" s="169" t="s">
        <v>62</v>
      </c>
      <c r="HI9" s="169" t="s">
        <v>164</v>
      </c>
      <c r="HJ9" s="169"/>
    </row>
    <row r="10" spans="1:218" s="591" customFormat="1" ht="180" customHeight="1">
      <c r="A10" s="103" t="s">
        <v>466</v>
      </c>
      <c r="B10" s="102" t="s">
        <v>146</v>
      </c>
      <c r="C10" s="102" t="s">
        <v>147</v>
      </c>
      <c r="D10" s="136" t="s">
        <v>62</v>
      </c>
      <c r="E10" s="136" t="s">
        <v>148</v>
      </c>
      <c r="F10" s="134" t="s">
        <v>148</v>
      </c>
      <c r="G10" s="136" t="s">
        <v>62</v>
      </c>
      <c r="H10" s="136" t="s">
        <v>148</v>
      </c>
      <c r="I10" s="134" t="s">
        <v>148</v>
      </c>
      <c r="J10" s="136" t="s">
        <v>62</v>
      </c>
      <c r="K10" s="136" t="s">
        <v>148</v>
      </c>
      <c r="L10" s="134" t="s">
        <v>148</v>
      </c>
      <c r="M10" s="136" t="s">
        <v>62</v>
      </c>
      <c r="N10" s="136" t="s">
        <v>148</v>
      </c>
      <c r="O10" s="134" t="s">
        <v>148</v>
      </c>
      <c r="P10" s="136" t="s">
        <v>62</v>
      </c>
      <c r="Q10" s="136" t="s">
        <v>148</v>
      </c>
      <c r="R10" s="134" t="s">
        <v>148</v>
      </c>
      <c r="S10" s="136" t="s">
        <v>62</v>
      </c>
      <c r="T10" s="136" t="s">
        <v>148</v>
      </c>
      <c r="U10" s="134" t="s">
        <v>148</v>
      </c>
      <c r="V10" s="136" t="s">
        <v>62</v>
      </c>
      <c r="W10" s="136" t="s">
        <v>148</v>
      </c>
      <c r="X10" s="134" t="s">
        <v>148</v>
      </c>
      <c r="Y10" s="136" t="s">
        <v>62</v>
      </c>
      <c r="Z10" s="136" t="s">
        <v>148</v>
      </c>
      <c r="AA10" s="134" t="s">
        <v>148</v>
      </c>
      <c r="AB10" s="136" t="s">
        <v>62</v>
      </c>
      <c r="AC10" s="136" t="s">
        <v>148</v>
      </c>
      <c r="AD10" s="134" t="s">
        <v>148</v>
      </c>
      <c r="AE10" s="161" t="s">
        <v>354</v>
      </c>
      <c r="AF10" s="161" t="s">
        <v>62</v>
      </c>
      <c r="AG10" s="150" t="s">
        <v>436</v>
      </c>
      <c r="AH10" s="136" t="s">
        <v>62</v>
      </c>
      <c r="AI10" s="136" t="s">
        <v>148</v>
      </c>
      <c r="AJ10" s="134" t="s">
        <v>148</v>
      </c>
      <c r="AK10" s="136" t="s">
        <v>62</v>
      </c>
      <c r="AL10" s="136" t="s">
        <v>148</v>
      </c>
      <c r="AM10" s="134" t="s">
        <v>148</v>
      </c>
      <c r="AN10" s="136" t="s">
        <v>62</v>
      </c>
      <c r="AO10" s="136" t="s">
        <v>148</v>
      </c>
      <c r="AP10" s="134" t="s">
        <v>148</v>
      </c>
      <c r="AQ10" s="136" t="s">
        <v>62</v>
      </c>
      <c r="AR10" s="136" t="s">
        <v>148</v>
      </c>
      <c r="AS10" s="134" t="s">
        <v>148</v>
      </c>
      <c r="AT10" s="136" t="s">
        <v>62</v>
      </c>
      <c r="AU10" s="136" t="s">
        <v>148</v>
      </c>
      <c r="AV10" s="134" t="s">
        <v>148</v>
      </c>
      <c r="AW10" s="136" t="s">
        <v>62</v>
      </c>
      <c r="AX10" s="136" t="s">
        <v>148</v>
      </c>
      <c r="AY10" s="134" t="s">
        <v>148</v>
      </c>
      <c r="AZ10" s="136" t="s">
        <v>62</v>
      </c>
      <c r="BA10" s="136" t="s">
        <v>148</v>
      </c>
      <c r="BB10" s="134" t="s">
        <v>148</v>
      </c>
      <c r="BC10" s="133">
        <v>7</v>
      </c>
      <c r="BD10" s="133">
        <v>7</v>
      </c>
      <c r="BE10" s="105">
        <v>1</v>
      </c>
      <c r="BF10" s="134" t="s">
        <v>148</v>
      </c>
      <c r="BG10" s="147">
        <v>0</v>
      </c>
      <c r="BH10" s="134" t="s">
        <v>148</v>
      </c>
      <c r="BI10" s="133">
        <v>57</v>
      </c>
      <c r="BJ10" s="133">
        <v>57</v>
      </c>
      <c r="BK10" s="105">
        <v>1</v>
      </c>
      <c r="BL10" s="134" t="s">
        <v>148</v>
      </c>
      <c r="BM10" s="147">
        <v>0</v>
      </c>
      <c r="BN10" s="134" t="s">
        <v>148</v>
      </c>
      <c r="BO10" s="133">
        <v>5</v>
      </c>
      <c r="BP10" s="133">
        <v>5</v>
      </c>
      <c r="BQ10" s="105">
        <v>1</v>
      </c>
      <c r="BR10" s="134" t="s">
        <v>148</v>
      </c>
      <c r="BS10" s="147">
        <v>0</v>
      </c>
      <c r="BT10" s="134" t="s">
        <v>148</v>
      </c>
      <c r="BU10" s="133">
        <v>0</v>
      </c>
      <c r="BV10" s="133">
        <v>0</v>
      </c>
      <c r="BW10" s="105" t="s">
        <v>354</v>
      </c>
      <c r="BX10" s="134" t="s">
        <v>148</v>
      </c>
      <c r="BY10" s="147">
        <v>0</v>
      </c>
      <c r="BZ10" s="134" t="s">
        <v>148</v>
      </c>
      <c r="CA10" s="133">
        <v>0</v>
      </c>
      <c r="CB10" s="133">
        <v>0</v>
      </c>
      <c r="CC10" s="105" t="s">
        <v>354</v>
      </c>
      <c r="CD10" s="134" t="s">
        <v>148</v>
      </c>
      <c r="CE10" s="147">
        <v>0</v>
      </c>
      <c r="CF10" s="134" t="s">
        <v>148</v>
      </c>
      <c r="CG10" s="133">
        <v>0</v>
      </c>
      <c r="CH10" s="133">
        <v>0</v>
      </c>
      <c r="CI10" s="105" t="s">
        <v>354</v>
      </c>
      <c r="CJ10" s="134" t="s">
        <v>148</v>
      </c>
      <c r="CK10" s="147">
        <v>0</v>
      </c>
      <c r="CL10" s="134" t="s">
        <v>148</v>
      </c>
      <c r="CM10" s="133">
        <v>3</v>
      </c>
      <c r="CN10" s="133">
        <v>3</v>
      </c>
      <c r="CO10" s="105">
        <v>1</v>
      </c>
      <c r="CP10" s="134" t="s">
        <v>148</v>
      </c>
      <c r="CQ10" s="147">
        <v>0</v>
      </c>
      <c r="CR10" s="134" t="s">
        <v>148</v>
      </c>
      <c r="CS10" s="133">
        <v>1</v>
      </c>
      <c r="CT10" s="133">
        <v>1</v>
      </c>
      <c r="CU10" s="105">
        <v>1</v>
      </c>
      <c r="CV10" s="134" t="s">
        <v>148</v>
      </c>
      <c r="CW10" s="147">
        <v>0</v>
      </c>
      <c r="CX10" s="134" t="s">
        <v>148</v>
      </c>
      <c r="CY10" s="133">
        <v>2</v>
      </c>
      <c r="CZ10" s="133">
        <v>2</v>
      </c>
      <c r="DA10" s="105">
        <v>1</v>
      </c>
      <c r="DB10" s="134" t="s">
        <v>148</v>
      </c>
      <c r="DC10" s="147">
        <v>0</v>
      </c>
      <c r="DD10" s="134" t="s">
        <v>148</v>
      </c>
      <c r="DE10" s="133">
        <v>0</v>
      </c>
      <c r="DF10" s="133">
        <v>0</v>
      </c>
      <c r="DG10" s="105" t="s">
        <v>354</v>
      </c>
      <c r="DH10" s="134" t="s">
        <v>148</v>
      </c>
      <c r="DI10" s="147">
        <v>0</v>
      </c>
      <c r="DJ10" s="134" t="s">
        <v>148</v>
      </c>
      <c r="DK10" s="133">
        <v>0</v>
      </c>
      <c r="DL10" s="133">
        <v>0</v>
      </c>
      <c r="DM10" s="105" t="s">
        <v>354</v>
      </c>
      <c r="DN10" s="134" t="s">
        <v>148</v>
      </c>
      <c r="DO10" s="147">
        <v>0</v>
      </c>
      <c r="DP10" s="134" t="s">
        <v>148</v>
      </c>
      <c r="DQ10" s="133">
        <v>73</v>
      </c>
      <c r="DR10" s="133">
        <v>73</v>
      </c>
      <c r="DS10" s="105">
        <v>1</v>
      </c>
      <c r="DT10" s="134" t="s">
        <v>148</v>
      </c>
      <c r="DU10" s="147">
        <v>0</v>
      </c>
      <c r="DV10" s="134" t="s">
        <v>148</v>
      </c>
      <c r="DW10" s="133">
        <v>6</v>
      </c>
      <c r="DX10" s="133">
        <v>4</v>
      </c>
      <c r="DY10" s="105">
        <v>0.66666666666666663</v>
      </c>
      <c r="DZ10" s="134" t="s">
        <v>285</v>
      </c>
      <c r="EA10" s="147">
        <v>0</v>
      </c>
      <c r="EB10" s="134" t="s">
        <v>148</v>
      </c>
      <c r="EC10" s="133">
        <v>4</v>
      </c>
      <c r="ED10" s="133">
        <v>1</v>
      </c>
      <c r="EE10" s="105">
        <v>0.25</v>
      </c>
      <c r="EF10" s="134" t="s">
        <v>285</v>
      </c>
      <c r="EG10" s="147">
        <v>0</v>
      </c>
      <c r="EH10" s="134" t="s">
        <v>148</v>
      </c>
      <c r="EI10" s="133">
        <v>8</v>
      </c>
      <c r="EJ10" s="133">
        <v>3</v>
      </c>
      <c r="EK10" s="105">
        <v>0.375</v>
      </c>
      <c r="EL10" s="134" t="s">
        <v>286</v>
      </c>
      <c r="EM10" s="147">
        <v>4</v>
      </c>
      <c r="EN10" s="134" t="s">
        <v>287</v>
      </c>
      <c r="EO10" s="133">
        <v>8</v>
      </c>
      <c r="EP10" s="133">
        <v>6</v>
      </c>
      <c r="EQ10" s="105">
        <v>0.75</v>
      </c>
      <c r="ER10" s="134" t="s">
        <v>437</v>
      </c>
      <c r="ES10" s="147">
        <v>2</v>
      </c>
      <c r="ET10" s="134" t="s">
        <v>438</v>
      </c>
      <c r="EU10" s="133">
        <v>60</v>
      </c>
      <c r="EV10" s="133">
        <v>60</v>
      </c>
      <c r="EW10" s="105">
        <v>1</v>
      </c>
      <c r="EX10" s="134" t="s">
        <v>148</v>
      </c>
      <c r="EY10" s="147">
        <v>0</v>
      </c>
      <c r="EZ10" s="134" t="s">
        <v>148</v>
      </c>
      <c r="FA10" s="133">
        <v>8</v>
      </c>
      <c r="FB10" s="133">
        <v>8</v>
      </c>
      <c r="FC10" s="105">
        <v>1</v>
      </c>
      <c r="FD10" s="134" t="s">
        <v>148</v>
      </c>
      <c r="FE10" s="147">
        <v>0</v>
      </c>
      <c r="FF10" s="134" t="s">
        <v>148</v>
      </c>
      <c r="FG10" s="133">
        <v>1</v>
      </c>
      <c r="FH10" s="133">
        <v>1</v>
      </c>
      <c r="FI10" s="105">
        <v>1</v>
      </c>
      <c r="FJ10" s="134" t="s">
        <v>148</v>
      </c>
      <c r="FK10" s="147">
        <v>0</v>
      </c>
      <c r="FL10" s="134" t="s">
        <v>148</v>
      </c>
      <c r="FM10" s="133">
        <v>0</v>
      </c>
      <c r="FN10" s="133">
        <v>0</v>
      </c>
      <c r="FO10" s="105" t="s">
        <v>354</v>
      </c>
      <c r="FP10" s="134" t="s">
        <v>148</v>
      </c>
      <c r="FQ10" s="147">
        <v>0</v>
      </c>
      <c r="FR10" s="134" t="s">
        <v>148</v>
      </c>
      <c r="FS10" s="133">
        <v>0</v>
      </c>
      <c r="FT10" s="133">
        <v>0</v>
      </c>
      <c r="FU10" s="105" t="s">
        <v>354</v>
      </c>
      <c r="FV10" s="134" t="s">
        <v>148</v>
      </c>
      <c r="FW10" s="147">
        <v>0</v>
      </c>
      <c r="FX10" s="134" t="s">
        <v>148</v>
      </c>
      <c r="FY10" s="133">
        <v>48</v>
      </c>
      <c r="FZ10" s="133">
        <v>36</v>
      </c>
      <c r="GA10" s="105">
        <v>0.75</v>
      </c>
      <c r="GB10" s="155" t="s">
        <v>288</v>
      </c>
      <c r="GC10" s="147">
        <v>12</v>
      </c>
      <c r="GD10" s="155" t="s">
        <v>149</v>
      </c>
      <c r="GE10" s="133">
        <v>99</v>
      </c>
      <c r="GF10" s="133">
        <v>99</v>
      </c>
      <c r="GG10" s="105">
        <v>1</v>
      </c>
      <c r="GH10" s="134" t="s">
        <v>148</v>
      </c>
      <c r="GI10" s="147">
        <v>0</v>
      </c>
      <c r="GJ10" s="134" t="s">
        <v>148</v>
      </c>
      <c r="GK10" s="134" t="s">
        <v>169</v>
      </c>
      <c r="GL10" s="134"/>
      <c r="GM10" s="134" t="s">
        <v>64</v>
      </c>
      <c r="GN10" s="136" t="s">
        <v>148</v>
      </c>
      <c r="GO10" s="136" t="s">
        <v>277</v>
      </c>
      <c r="GP10" s="134" t="s">
        <v>63</v>
      </c>
      <c r="GQ10" s="134" t="s">
        <v>150</v>
      </c>
      <c r="GR10" s="158" t="s">
        <v>62</v>
      </c>
      <c r="GS10" s="158" t="s">
        <v>62</v>
      </c>
      <c r="GT10" s="158" t="s">
        <v>62</v>
      </c>
      <c r="GU10" s="158" t="s">
        <v>148</v>
      </c>
      <c r="GV10" s="134" t="s">
        <v>148</v>
      </c>
      <c r="GW10" s="158" t="s">
        <v>62</v>
      </c>
      <c r="GX10" s="158" t="s">
        <v>148</v>
      </c>
      <c r="GY10" s="158" t="s">
        <v>62</v>
      </c>
      <c r="GZ10" s="158" t="s">
        <v>62</v>
      </c>
      <c r="HA10" s="158" t="s">
        <v>148</v>
      </c>
      <c r="HB10" s="158" t="s">
        <v>148</v>
      </c>
      <c r="HC10" s="128" t="s">
        <v>354</v>
      </c>
      <c r="HD10" s="127"/>
      <c r="HE10" s="169" t="s">
        <v>62</v>
      </c>
      <c r="HF10" s="169" t="s">
        <v>164</v>
      </c>
      <c r="HG10" s="169" t="s">
        <v>164</v>
      </c>
      <c r="HH10" s="169" t="s">
        <v>62</v>
      </c>
      <c r="HI10" s="169" t="s">
        <v>164</v>
      </c>
      <c r="HJ10" s="169"/>
    </row>
    <row r="11" spans="1:218" s="591" customFormat="1" ht="115.4" customHeight="1">
      <c r="A11" s="103" t="s">
        <v>355</v>
      </c>
      <c r="B11" s="102" t="s">
        <v>151</v>
      </c>
      <c r="C11" s="102" t="s">
        <v>152</v>
      </c>
      <c r="D11" s="136" t="s">
        <v>62</v>
      </c>
      <c r="E11" s="136" t="s">
        <v>148</v>
      </c>
      <c r="F11" s="134" t="s">
        <v>148</v>
      </c>
      <c r="G11" s="136" t="s">
        <v>62</v>
      </c>
      <c r="H11" s="136" t="s">
        <v>148</v>
      </c>
      <c r="I11" s="134" t="s">
        <v>148</v>
      </c>
      <c r="J11" s="136" t="s">
        <v>62</v>
      </c>
      <c r="K11" s="136" t="s">
        <v>148</v>
      </c>
      <c r="L11" s="134" t="s">
        <v>148</v>
      </c>
      <c r="M11" s="136" t="s">
        <v>62</v>
      </c>
      <c r="N11" s="136" t="s">
        <v>148</v>
      </c>
      <c r="O11" s="134" t="s">
        <v>148</v>
      </c>
      <c r="P11" s="136" t="s">
        <v>62</v>
      </c>
      <c r="Q11" s="136" t="s">
        <v>148</v>
      </c>
      <c r="R11" s="134" t="s">
        <v>148</v>
      </c>
      <c r="S11" s="136" t="s">
        <v>62</v>
      </c>
      <c r="T11" s="136" t="s">
        <v>148</v>
      </c>
      <c r="U11" s="134" t="s">
        <v>148</v>
      </c>
      <c r="V11" s="136" t="s">
        <v>62</v>
      </c>
      <c r="W11" s="136" t="s">
        <v>148</v>
      </c>
      <c r="X11" s="134" t="s">
        <v>148</v>
      </c>
      <c r="Y11" s="136" t="s">
        <v>62</v>
      </c>
      <c r="Z11" s="136" t="s">
        <v>148</v>
      </c>
      <c r="AA11" s="134" t="s">
        <v>148</v>
      </c>
      <c r="AB11" s="136" t="s">
        <v>62</v>
      </c>
      <c r="AC11" s="136" t="s">
        <v>148</v>
      </c>
      <c r="AD11" s="134" t="s">
        <v>148</v>
      </c>
      <c r="AE11" s="161" t="s">
        <v>62</v>
      </c>
      <c r="AF11" s="161" t="s">
        <v>354</v>
      </c>
      <c r="AG11" s="137"/>
      <c r="AH11" s="136" t="s">
        <v>62</v>
      </c>
      <c r="AI11" s="136" t="s">
        <v>148</v>
      </c>
      <c r="AJ11" s="134" t="s">
        <v>148</v>
      </c>
      <c r="AK11" s="136" t="s">
        <v>62</v>
      </c>
      <c r="AL11" s="136" t="s">
        <v>148</v>
      </c>
      <c r="AM11" s="134" t="s">
        <v>148</v>
      </c>
      <c r="AN11" s="136" t="s">
        <v>62</v>
      </c>
      <c r="AO11" s="136" t="s">
        <v>148</v>
      </c>
      <c r="AP11" s="134" t="s">
        <v>148</v>
      </c>
      <c r="AQ11" s="136" t="s">
        <v>62</v>
      </c>
      <c r="AR11" s="136" t="s">
        <v>148</v>
      </c>
      <c r="AS11" s="134" t="s">
        <v>148</v>
      </c>
      <c r="AT11" s="136" t="s">
        <v>62</v>
      </c>
      <c r="AU11" s="136" t="s">
        <v>148</v>
      </c>
      <c r="AV11" s="134" t="s">
        <v>148</v>
      </c>
      <c r="AW11" s="136" t="s">
        <v>62</v>
      </c>
      <c r="AX11" s="136" t="s">
        <v>148</v>
      </c>
      <c r="AY11" s="134" t="s">
        <v>148</v>
      </c>
      <c r="AZ11" s="136" t="s">
        <v>62</v>
      </c>
      <c r="BA11" s="136" t="s">
        <v>148</v>
      </c>
      <c r="BB11" s="134" t="s">
        <v>148</v>
      </c>
      <c r="BC11" s="133">
        <v>6</v>
      </c>
      <c r="BD11" s="133">
        <v>6</v>
      </c>
      <c r="BE11" s="105">
        <f t="shared" ref="BE11:BE13" si="0">IF(ISERROR(BD11/BC11),"",BD11/BC11)</f>
        <v>1</v>
      </c>
      <c r="BF11" s="134" t="s">
        <v>148</v>
      </c>
      <c r="BG11" s="147">
        <v>0</v>
      </c>
      <c r="BH11" s="134" t="s">
        <v>148</v>
      </c>
      <c r="BI11" s="133">
        <v>2</v>
      </c>
      <c r="BJ11" s="133">
        <v>2</v>
      </c>
      <c r="BK11" s="105">
        <f t="shared" ref="BK11:BK13" si="1">IF(ISERROR(BJ11/BI11),"",BJ11/BI11)</f>
        <v>1</v>
      </c>
      <c r="BL11" s="134" t="s">
        <v>148</v>
      </c>
      <c r="BM11" s="147">
        <v>0</v>
      </c>
      <c r="BN11" s="134" t="s">
        <v>148</v>
      </c>
      <c r="BO11" s="133">
        <v>3</v>
      </c>
      <c r="BP11" s="133">
        <v>3</v>
      </c>
      <c r="BQ11" s="105">
        <f t="shared" ref="BQ11:BQ13" si="2">IF(ISERROR(BP11/BO11),"",BP11/BO11)</f>
        <v>1</v>
      </c>
      <c r="BR11" s="134" t="s">
        <v>148</v>
      </c>
      <c r="BS11" s="147">
        <v>0</v>
      </c>
      <c r="BT11" s="134" t="s">
        <v>148</v>
      </c>
      <c r="BU11" s="133">
        <v>0</v>
      </c>
      <c r="BV11" s="133">
        <v>0</v>
      </c>
      <c r="BW11" s="105" t="str">
        <f>IF(ISERROR(BV11/BU11),"",BV11/BU11)</f>
        <v/>
      </c>
      <c r="BX11" s="134" t="s">
        <v>148</v>
      </c>
      <c r="BY11" s="147">
        <v>0</v>
      </c>
      <c r="BZ11" s="134" t="s">
        <v>148</v>
      </c>
      <c r="CA11" s="133">
        <v>1</v>
      </c>
      <c r="CB11" s="133">
        <v>1</v>
      </c>
      <c r="CC11" s="105">
        <f t="shared" ref="CC11:CC13" si="3">IF(ISERROR(CB11/CA11),"",CB11/CA11)</f>
        <v>1</v>
      </c>
      <c r="CD11" s="134" t="s">
        <v>148</v>
      </c>
      <c r="CE11" s="147">
        <v>0</v>
      </c>
      <c r="CF11" s="134" t="s">
        <v>148</v>
      </c>
      <c r="CG11" s="133">
        <v>1</v>
      </c>
      <c r="CH11" s="133">
        <v>1</v>
      </c>
      <c r="CI11" s="105">
        <f t="shared" ref="CI11:CI13" si="4">IF(ISERROR(CH11/CG11),"",CH11/CG11)</f>
        <v>1</v>
      </c>
      <c r="CJ11" s="134" t="s">
        <v>148</v>
      </c>
      <c r="CK11" s="147">
        <v>0</v>
      </c>
      <c r="CL11" s="134" t="s">
        <v>148</v>
      </c>
      <c r="CM11" s="133">
        <v>2</v>
      </c>
      <c r="CN11" s="133">
        <v>1</v>
      </c>
      <c r="CO11" s="105">
        <f t="shared" ref="CO11:CO13" si="5">IF(ISERROR(CN11/CM11),"",CN11/CM11)</f>
        <v>0.5</v>
      </c>
      <c r="CP11" s="134" t="s">
        <v>472</v>
      </c>
      <c r="CQ11" s="147">
        <v>0</v>
      </c>
      <c r="CR11" s="134" t="s">
        <v>148</v>
      </c>
      <c r="CS11" s="133">
        <v>3</v>
      </c>
      <c r="CT11" s="133">
        <v>2</v>
      </c>
      <c r="CU11" s="105">
        <f>IF(ISERROR(CT11/CS11),"",CT11/CS11)</f>
        <v>0.66666666666666663</v>
      </c>
      <c r="CV11" s="134" t="s">
        <v>356</v>
      </c>
      <c r="CW11" s="147">
        <v>1</v>
      </c>
      <c r="CX11" s="134" t="s">
        <v>357</v>
      </c>
      <c r="CY11" s="133">
        <v>1</v>
      </c>
      <c r="CZ11" s="133">
        <v>0</v>
      </c>
      <c r="DA11" s="105">
        <f t="shared" ref="DA11:DA13" si="6">IF(ISERROR(CZ11/CY11),"",CZ11/CY11)</f>
        <v>0</v>
      </c>
      <c r="DB11" s="134" t="s">
        <v>439</v>
      </c>
      <c r="DC11" s="147">
        <v>1</v>
      </c>
      <c r="DD11" s="134" t="s">
        <v>440</v>
      </c>
      <c r="DE11" s="133">
        <v>0</v>
      </c>
      <c r="DF11" s="133">
        <v>0</v>
      </c>
      <c r="DG11" s="105" t="str">
        <f t="shared" ref="DG11:DG13" si="7">IF(ISERROR(DF11/DE11),"",DF11/DE11)</f>
        <v/>
      </c>
      <c r="DH11" s="134" t="s">
        <v>148</v>
      </c>
      <c r="DI11" s="147">
        <v>0</v>
      </c>
      <c r="DJ11" s="134" t="s">
        <v>148</v>
      </c>
      <c r="DK11" s="133">
        <v>10</v>
      </c>
      <c r="DL11" s="133">
        <v>10</v>
      </c>
      <c r="DM11" s="105">
        <f t="shared" ref="DM11:DM13" si="8">IF(ISERROR(DL11/DK11),"",DL11/DK11)</f>
        <v>1</v>
      </c>
      <c r="DN11" s="134" t="s">
        <v>148</v>
      </c>
      <c r="DO11" s="147">
        <v>0</v>
      </c>
      <c r="DP11" s="134" t="s">
        <v>148</v>
      </c>
      <c r="DQ11" s="133">
        <v>36</v>
      </c>
      <c r="DR11" s="133">
        <v>0</v>
      </c>
      <c r="DS11" s="105">
        <f t="shared" ref="DS11:DS13" si="9">IF(ISERROR(DR11/DQ11),"",DR11/DQ11)</f>
        <v>0</v>
      </c>
      <c r="DT11" s="134" t="s">
        <v>289</v>
      </c>
      <c r="DU11" s="147">
        <v>0</v>
      </c>
      <c r="DV11" s="134" t="s">
        <v>148</v>
      </c>
      <c r="DW11" s="153">
        <v>5</v>
      </c>
      <c r="DX11" s="153">
        <v>3</v>
      </c>
      <c r="DY11" s="105">
        <f t="shared" ref="DY11:DY13" si="10">IF(ISERROR(DX11/DW11),"",DX11/DW11)</f>
        <v>0.6</v>
      </c>
      <c r="DZ11" s="134" t="s">
        <v>290</v>
      </c>
      <c r="EA11" s="147">
        <v>0</v>
      </c>
      <c r="EB11" s="134" t="s">
        <v>148</v>
      </c>
      <c r="EC11" s="133">
        <v>10</v>
      </c>
      <c r="ED11" s="133">
        <v>1</v>
      </c>
      <c r="EE11" s="105">
        <f t="shared" ref="EE11:EE13" si="11">IF(ISERROR(ED11/EC11),"",ED11/EC11)</f>
        <v>0.1</v>
      </c>
      <c r="EF11" s="134" t="s">
        <v>473</v>
      </c>
      <c r="EG11" s="147">
        <v>5</v>
      </c>
      <c r="EH11" s="134" t="s">
        <v>291</v>
      </c>
      <c r="EI11" s="133">
        <v>22</v>
      </c>
      <c r="EJ11" s="133">
        <v>1</v>
      </c>
      <c r="EK11" s="105">
        <f t="shared" ref="EK11:EK13" si="12">IF(ISERROR(EJ11/EI11),"",EJ11/EI11)</f>
        <v>4.5454545454545456E-2</v>
      </c>
      <c r="EL11" s="134" t="s">
        <v>441</v>
      </c>
      <c r="EM11" s="147">
        <v>10</v>
      </c>
      <c r="EN11" s="134" t="s">
        <v>292</v>
      </c>
      <c r="EO11" s="133">
        <v>10</v>
      </c>
      <c r="EP11" s="133">
        <v>1</v>
      </c>
      <c r="EQ11" s="105">
        <f t="shared" ref="EQ11:EQ13" si="13">IF(ISERROR(EP11/EO11),"",EP11/EO11)</f>
        <v>0.1</v>
      </c>
      <c r="ER11" s="134" t="s">
        <v>474</v>
      </c>
      <c r="ES11" s="147">
        <v>9</v>
      </c>
      <c r="ET11" s="134" t="s">
        <v>474</v>
      </c>
      <c r="EU11" s="133">
        <v>81</v>
      </c>
      <c r="EV11" s="133">
        <v>21</v>
      </c>
      <c r="EW11" s="105">
        <f t="shared" ref="EW11:EW13" si="14">IF(ISERROR(EV11/EU11),"",EV11/EU11)</f>
        <v>0.25925925925925924</v>
      </c>
      <c r="EX11" s="134" t="s">
        <v>475</v>
      </c>
      <c r="EY11" s="147">
        <v>60</v>
      </c>
      <c r="EZ11" s="134" t="s">
        <v>476</v>
      </c>
      <c r="FA11" s="133">
        <v>10</v>
      </c>
      <c r="FB11" s="133">
        <v>10</v>
      </c>
      <c r="FC11" s="105">
        <f t="shared" ref="FC11:FC13" si="15">IF(ISERROR(FB11/FA11),"",FB11/FA11)</f>
        <v>1</v>
      </c>
      <c r="FD11" s="134" t="s">
        <v>148</v>
      </c>
      <c r="FE11" s="147">
        <v>0</v>
      </c>
      <c r="FF11" s="134" t="s">
        <v>148</v>
      </c>
      <c r="FG11" s="133">
        <v>2</v>
      </c>
      <c r="FH11" s="133">
        <v>0</v>
      </c>
      <c r="FI11" s="105">
        <f t="shared" ref="FI11:FI13" si="16">IF(ISERROR(FH11/FG11),"",FH11/FG11)</f>
        <v>0</v>
      </c>
      <c r="FJ11" s="134" t="s">
        <v>153</v>
      </c>
      <c r="FK11" s="147">
        <v>2</v>
      </c>
      <c r="FL11" s="134" t="s">
        <v>293</v>
      </c>
      <c r="FM11" s="133">
        <v>0</v>
      </c>
      <c r="FN11" s="133">
        <v>0</v>
      </c>
      <c r="FO11" s="105" t="str">
        <f t="shared" ref="FO11:FO13" si="17">IF(ISERROR(FN11/FM11),"",FN11/FM11)</f>
        <v/>
      </c>
      <c r="FP11" s="134" t="s">
        <v>148</v>
      </c>
      <c r="FQ11" s="147">
        <v>0</v>
      </c>
      <c r="FR11" s="134" t="s">
        <v>148</v>
      </c>
      <c r="FS11" s="133">
        <v>1</v>
      </c>
      <c r="FT11" s="133">
        <v>1</v>
      </c>
      <c r="FU11" s="105">
        <f t="shared" ref="FU11:FU13" si="18">IF(ISERROR(FT11/FS11),"",FT11/FS11)</f>
        <v>1</v>
      </c>
      <c r="FV11" s="134" t="s">
        <v>148</v>
      </c>
      <c r="FW11" s="147">
        <v>0</v>
      </c>
      <c r="FX11" s="134" t="s">
        <v>148</v>
      </c>
      <c r="FY11" s="133">
        <v>57</v>
      </c>
      <c r="FZ11" s="133">
        <v>48</v>
      </c>
      <c r="GA11" s="105">
        <f t="shared" ref="GA11:GA13" si="19">IF(ISERROR(FZ11/FY11),"",FZ11/FY11)</f>
        <v>0.84210526315789469</v>
      </c>
      <c r="GB11" s="134" t="s">
        <v>477</v>
      </c>
      <c r="GC11" s="147">
        <v>8</v>
      </c>
      <c r="GD11" s="134" t="s">
        <v>294</v>
      </c>
      <c r="GE11" s="133">
        <v>92</v>
      </c>
      <c r="GF11" s="133">
        <v>92</v>
      </c>
      <c r="GG11" s="105">
        <f t="shared" ref="GG11:GG13" si="20">IF(ISERROR(GF11/GE11),"",GF11/GE11)</f>
        <v>1</v>
      </c>
      <c r="GH11" s="134" t="s">
        <v>148</v>
      </c>
      <c r="GI11" s="147">
        <v>0</v>
      </c>
      <c r="GJ11" s="134" t="s">
        <v>148</v>
      </c>
      <c r="GK11" s="134" t="s">
        <v>154</v>
      </c>
      <c r="GL11" s="134" t="s">
        <v>164</v>
      </c>
      <c r="GM11" s="134" t="s">
        <v>64</v>
      </c>
      <c r="GN11" s="136" t="s">
        <v>148</v>
      </c>
      <c r="GO11" s="136" t="s">
        <v>277</v>
      </c>
      <c r="GP11" s="134" t="s">
        <v>63</v>
      </c>
      <c r="GQ11" s="134" t="s">
        <v>64</v>
      </c>
      <c r="GR11" s="158" t="s">
        <v>62</v>
      </c>
      <c r="GS11" s="158" t="s">
        <v>62</v>
      </c>
      <c r="GT11" s="158" t="s">
        <v>62</v>
      </c>
      <c r="GU11" s="158" t="s">
        <v>62</v>
      </c>
      <c r="GV11" s="134" t="s">
        <v>148</v>
      </c>
      <c r="GW11" s="158" t="s">
        <v>62</v>
      </c>
      <c r="GX11" s="158" t="s">
        <v>148</v>
      </c>
      <c r="GY11" s="158" t="s">
        <v>62</v>
      </c>
      <c r="GZ11" s="158" t="s">
        <v>148</v>
      </c>
      <c r="HA11" s="158" t="s">
        <v>62</v>
      </c>
      <c r="HB11" s="158" t="s">
        <v>62</v>
      </c>
      <c r="HC11" s="128" t="s">
        <v>354</v>
      </c>
      <c r="HD11" s="127"/>
      <c r="HE11" s="169" t="s">
        <v>62</v>
      </c>
      <c r="HF11" s="169" t="s">
        <v>164</v>
      </c>
      <c r="HG11" s="169" t="s">
        <v>164</v>
      </c>
      <c r="HH11" s="169" t="s">
        <v>62</v>
      </c>
      <c r="HI11" s="169" t="s">
        <v>164</v>
      </c>
      <c r="HJ11" s="169"/>
    </row>
    <row r="12" spans="1:218" s="591" customFormat="1" ht="123" customHeight="1">
      <c r="A12" s="103" t="s">
        <v>358</v>
      </c>
      <c r="B12" s="102" t="s">
        <v>155</v>
      </c>
      <c r="C12" s="102" t="s">
        <v>156</v>
      </c>
      <c r="D12" s="136" t="s">
        <v>62</v>
      </c>
      <c r="E12" s="136" t="s">
        <v>148</v>
      </c>
      <c r="F12" s="134" t="s">
        <v>514</v>
      </c>
      <c r="G12" s="136" t="s">
        <v>62</v>
      </c>
      <c r="H12" s="136" t="s">
        <v>148</v>
      </c>
      <c r="I12" s="134" t="s">
        <v>148</v>
      </c>
      <c r="J12" s="136" t="s">
        <v>62</v>
      </c>
      <c r="K12" s="136" t="s">
        <v>148</v>
      </c>
      <c r="L12" s="134" t="s">
        <v>148</v>
      </c>
      <c r="M12" s="136" t="s">
        <v>62</v>
      </c>
      <c r="N12" s="136" t="s">
        <v>148</v>
      </c>
      <c r="O12" s="134" t="s">
        <v>148</v>
      </c>
      <c r="P12" s="136" t="s">
        <v>62</v>
      </c>
      <c r="Q12" s="136" t="s">
        <v>148</v>
      </c>
      <c r="R12" s="134" t="s">
        <v>148</v>
      </c>
      <c r="S12" s="136" t="s">
        <v>62</v>
      </c>
      <c r="T12" s="136" t="s">
        <v>148</v>
      </c>
      <c r="U12" s="134" t="s">
        <v>148</v>
      </c>
      <c r="V12" s="136" t="s">
        <v>62</v>
      </c>
      <c r="W12" s="136" t="s">
        <v>148</v>
      </c>
      <c r="X12" s="134" t="s">
        <v>148</v>
      </c>
      <c r="Y12" s="136" t="s">
        <v>62</v>
      </c>
      <c r="Z12" s="136" t="s">
        <v>148</v>
      </c>
      <c r="AA12" s="134" t="s">
        <v>148</v>
      </c>
      <c r="AB12" s="136" t="s">
        <v>62</v>
      </c>
      <c r="AC12" s="136" t="s">
        <v>148</v>
      </c>
      <c r="AD12" s="134" t="s">
        <v>148</v>
      </c>
      <c r="AE12" s="161" t="s">
        <v>354</v>
      </c>
      <c r="AF12" s="161" t="s">
        <v>62</v>
      </c>
      <c r="AG12" s="137" t="s">
        <v>157</v>
      </c>
      <c r="AH12" s="136" t="s">
        <v>62</v>
      </c>
      <c r="AI12" s="136" t="s">
        <v>148</v>
      </c>
      <c r="AJ12" s="134" t="s">
        <v>148</v>
      </c>
      <c r="AK12" s="136" t="s">
        <v>62</v>
      </c>
      <c r="AL12" s="136" t="s">
        <v>148</v>
      </c>
      <c r="AM12" s="134" t="s">
        <v>148</v>
      </c>
      <c r="AN12" s="136" t="s">
        <v>277</v>
      </c>
      <c r="AO12" s="136" t="s">
        <v>148</v>
      </c>
      <c r="AP12" s="134" t="s">
        <v>148</v>
      </c>
      <c r="AQ12" s="136" t="s">
        <v>277</v>
      </c>
      <c r="AR12" s="136" t="s">
        <v>148</v>
      </c>
      <c r="AS12" s="134" t="s">
        <v>148</v>
      </c>
      <c r="AT12" s="136" t="s">
        <v>62</v>
      </c>
      <c r="AU12" s="136" t="s">
        <v>148</v>
      </c>
      <c r="AV12" s="134" t="s">
        <v>148</v>
      </c>
      <c r="AW12" s="136" t="s">
        <v>62</v>
      </c>
      <c r="AX12" s="136" t="s">
        <v>148</v>
      </c>
      <c r="AY12" s="134" t="s">
        <v>148</v>
      </c>
      <c r="AZ12" s="136" t="s">
        <v>62</v>
      </c>
      <c r="BA12" s="136" t="s">
        <v>148</v>
      </c>
      <c r="BB12" s="134" t="s">
        <v>148</v>
      </c>
      <c r="BC12" s="133">
        <v>21</v>
      </c>
      <c r="BD12" s="133">
        <v>21</v>
      </c>
      <c r="BE12" s="105">
        <f t="shared" si="0"/>
        <v>1</v>
      </c>
      <c r="BF12" s="134" t="s">
        <v>148</v>
      </c>
      <c r="BG12" s="147">
        <v>0</v>
      </c>
      <c r="BH12" s="134" t="s">
        <v>148</v>
      </c>
      <c r="BI12" s="133">
        <v>27</v>
      </c>
      <c r="BJ12" s="133">
        <v>27</v>
      </c>
      <c r="BK12" s="105">
        <f t="shared" si="1"/>
        <v>1</v>
      </c>
      <c r="BL12" s="134" t="s">
        <v>148</v>
      </c>
      <c r="BM12" s="147">
        <v>0</v>
      </c>
      <c r="BN12" s="134" t="s">
        <v>148</v>
      </c>
      <c r="BO12" s="133">
        <v>10</v>
      </c>
      <c r="BP12" s="133">
        <v>10</v>
      </c>
      <c r="BQ12" s="105">
        <f t="shared" si="2"/>
        <v>1</v>
      </c>
      <c r="BR12" s="134" t="s">
        <v>148</v>
      </c>
      <c r="BS12" s="147">
        <v>0</v>
      </c>
      <c r="BT12" s="134" t="s">
        <v>148</v>
      </c>
      <c r="BU12" s="133">
        <v>0</v>
      </c>
      <c r="BV12" s="133">
        <v>0</v>
      </c>
      <c r="BW12" s="105" t="str">
        <f t="shared" ref="BW12:BW13" si="21">IF(ISERROR(BV12/BU12),"",BV12/BU12)</f>
        <v/>
      </c>
      <c r="BX12" s="134" t="s">
        <v>148</v>
      </c>
      <c r="BY12" s="147">
        <v>0</v>
      </c>
      <c r="BZ12" s="134" t="s">
        <v>148</v>
      </c>
      <c r="CA12" s="133">
        <v>0</v>
      </c>
      <c r="CB12" s="133">
        <v>0</v>
      </c>
      <c r="CC12" s="105" t="str">
        <f t="shared" si="3"/>
        <v/>
      </c>
      <c r="CD12" s="134" t="s">
        <v>148</v>
      </c>
      <c r="CE12" s="147">
        <v>0</v>
      </c>
      <c r="CF12" s="134" t="s">
        <v>148</v>
      </c>
      <c r="CG12" s="133">
        <v>1</v>
      </c>
      <c r="CH12" s="133">
        <v>0</v>
      </c>
      <c r="CI12" s="105">
        <f t="shared" si="4"/>
        <v>0</v>
      </c>
      <c r="CJ12" s="134" t="s">
        <v>359</v>
      </c>
      <c r="CK12" s="147">
        <v>0</v>
      </c>
      <c r="CL12" s="134"/>
      <c r="CM12" s="133">
        <v>0</v>
      </c>
      <c r="CN12" s="133">
        <v>0</v>
      </c>
      <c r="CO12" s="105" t="str">
        <f t="shared" si="5"/>
        <v/>
      </c>
      <c r="CP12" s="134" t="s">
        <v>148</v>
      </c>
      <c r="CQ12" s="147">
        <v>0</v>
      </c>
      <c r="CR12" s="134" t="s">
        <v>148</v>
      </c>
      <c r="CS12" s="133">
        <v>0</v>
      </c>
      <c r="CT12" s="133">
        <v>0</v>
      </c>
      <c r="CU12" s="105" t="str">
        <f t="shared" ref="CU12:CU13" si="22">IF(ISERROR(CT12/CS12),"",CT12/CS12)</f>
        <v/>
      </c>
      <c r="CV12" s="134" t="s">
        <v>148</v>
      </c>
      <c r="CW12" s="147">
        <v>0</v>
      </c>
      <c r="CX12" s="134" t="s">
        <v>148</v>
      </c>
      <c r="CY12" s="133">
        <v>0</v>
      </c>
      <c r="CZ12" s="133">
        <v>0</v>
      </c>
      <c r="DA12" s="105" t="str">
        <f t="shared" si="6"/>
        <v/>
      </c>
      <c r="DB12" s="134" t="s">
        <v>148</v>
      </c>
      <c r="DC12" s="147">
        <v>0</v>
      </c>
      <c r="DD12" s="134" t="s">
        <v>148</v>
      </c>
      <c r="DE12" s="133">
        <v>0</v>
      </c>
      <c r="DF12" s="133">
        <v>0</v>
      </c>
      <c r="DG12" s="105" t="str">
        <f t="shared" si="7"/>
        <v/>
      </c>
      <c r="DH12" s="134" t="s">
        <v>148</v>
      </c>
      <c r="DI12" s="147">
        <v>0</v>
      </c>
      <c r="DJ12" s="134" t="s">
        <v>148</v>
      </c>
      <c r="DK12" s="133">
        <v>9</v>
      </c>
      <c r="DL12" s="133">
        <v>2</v>
      </c>
      <c r="DM12" s="105">
        <f t="shared" si="8"/>
        <v>0.22222222222222221</v>
      </c>
      <c r="DN12" s="134" t="s">
        <v>442</v>
      </c>
      <c r="DO12" s="147">
        <v>1</v>
      </c>
      <c r="DP12" s="134" t="s">
        <v>158</v>
      </c>
      <c r="DQ12" s="133">
        <v>44</v>
      </c>
      <c r="DR12" s="133">
        <v>0</v>
      </c>
      <c r="DS12" s="105">
        <f t="shared" si="9"/>
        <v>0</v>
      </c>
      <c r="DT12" s="134" t="s">
        <v>490</v>
      </c>
      <c r="DU12" s="147">
        <v>0</v>
      </c>
      <c r="DV12" s="134" t="s">
        <v>148</v>
      </c>
      <c r="DW12" s="133">
        <v>1</v>
      </c>
      <c r="DX12" s="133">
        <v>1</v>
      </c>
      <c r="DY12" s="105">
        <f t="shared" si="10"/>
        <v>1</v>
      </c>
      <c r="DZ12" s="134" t="s">
        <v>148</v>
      </c>
      <c r="EA12" s="147">
        <v>0</v>
      </c>
      <c r="EB12" s="134" t="s">
        <v>148</v>
      </c>
      <c r="EC12" s="133">
        <v>3</v>
      </c>
      <c r="ED12" s="133">
        <v>2</v>
      </c>
      <c r="EE12" s="105">
        <f t="shared" si="11"/>
        <v>0.66666666666666663</v>
      </c>
      <c r="EF12" s="134" t="s">
        <v>360</v>
      </c>
      <c r="EG12" s="147">
        <v>1</v>
      </c>
      <c r="EH12" s="134" t="s">
        <v>360</v>
      </c>
      <c r="EI12" s="133">
        <v>7</v>
      </c>
      <c r="EJ12" s="133">
        <v>0</v>
      </c>
      <c r="EK12" s="105">
        <f t="shared" si="12"/>
        <v>0</v>
      </c>
      <c r="EL12" s="134" t="s">
        <v>295</v>
      </c>
      <c r="EM12" s="147">
        <v>7</v>
      </c>
      <c r="EN12" s="134" t="s">
        <v>159</v>
      </c>
      <c r="EO12" s="133">
        <v>9</v>
      </c>
      <c r="EP12" s="133">
        <v>7</v>
      </c>
      <c r="EQ12" s="105">
        <f t="shared" si="13"/>
        <v>0.77777777777777779</v>
      </c>
      <c r="ER12" s="134" t="s">
        <v>421</v>
      </c>
      <c r="ES12" s="147">
        <v>2</v>
      </c>
      <c r="ET12" s="134" t="s">
        <v>160</v>
      </c>
      <c r="EU12" s="133">
        <v>48</v>
      </c>
      <c r="EV12" s="133">
        <v>48</v>
      </c>
      <c r="EW12" s="105">
        <f t="shared" si="14"/>
        <v>1</v>
      </c>
      <c r="EX12" s="134" t="s">
        <v>148</v>
      </c>
      <c r="EY12" s="147">
        <v>0</v>
      </c>
      <c r="EZ12" s="134" t="s">
        <v>148</v>
      </c>
      <c r="FA12" s="133">
        <v>4</v>
      </c>
      <c r="FB12" s="133">
        <v>4</v>
      </c>
      <c r="FC12" s="105">
        <f t="shared" si="15"/>
        <v>1</v>
      </c>
      <c r="FD12" s="134" t="s">
        <v>148</v>
      </c>
      <c r="FE12" s="147">
        <v>0</v>
      </c>
      <c r="FF12" s="134" t="s">
        <v>148</v>
      </c>
      <c r="FG12" s="133">
        <v>1</v>
      </c>
      <c r="FH12" s="133">
        <v>1</v>
      </c>
      <c r="FI12" s="105">
        <f t="shared" si="16"/>
        <v>1</v>
      </c>
      <c r="FJ12" s="134"/>
      <c r="FK12" s="147">
        <v>0</v>
      </c>
      <c r="FL12" s="134" t="s">
        <v>148</v>
      </c>
      <c r="FM12" s="133">
        <v>0</v>
      </c>
      <c r="FN12" s="133">
        <v>0</v>
      </c>
      <c r="FO12" s="105" t="str">
        <f t="shared" si="17"/>
        <v/>
      </c>
      <c r="FP12" s="134" t="s">
        <v>148</v>
      </c>
      <c r="FQ12" s="147">
        <v>0</v>
      </c>
      <c r="FR12" s="134" t="s">
        <v>148</v>
      </c>
      <c r="FS12" s="133">
        <v>0</v>
      </c>
      <c r="FT12" s="133">
        <v>0</v>
      </c>
      <c r="FU12" s="105" t="str">
        <f t="shared" si="18"/>
        <v/>
      </c>
      <c r="FV12" s="134" t="s">
        <v>148</v>
      </c>
      <c r="FW12" s="147">
        <v>0</v>
      </c>
      <c r="FX12" s="134" t="s">
        <v>148</v>
      </c>
      <c r="FY12" s="133">
        <v>19</v>
      </c>
      <c r="FZ12" s="133">
        <v>19</v>
      </c>
      <c r="GA12" s="105">
        <f t="shared" si="19"/>
        <v>1</v>
      </c>
      <c r="GB12" s="134" t="s">
        <v>148</v>
      </c>
      <c r="GC12" s="147">
        <v>0</v>
      </c>
      <c r="GD12" s="134" t="s">
        <v>148</v>
      </c>
      <c r="GE12" s="133">
        <v>2</v>
      </c>
      <c r="GF12" s="133">
        <v>2</v>
      </c>
      <c r="GG12" s="105">
        <f t="shared" si="20"/>
        <v>1</v>
      </c>
      <c r="GH12" s="134" t="s">
        <v>148</v>
      </c>
      <c r="GI12" s="147">
        <v>0</v>
      </c>
      <c r="GJ12" s="134" t="s">
        <v>148</v>
      </c>
      <c r="GK12" s="134" t="s">
        <v>154</v>
      </c>
      <c r="GL12" s="134" t="s">
        <v>164</v>
      </c>
      <c r="GM12" s="134" t="s">
        <v>64</v>
      </c>
      <c r="GN12" s="136" t="s">
        <v>62</v>
      </c>
      <c r="GO12" s="136" t="s">
        <v>62</v>
      </c>
      <c r="GP12" s="134" t="s">
        <v>161</v>
      </c>
      <c r="GQ12" s="134" t="s">
        <v>150</v>
      </c>
      <c r="GR12" s="158" t="s">
        <v>148</v>
      </c>
      <c r="GS12" s="158" t="s">
        <v>148</v>
      </c>
      <c r="GT12" s="158" t="s">
        <v>148</v>
      </c>
      <c r="GU12" s="158" t="s">
        <v>148</v>
      </c>
      <c r="GV12" s="134" t="s">
        <v>443</v>
      </c>
      <c r="GW12" s="158" t="s">
        <v>148</v>
      </c>
      <c r="GX12" s="158" t="s">
        <v>148</v>
      </c>
      <c r="GY12" s="158" t="s">
        <v>148</v>
      </c>
      <c r="GZ12" s="158" t="s">
        <v>148</v>
      </c>
      <c r="HA12" s="158" t="s">
        <v>62</v>
      </c>
      <c r="HB12" s="158" t="s">
        <v>148</v>
      </c>
      <c r="HC12" s="128" t="s">
        <v>62</v>
      </c>
      <c r="HD12" s="127"/>
      <c r="HE12" s="169" t="s">
        <v>62</v>
      </c>
      <c r="HF12" s="169" t="s">
        <v>164</v>
      </c>
      <c r="HG12" s="169" t="s">
        <v>164</v>
      </c>
      <c r="HH12" s="169" t="s">
        <v>62</v>
      </c>
      <c r="HI12" s="169" t="s">
        <v>364</v>
      </c>
      <c r="HJ12" s="169"/>
    </row>
    <row r="13" spans="1:218" s="591" customFormat="1" ht="191" customHeight="1">
      <c r="A13" s="103" t="s">
        <v>361</v>
      </c>
      <c r="B13" s="102" t="s">
        <v>162</v>
      </c>
      <c r="C13" s="102" t="s">
        <v>163</v>
      </c>
      <c r="D13" s="136" t="s">
        <v>62</v>
      </c>
      <c r="E13" s="136" t="s">
        <v>148</v>
      </c>
      <c r="F13" s="134" t="s">
        <v>148</v>
      </c>
      <c r="G13" s="136" t="s">
        <v>62</v>
      </c>
      <c r="H13" s="136" t="s">
        <v>148</v>
      </c>
      <c r="I13" s="134" t="s">
        <v>148</v>
      </c>
      <c r="J13" s="136" t="s">
        <v>62</v>
      </c>
      <c r="K13" s="136"/>
      <c r="L13" s="134"/>
      <c r="M13" s="136" t="s">
        <v>62</v>
      </c>
      <c r="N13" s="136"/>
      <c r="O13" s="134"/>
      <c r="P13" s="136" t="s">
        <v>62</v>
      </c>
      <c r="Q13" s="136"/>
      <c r="R13" s="134"/>
      <c r="S13" s="136" t="s">
        <v>277</v>
      </c>
      <c r="T13" s="136" t="s">
        <v>62</v>
      </c>
      <c r="U13" s="134" t="s">
        <v>400</v>
      </c>
      <c r="V13" s="136" t="s">
        <v>62</v>
      </c>
      <c r="W13" s="136" t="s">
        <v>148</v>
      </c>
      <c r="X13" s="134" t="s">
        <v>148</v>
      </c>
      <c r="Y13" s="136" t="s">
        <v>62</v>
      </c>
      <c r="Z13" s="136" t="s">
        <v>148</v>
      </c>
      <c r="AA13" s="134" t="s">
        <v>148</v>
      </c>
      <c r="AB13" s="136" t="s">
        <v>62</v>
      </c>
      <c r="AC13" s="136" t="s">
        <v>148</v>
      </c>
      <c r="AD13" s="134" t="s">
        <v>148</v>
      </c>
      <c r="AE13" s="161" t="s">
        <v>354</v>
      </c>
      <c r="AF13" s="161" t="s">
        <v>62</v>
      </c>
      <c r="AG13" s="150" t="s">
        <v>165</v>
      </c>
      <c r="AH13" s="136" t="s">
        <v>62</v>
      </c>
      <c r="AI13" s="136" t="s">
        <v>148</v>
      </c>
      <c r="AJ13" s="134" t="s">
        <v>148</v>
      </c>
      <c r="AK13" s="136" t="s">
        <v>62</v>
      </c>
      <c r="AL13" s="136" t="s">
        <v>148</v>
      </c>
      <c r="AM13" s="134" t="s">
        <v>148</v>
      </c>
      <c r="AN13" s="136" t="s">
        <v>62</v>
      </c>
      <c r="AO13" s="136" t="s">
        <v>148</v>
      </c>
      <c r="AP13" s="134" t="s">
        <v>148</v>
      </c>
      <c r="AQ13" s="136" t="s">
        <v>62</v>
      </c>
      <c r="AR13" s="136" t="s">
        <v>148</v>
      </c>
      <c r="AS13" s="134" t="s">
        <v>148</v>
      </c>
      <c r="AT13" s="136" t="s">
        <v>62</v>
      </c>
      <c r="AU13" s="136" t="s">
        <v>148</v>
      </c>
      <c r="AV13" s="134" t="s">
        <v>148</v>
      </c>
      <c r="AW13" s="136" t="s">
        <v>62</v>
      </c>
      <c r="AX13" s="136" t="s">
        <v>148</v>
      </c>
      <c r="AY13" s="134" t="s">
        <v>148</v>
      </c>
      <c r="AZ13" s="136" t="s">
        <v>62</v>
      </c>
      <c r="BA13" s="136"/>
      <c r="BB13" s="134"/>
      <c r="BC13" s="133">
        <v>25</v>
      </c>
      <c r="BD13" s="133">
        <v>25</v>
      </c>
      <c r="BE13" s="105">
        <f t="shared" si="0"/>
        <v>1</v>
      </c>
      <c r="BF13" s="134" t="s">
        <v>148</v>
      </c>
      <c r="BG13" s="147"/>
      <c r="BH13" s="134"/>
      <c r="BI13" s="133">
        <v>64</v>
      </c>
      <c r="BJ13" s="133">
        <v>61</v>
      </c>
      <c r="BK13" s="105">
        <f t="shared" si="1"/>
        <v>0.953125</v>
      </c>
      <c r="BL13" s="134" t="s">
        <v>406</v>
      </c>
      <c r="BM13" s="147">
        <v>1</v>
      </c>
      <c r="BN13" s="134" t="s">
        <v>167</v>
      </c>
      <c r="BO13" s="133">
        <v>38</v>
      </c>
      <c r="BP13" s="133">
        <v>38</v>
      </c>
      <c r="BQ13" s="105">
        <f t="shared" si="2"/>
        <v>1</v>
      </c>
      <c r="BR13" s="134" t="s">
        <v>148</v>
      </c>
      <c r="BS13" s="147">
        <v>1</v>
      </c>
      <c r="BT13" s="134" t="s">
        <v>407</v>
      </c>
      <c r="BU13" s="133">
        <v>1</v>
      </c>
      <c r="BV13" s="133">
        <v>1</v>
      </c>
      <c r="BW13" s="105">
        <f t="shared" si="21"/>
        <v>1</v>
      </c>
      <c r="BX13" s="134" t="s">
        <v>148</v>
      </c>
      <c r="BY13" s="147">
        <v>0</v>
      </c>
      <c r="BZ13" s="134" t="s">
        <v>148</v>
      </c>
      <c r="CA13" s="133">
        <v>2</v>
      </c>
      <c r="CB13" s="133">
        <v>2</v>
      </c>
      <c r="CC13" s="105">
        <f t="shared" si="3"/>
        <v>1</v>
      </c>
      <c r="CD13" s="134" t="s">
        <v>148</v>
      </c>
      <c r="CE13" s="147">
        <v>0</v>
      </c>
      <c r="CF13" s="134" t="s">
        <v>148</v>
      </c>
      <c r="CG13" s="133">
        <v>0</v>
      </c>
      <c r="CH13" s="133">
        <v>0</v>
      </c>
      <c r="CI13" s="105" t="str">
        <f t="shared" si="4"/>
        <v/>
      </c>
      <c r="CJ13" s="134" t="s">
        <v>148</v>
      </c>
      <c r="CK13" s="147">
        <v>0</v>
      </c>
      <c r="CL13" s="134" t="s">
        <v>148</v>
      </c>
      <c r="CM13" s="133">
        <v>2</v>
      </c>
      <c r="CN13" s="133">
        <v>2</v>
      </c>
      <c r="CO13" s="105">
        <f t="shared" si="5"/>
        <v>1</v>
      </c>
      <c r="CP13" s="134" t="s">
        <v>148</v>
      </c>
      <c r="CQ13" s="147">
        <v>0</v>
      </c>
      <c r="CR13" s="134" t="s">
        <v>148</v>
      </c>
      <c r="CS13" s="133">
        <v>0</v>
      </c>
      <c r="CT13" s="133">
        <v>0</v>
      </c>
      <c r="CU13" s="105" t="str">
        <f t="shared" si="22"/>
        <v/>
      </c>
      <c r="CV13" s="134" t="s">
        <v>148</v>
      </c>
      <c r="CW13" s="147">
        <v>0</v>
      </c>
      <c r="CX13" s="134" t="s">
        <v>148</v>
      </c>
      <c r="CY13" s="133">
        <v>0</v>
      </c>
      <c r="CZ13" s="133">
        <v>0</v>
      </c>
      <c r="DA13" s="105" t="str">
        <f t="shared" si="6"/>
        <v/>
      </c>
      <c r="DB13" s="134" t="s">
        <v>148</v>
      </c>
      <c r="DC13" s="147">
        <v>0</v>
      </c>
      <c r="DD13" s="134" t="s">
        <v>148</v>
      </c>
      <c r="DE13" s="133">
        <v>0</v>
      </c>
      <c r="DF13" s="133">
        <v>0</v>
      </c>
      <c r="DG13" s="105" t="str">
        <f t="shared" si="7"/>
        <v/>
      </c>
      <c r="DH13" s="134" t="s">
        <v>148</v>
      </c>
      <c r="DI13" s="147">
        <v>0</v>
      </c>
      <c r="DJ13" s="134" t="s">
        <v>148</v>
      </c>
      <c r="DK13" s="133">
        <v>18</v>
      </c>
      <c r="DL13" s="133">
        <v>14</v>
      </c>
      <c r="DM13" s="105">
        <f t="shared" si="8"/>
        <v>0.77777777777777779</v>
      </c>
      <c r="DN13" s="134" t="s">
        <v>166</v>
      </c>
      <c r="DO13" s="147">
        <v>4</v>
      </c>
      <c r="DP13" s="134" t="s">
        <v>167</v>
      </c>
      <c r="DQ13" s="133">
        <v>281</v>
      </c>
      <c r="DR13" s="133">
        <v>281</v>
      </c>
      <c r="DS13" s="105">
        <f t="shared" si="9"/>
        <v>1</v>
      </c>
      <c r="DT13" s="134" t="s">
        <v>148</v>
      </c>
      <c r="DU13" s="147">
        <v>0</v>
      </c>
      <c r="DV13" s="134" t="s">
        <v>148</v>
      </c>
      <c r="DW13" s="133">
        <v>35</v>
      </c>
      <c r="DX13" s="133">
        <v>34</v>
      </c>
      <c r="DY13" s="105">
        <f t="shared" si="10"/>
        <v>0.97142857142857142</v>
      </c>
      <c r="DZ13" s="134" t="s">
        <v>168</v>
      </c>
      <c r="EA13" s="147">
        <v>0</v>
      </c>
      <c r="EB13" s="134" t="s">
        <v>148</v>
      </c>
      <c r="EC13" s="133">
        <v>11</v>
      </c>
      <c r="ED13" s="133">
        <v>2</v>
      </c>
      <c r="EE13" s="105">
        <f t="shared" si="11"/>
        <v>0.18181818181818182</v>
      </c>
      <c r="EF13" s="134" t="s">
        <v>411</v>
      </c>
      <c r="EG13" s="147">
        <v>9</v>
      </c>
      <c r="EH13" s="134" t="s">
        <v>412</v>
      </c>
      <c r="EI13" s="133">
        <v>18</v>
      </c>
      <c r="EJ13" s="133">
        <v>1</v>
      </c>
      <c r="EK13" s="105">
        <f t="shared" si="12"/>
        <v>5.5555555555555552E-2</v>
      </c>
      <c r="EL13" s="134" t="s">
        <v>296</v>
      </c>
      <c r="EM13" s="147">
        <v>17</v>
      </c>
      <c r="EN13" s="134" t="s">
        <v>297</v>
      </c>
      <c r="EO13" s="133">
        <v>12</v>
      </c>
      <c r="EP13" s="133">
        <v>12</v>
      </c>
      <c r="EQ13" s="105">
        <f t="shared" si="13"/>
        <v>1</v>
      </c>
      <c r="ER13" s="134" t="s">
        <v>148</v>
      </c>
      <c r="ES13" s="147">
        <v>0</v>
      </c>
      <c r="ET13" s="134" t="s">
        <v>148</v>
      </c>
      <c r="EU13" s="133">
        <v>132</v>
      </c>
      <c r="EV13" s="133">
        <v>132</v>
      </c>
      <c r="EW13" s="105">
        <f t="shared" si="14"/>
        <v>1</v>
      </c>
      <c r="EX13" s="134" t="s">
        <v>148</v>
      </c>
      <c r="EY13" s="147">
        <v>0</v>
      </c>
      <c r="EZ13" s="134" t="s">
        <v>148</v>
      </c>
      <c r="FA13" s="133">
        <v>3</v>
      </c>
      <c r="FB13" s="133">
        <v>3</v>
      </c>
      <c r="FC13" s="105">
        <f t="shared" si="15"/>
        <v>1</v>
      </c>
      <c r="FD13" s="134" t="s">
        <v>148</v>
      </c>
      <c r="FE13" s="147">
        <v>0</v>
      </c>
      <c r="FF13" s="134" t="s">
        <v>148</v>
      </c>
      <c r="FG13" s="133">
        <v>3</v>
      </c>
      <c r="FH13" s="133">
        <v>3</v>
      </c>
      <c r="FI13" s="105">
        <f t="shared" si="16"/>
        <v>1</v>
      </c>
      <c r="FJ13" s="134" t="s">
        <v>148</v>
      </c>
      <c r="FK13" s="147">
        <v>0</v>
      </c>
      <c r="FL13" s="134" t="s">
        <v>148</v>
      </c>
      <c r="FM13" s="133">
        <v>3</v>
      </c>
      <c r="FN13" s="133">
        <v>3</v>
      </c>
      <c r="FO13" s="105">
        <f t="shared" si="17"/>
        <v>1</v>
      </c>
      <c r="FP13" s="134" t="s">
        <v>148</v>
      </c>
      <c r="FQ13" s="147">
        <v>0</v>
      </c>
      <c r="FR13" s="134" t="s">
        <v>148</v>
      </c>
      <c r="FS13" s="133">
        <v>0</v>
      </c>
      <c r="FT13" s="133">
        <v>0</v>
      </c>
      <c r="FU13" s="105" t="str">
        <f t="shared" si="18"/>
        <v/>
      </c>
      <c r="FV13" s="134" t="s">
        <v>148</v>
      </c>
      <c r="FW13" s="147">
        <v>0</v>
      </c>
      <c r="FX13" s="134" t="s">
        <v>148</v>
      </c>
      <c r="FY13" s="133">
        <v>54</v>
      </c>
      <c r="FZ13" s="133">
        <v>50</v>
      </c>
      <c r="GA13" s="105">
        <f t="shared" si="19"/>
        <v>0.92592592592592593</v>
      </c>
      <c r="GB13" s="134" t="s">
        <v>444</v>
      </c>
      <c r="GC13" s="147">
        <v>4</v>
      </c>
      <c r="GD13" s="134" t="s">
        <v>445</v>
      </c>
      <c r="GE13" s="133">
        <v>0</v>
      </c>
      <c r="GF13" s="133">
        <v>0</v>
      </c>
      <c r="GG13" s="592" t="str">
        <f t="shared" si="20"/>
        <v/>
      </c>
      <c r="GH13" s="134" t="s">
        <v>148</v>
      </c>
      <c r="GI13" s="147">
        <v>0</v>
      </c>
      <c r="GJ13" s="134" t="s">
        <v>148</v>
      </c>
      <c r="GK13" s="134" t="s">
        <v>169</v>
      </c>
      <c r="GL13" s="134" t="s">
        <v>164</v>
      </c>
      <c r="GM13" s="134" t="s">
        <v>64</v>
      </c>
      <c r="GN13" s="136" t="s">
        <v>148</v>
      </c>
      <c r="GO13" s="136" t="s">
        <v>277</v>
      </c>
      <c r="GP13" s="134" t="s">
        <v>63</v>
      </c>
      <c r="GQ13" s="134" t="s">
        <v>64</v>
      </c>
      <c r="GR13" s="158" t="s">
        <v>62</v>
      </c>
      <c r="GS13" s="158" t="s">
        <v>62</v>
      </c>
      <c r="GT13" s="158" t="s">
        <v>62</v>
      </c>
      <c r="GU13" s="158" t="s">
        <v>62</v>
      </c>
      <c r="GV13" s="134" t="s">
        <v>148</v>
      </c>
      <c r="GW13" s="158" t="s">
        <v>62</v>
      </c>
      <c r="GX13" s="158" t="s">
        <v>62</v>
      </c>
      <c r="GY13" s="158" t="s">
        <v>62</v>
      </c>
      <c r="GZ13" s="158" t="s">
        <v>148</v>
      </c>
      <c r="HA13" s="158" t="s">
        <v>62</v>
      </c>
      <c r="HB13" s="158" t="s">
        <v>62</v>
      </c>
      <c r="HC13" s="128" t="s">
        <v>354</v>
      </c>
      <c r="HD13" s="127"/>
      <c r="HE13" s="169" t="s">
        <v>62</v>
      </c>
      <c r="HF13" s="169" t="s">
        <v>164</v>
      </c>
      <c r="HG13" s="169" t="s">
        <v>164</v>
      </c>
      <c r="HH13" s="169" t="s">
        <v>62</v>
      </c>
      <c r="HI13" s="169" t="s">
        <v>164</v>
      </c>
      <c r="HJ13" s="169"/>
    </row>
    <row r="14" spans="1:218" s="591" customFormat="1" ht="136" customHeight="1">
      <c r="A14" s="103" t="s">
        <v>274</v>
      </c>
      <c r="B14" s="102" t="s">
        <v>162</v>
      </c>
      <c r="C14" s="102" t="s">
        <v>170</v>
      </c>
      <c r="D14" s="136" t="s">
        <v>62</v>
      </c>
      <c r="E14" s="136" t="s">
        <v>148</v>
      </c>
      <c r="F14" s="134" t="s">
        <v>148</v>
      </c>
      <c r="G14" s="136" t="s">
        <v>62</v>
      </c>
      <c r="H14" s="136" t="s">
        <v>148</v>
      </c>
      <c r="I14" s="134" t="s">
        <v>148</v>
      </c>
      <c r="J14" s="136" t="s">
        <v>62</v>
      </c>
      <c r="K14" s="136" t="s">
        <v>148</v>
      </c>
      <c r="L14" s="134" t="s">
        <v>148</v>
      </c>
      <c r="M14" s="136" t="s">
        <v>62</v>
      </c>
      <c r="N14" s="136" t="s">
        <v>148</v>
      </c>
      <c r="O14" s="134" t="s">
        <v>148</v>
      </c>
      <c r="P14" s="136" t="s">
        <v>62</v>
      </c>
      <c r="Q14" s="136" t="s">
        <v>148</v>
      </c>
      <c r="R14" s="134" t="s">
        <v>148</v>
      </c>
      <c r="S14" s="136" t="s">
        <v>277</v>
      </c>
      <c r="T14" s="136" t="s">
        <v>148</v>
      </c>
      <c r="U14" s="134" t="s">
        <v>148</v>
      </c>
      <c r="V14" s="136" t="s">
        <v>62</v>
      </c>
      <c r="W14" s="136" t="s">
        <v>148</v>
      </c>
      <c r="X14" s="134" t="s">
        <v>148</v>
      </c>
      <c r="Y14" s="136" t="s">
        <v>62</v>
      </c>
      <c r="Z14" s="136" t="s">
        <v>148</v>
      </c>
      <c r="AA14" s="134" t="s">
        <v>148</v>
      </c>
      <c r="AB14" s="136" t="s">
        <v>62</v>
      </c>
      <c r="AC14" s="136" t="s">
        <v>148</v>
      </c>
      <c r="AD14" s="134" t="s">
        <v>148</v>
      </c>
      <c r="AE14" s="161" t="s">
        <v>62</v>
      </c>
      <c r="AF14" s="161" t="s">
        <v>354</v>
      </c>
      <c r="AG14" s="137"/>
      <c r="AH14" s="136" t="s">
        <v>62</v>
      </c>
      <c r="AI14" s="136" t="s">
        <v>148</v>
      </c>
      <c r="AJ14" s="134" t="s">
        <v>148</v>
      </c>
      <c r="AK14" s="136" t="s">
        <v>62</v>
      </c>
      <c r="AL14" s="136" t="s">
        <v>148</v>
      </c>
      <c r="AM14" s="134" t="s">
        <v>148</v>
      </c>
      <c r="AN14" s="136" t="s">
        <v>62</v>
      </c>
      <c r="AO14" s="136" t="s">
        <v>148</v>
      </c>
      <c r="AP14" s="134" t="s">
        <v>148</v>
      </c>
      <c r="AQ14" s="136" t="s">
        <v>62</v>
      </c>
      <c r="AR14" s="136" t="s">
        <v>148</v>
      </c>
      <c r="AS14" s="134" t="s">
        <v>148</v>
      </c>
      <c r="AT14" s="136" t="s">
        <v>62</v>
      </c>
      <c r="AU14" s="136" t="s">
        <v>148</v>
      </c>
      <c r="AV14" s="134" t="s">
        <v>148</v>
      </c>
      <c r="AW14" s="136" t="s">
        <v>62</v>
      </c>
      <c r="AX14" s="136" t="s">
        <v>148</v>
      </c>
      <c r="AY14" s="134" t="s">
        <v>148</v>
      </c>
      <c r="AZ14" s="136" t="s">
        <v>62</v>
      </c>
      <c r="BA14" s="136" t="s">
        <v>148</v>
      </c>
      <c r="BB14" s="134" t="s">
        <v>148</v>
      </c>
      <c r="BC14" s="133">
        <v>8</v>
      </c>
      <c r="BD14" s="133">
        <v>8</v>
      </c>
      <c r="BE14" s="105">
        <f t="shared" ref="BE14:BE22" si="23">IF(ISERROR(BD14/BC14),"",BD14/BC14)</f>
        <v>1</v>
      </c>
      <c r="BF14" s="134" t="s">
        <v>148</v>
      </c>
      <c r="BG14" s="147">
        <v>0</v>
      </c>
      <c r="BH14" s="134" t="s">
        <v>148</v>
      </c>
      <c r="BI14" s="133">
        <v>26</v>
      </c>
      <c r="BJ14" s="133">
        <v>6</v>
      </c>
      <c r="BK14" s="105">
        <f t="shared" ref="BK14:BK22" si="24">IF(ISERROR(BJ14/BI14),"",BJ14/BI14)</f>
        <v>0.23076923076923078</v>
      </c>
      <c r="BL14" s="134" t="s">
        <v>478</v>
      </c>
      <c r="BM14" s="147">
        <v>0</v>
      </c>
      <c r="BN14" s="134" t="s">
        <v>148</v>
      </c>
      <c r="BO14" s="133">
        <v>7</v>
      </c>
      <c r="BP14" s="133">
        <v>3</v>
      </c>
      <c r="BQ14" s="105">
        <f t="shared" ref="BQ14:BQ22" si="25">IF(ISERROR(BP14/BO14),"",BP14/BO14)</f>
        <v>0.42857142857142855</v>
      </c>
      <c r="BR14" s="134" t="s">
        <v>478</v>
      </c>
      <c r="BS14" s="147">
        <v>0</v>
      </c>
      <c r="BT14" s="134" t="s">
        <v>148</v>
      </c>
      <c r="BU14" s="133">
        <v>0</v>
      </c>
      <c r="BV14" s="133">
        <v>0</v>
      </c>
      <c r="BW14" s="105" t="str">
        <f t="shared" ref="BW14:BW22" si="26">IF(ISERROR(BV14/BU14),"",BV14/BU14)</f>
        <v/>
      </c>
      <c r="BX14" s="134" t="s">
        <v>148</v>
      </c>
      <c r="BY14" s="147">
        <v>0</v>
      </c>
      <c r="BZ14" s="134" t="s">
        <v>148</v>
      </c>
      <c r="CA14" s="133">
        <v>0</v>
      </c>
      <c r="CB14" s="133">
        <v>0</v>
      </c>
      <c r="CC14" s="105" t="str">
        <f t="shared" ref="CC14:CC22" si="27">IF(ISERROR(CB14/CA14),"",CB14/CA14)</f>
        <v/>
      </c>
      <c r="CD14" s="134" t="s">
        <v>148</v>
      </c>
      <c r="CE14" s="147">
        <v>0</v>
      </c>
      <c r="CF14" s="134" t="s">
        <v>148</v>
      </c>
      <c r="CG14" s="133">
        <v>0</v>
      </c>
      <c r="CH14" s="133">
        <v>0</v>
      </c>
      <c r="CI14" s="105" t="str">
        <f t="shared" ref="CI14:CI22" si="28">IF(ISERROR(CH14/CG14),"",CH14/CG14)</f>
        <v/>
      </c>
      <c r="CJ14" s="134" t="s">
        <v>148</v>
      </c>
      <c r="CK14" s="147">
        <v>0</v>
      </c>
      <c r="CL14" s="134" t="s">
        <v>148</v>
      </c>
      <c r="CM14" s="133">
        <v>1</v>
      </c>
      <c r="CN14" s="133">
        <v>1</v>
      </c>
      <c r="CO14" s="105">
        <f t="shared" ref="CO14:CO22" si="29">IF(ISERROR(CN14/CM14),"",CN14/CM14)</f>
        <v>1</v>
      </c>
      <c r="CP14" s="134" t="s">
        <v>148</v>
      </c>
      <c r="CQ14" s="147">
        <v>0</v>
      </c>
      <c r="CR14" s="134" t="s">
        <v>148</v>
      </c>
      <c r="CS14" s="133">
        <v>4</v>
      </c>
      <c r="CT14" s="133">
        <v>4</v>
      </c>
      <c r="CU14" s="105">
        <f t="shared" ref="CU14:CU22" si="30">IF(ISERROR(CT14/CS14),"",CT14/CS14)</f>
        <v>1</v>
      </c>
      <c r="CV14" s="134" t="s">
        <v>148</v>
      </c>
      <c r="CW14" s="147">
        <v>0</v>
      </c>
      <c r="CX14" s="134" t="s">
        <v>148</v>
      </c>
      <c r="CY14" s="133">
        <v>1</v>
      </c>
      <c r="CZ14" s="133">
        <v>1</v>
      </c>
      <c r="DA14" s="105">
        <f t="shared" ref="DA14:DA22" si="31">IF(ISERROR(CZ14/CY14),"",CZ14/CY14)</f>
        <v>1</v>
      </c>
      <c r="DB14" s="134" t="s">
        <v>148</v>
      </c>
      <c r="DC14" s="147">
        <v>0</v>
      </c>
      <c r="DD14" s="134" t="s">
        <v>148</v>
      </c>
      <c r="DE14" s="133">
        <v>0</v>
      </c>
      <c r="DF14" s="133">
        <v>0</v>
      </c>
      <c r="DG14" s="105" t="str">
        <f t="shared" ref="DG14:DG22" si="32">IF(ISERROR(DF14/DE14),"",DF14/DE14)</f>
        <v/>
      </c>
      <c r="DH14" s="134" t="s">
        <v>148</v>
      </c>
      <c r="DI14" s="147">
        <v>0</v>
      </c>
      <c r="DJ14" s="134" t="s">
        <v>148</v>
      </c>
      <c r="DK14" s="133">
        <v>4</v>
      </c>
      <c r="DL14" s="133">
        <v>2</v>
      </c>
      <c r="DM14" s="105">
        <f t="shared" ref="DM14:DM22" si="33">IF(ISERROR(DL14/DK14),"",DL14/DK14)</f>
        <v>0.5</v>
      </c>
      <c r="DN14" s="134" t="s">
        <v>479</v>
      </c>
      <c r="DO14" s="147">
        <v>0</v>
      </c>
      <c r="DP14" s="134"/>
      <c r="DQ14" s="133">
        <v>104</v>
      </c>
      <c r="DR14" s="133">
        <v>0</v>
      </c>
      <c r="DS14" s="105">
        <f t="shared" ref="DS14:DS22" si="34">IF(ISERROR(DR14/DQ14),"",DR14/DQ14)</f>
        <v>0</v>
      </c>
      <c r="DT14" s="134" t="s">
        <v>171</v>
      </c>
      <c r="DU14" s="147">
        <v>0</v>
      </c>
      <c r="DV14" s="134" t="s">
        <v>148</v>
      </c>
      <c r="DW14" s="133">
        <v>0</v>
      </c>
      <c r="DX14" s="133">
        <v>0</v>
      </c>
      <c r="DY14" s="105" t="str">
        <f t="shared" ref="DY14:DY22" si="35">IF(ISERROR(DX14/DW14),"",DX14/DW14)</f>
        <v/>
      </c>
      <c r="DZ14" s="134" t="s">
        <v>148</v>
      </c>
      <c r="EA14" s="147">
        <v>0</v>
      </c>
      <c r="EB14" s="134" t="s">
        <v>148</v>
      </c>
      <c r="EC14" s="133">
        <v>4</v>
      </c>
      <c r="ED14" s="133">
        <v>4</v>
      </c>
      <c r="EE14" s="105">
        <f t="shared" ref="EE14:EE22" si="36">IF(ISERROR(ED14/EC14),"",ED14/EC14)</f>
        <v>1</v>
      </c>
      <c r="EF14" s="134" t="s">
        <v>148</v>
      </c>
      <c r="EG14" s="147">
        <v>2</v>
      </c>
      <c r="EH14" s="134" t="s">
        <v>480</v>
      </c>
      <c r="EI14" s="133">
        <v>12</v>
      </c>
      <c r="EJ14" s="133">
        <v>0</v>
      </c>
      <c r="EK14" s="105">
        <f t="shared" ref="EK14:EK22" si="37">IF(ISERROR(EJ14/EI14),"",EJ14/EI14)</f>
        <v>0</v>
      </c>
      <c r="EL14" s="134" t="s">
        <v>481</v>
      </c>
      <c r="EM14" s="147">
        <v>12</v>
      </c>
      <c r="EN14" s="134" t="s">
        <v>481</v>
      </c>
      <c r="EO14" s="133">
        <v>7</v>
      </c>
      <c r="EP14" s="133">
        <v>7</v>
      </c>
      <c r="EQ14" s="105">
        <f t="shared" ref="EQ14:EQ22" si="38">IF(ISERROR(EP14/EO14),"",EP14/EO14)</f>
        <v>1</v>
      </c>
      <c r="ER14" s="134" t="s">
        <v>148</v>
      </c>
      <c r="ES14" s="147">
        <v>2</v>
      </c>
      <c r="ET14" s="134" t="s">
        <v>482</v>
      </c>
      <c r="EU14" s="133">
        <v>16</v>
      </c>
      <c r="EV14" s="133">
        <v>3</v>
      </c>
      <c r="EW14" s="105">
        <f t="shared" ref="EW14:EW22" si="39">IF(ISERROR(EV14/EU14),"",EV14/EU14)</f>
        <v>0.1875</v>
      </c>
      <c r="EX14" s="134" t="s">
        <v>481</v>
      </c>
      <c r="EY14" s="147">
        <v>13</v>
      </c>
      <c r="EZ14" s="134" t="s">
        <v>481</v>
      </c>
      <c r="FA14" s="133">
        <v>3</v>
      </c>
      <c r="FB14" s="133">
        <v>3</v>
      </c>
      <c r="FC14" s="105">
        <f t="shared" ref="FC14:FC22" si="40">IF(ISERROR(FB14/FA14),"",FB14/FA14)</f>
        <v>1</v>
      </c>
      <c r="FD14" s="134" t="s">
        <v>148</v>
      </c>
      <c r="FE14" s="147">
        <v>0</v>
      </c>
      <c r="FF14" s="134" t="s">
        <v>148</v>
      </c>
      <c r="FG14" s="133">
        <v>4</v>
      </c>
      <c r="FH14" s="133">
        <v>4</v>
      </c>
      <c r="FI14" s="105">
        <f t="shared" ref="FI14:FI22" si="41">IF(ISERROR(FH14/FG14),"",FH14/FG14)</f>
        <v>1</v>
      </c>
      <c r="FJ14" s="134" t="s">
        <v>148</v>
      </c>
      <c r="FK14" s="147">
        <v>0</v>
      </c>
      <c r="FL14" s="134" t="s">
        <v>148</v>
      </c>
      <c r="FM14" s="133">
        <v>3</v>
      </c>
      <c r="FN14" s="133">
        <v>2</v>
      </c>
      <c r="FO14" s="105">
        <f t="shared" ref="FO14:FO22" si="42">IF(ISERROR(FN14/FM14),"",FN14/FM14)</f>
        <v>0.66666666666666663</v>
      </c>
      <c r="FP14" s="134" t="s">
        <v>483</v>
      </c>
      <c r="FQ14" s="147">
        <v>0</v>
      </c>
      <c r="FR14" s="134" t="s">
        <v>148</v>
      </c>
      <c r="FS14" s="133">
        <v>0</v>
      </c>
      <c r="FT14" s="133">
        <v>0</v>
      </c>
      <c r="FU14" s="105" t="str">
        <f t="shared" ref="FU14:FU22" si="43">IF(ISERROR(FT14/FS14),"",FT14/FS14)</f>
        <v/>
      </c>
      <c r="FV14" s="134" t="s">
        <v>148</v>
      </c>
      <c r="FW14" s="147">
        <v>0</v>
      </c>
      <c r="FX14" s="134" t="s">
        <v>148</v>
      </c>
      <c r="FY14" s="133">
        <v>15</v>
      </c>
      <c r="FZ14" s="133">
        <v>15</v>
      </c>
      <c r="GA14" s="105">
        <f t="shared" ref="GA14:GA23" si="44">IF(ISERROR(FZ14/FY14),"",FZ14/FY14)</f>
        <v>1</v>
      </c>
      <c r="GB14" s="134"/>
      <c r="GC14" s="147">
        <v>0</v>
      </c>
      <c r="GD14" s="134"/>
      <c r="GE14" s="133">
        <v>58</v>
      </c>
      <c r="GF14" s="133">
        <v>58</v>
      </c>
      <c r="GG14" s="105">
        <f t="shared" ref="GG14:GG23" si="45">IF(ISERROR(GF14/GE14),"",GF14/GE14)</f>
        <v>1</v>
      </c>
      <c r="GH14" s="134" t="s">
        <v>148</v>
      </c>
      <c r="GI14" s="147">
        <v>0</v>
      </c>
      <c r="GJ14" s="134" t="s">
        <v>148</v>
      </c>
      <c r="GK14" s="134" t="s">
        <v>169</v>
      </c>
      <c r="GL14" s="134" t="s">
        <v>164</v>
      </c>
      <c r="GM14" s="134" t="s">
        <v>64</v>
      </c>
      <c r="GN14" s="136" t="s">
        <v>148</v>
      </c>
      <c r="GO14" s="136" t="s">
        <v>277</v>
      </c>
      <c r="GP14" s="134" t="s">
        <v>63</v>
      </c>
      <c r="GQ14" s="134" t="s">
        <v>150</v>
      </c>
      <c r="GR14" s="158" t="s">
        <v>515</v>
      </c>
      <c r="GS14" s="158" t="s">
        <v>148</v>
      </c>
      <c r="GT14" s="158" t="s">
        <v>62</v>
      </c>
      <c r="GU14" s="158" t="s">
        <v>62</v>
      </c>
      <c r="GV14" s="134"/>
      <c r="GW14" s="158" t="s">
        <v>62</v>
      </c>
      <c r="GX14" s="158" t="s">
        <v>62</v>
      </c>
      <c r="GY14" s="158" t="s">
        <v>62</v>
      </c>
      <c r="GZ14" s="158" t="s">
        <v>148</v>
      </c>
      <c r="HA14" s="158" t="s">
        <v>62</v>
      </c>
      <c r="HB14" s="158" t="s">
        <v>148</v>
      </c>
      <c r="HC14" s="128" t="s">
        <v>354</v>
      </c>
      <c r="HD14" s="127"/>
      <c r="HE14" s="169" t="s">
        <v>62</v>
      </c>
      <c r="HF14" s="169" t="s">
        <v>164</v>
      </c>
      <c r="HG14" s="169" t="s">
        <v>164</v>
      </c>
      <c r="HH14" s="169" t="s">
        <v>62</v>
      </c>
      <c r="HI14" s="169" t="s">
        <v>164</v>
      </c>
      <c r="HJ14" s="169"/>
    </row>
    <row r="15" spans="1:218" s="591" customFormat="1" ht="118.9" customHeight="1">
      <c r="A15" s="103" t="s">
        <v>362</v>
      </c>
      <c r="B15" s="102" t="s">
        <v>162</v>
      </c>
      <c r="C15" s="102" t="s">
        <v>172</v>
      </c>
      <c r="D15" s="136" t="s">
        <v>62</v>
      </c>
      <c r="E15" s="136" t="s">
        <v>148</v>
      </c>
      <c r="F15" s="134" t="s">
        <v>148</v>
      </c>
      <c r="G15" s="136" t="s">
        <v>62</v>
      </c>
      <c r="H15" s="136" t="s">
        <v>148</v>
      </c>
      <c r="I15" s="134" t="s">
        <v>148</v>
      </c>
      <c r="J15" s="136" t="s">
        <v>62</v>
      </c>
      <c r="K15" s="136" t="s">
        <v>148</v>
      </c>
      <c r="L15" s="134" t="s">
        <v>148</v>
      </c>
      <c r="M15" s="136" t="s">
        <v>62</v>
      </c>
      <c r="N15" s="136" t="s">
        <v>148</v>
      </c>
      <c r="O15" s="134" t="s">
        <v>148</v>
      </c>
      <c r="P15" s="136" t="s">
        <v>62</v>
      </c>
      <c r="Q15" s="136" t="s">
        <v>148</v>
      </c>
      <c r="R15" s="134" t="s">
        <v>148</v>
      </c>
      <c r="S15" s="136" t="s">
        <v>62</v>
      </c>
      <c r="T15" s="136" t="s">
        <v>148</v>
      </c>
      <c r="U15" s="134" t="s">
        <v>148</v>
      </c>
      <c r="V15" s="136" t="s">
        <v>62</v>
      </c>
      <c r="W15" s="136" t="s">
        <v>148</v>
      </c>
      <c r="X15" s="134" t="s">
        <v>148</v>
      </c>
      <c r="Y15" s="136" t="s">
        <v>62</v>
      </c>
      <c r="Z15" s="136" t="s">
        <v>148</v>
      </c>
      <c r="AA15" s="134" t="s">
        <v>148</v>
      </c>
      <c r="AB15" s="136" t="s">
        <v>62</v>
      </c>
      <c r="AC15" s="136" t="s">
        <v>148</v>
      </c>
      <c r="AD15" s="134" t="s">
        <v>148</v>
      </c>
      <c r="AE15" s="161" t="s">
        <v>354</v>
      </c>
      <c r="AF15" s="161" t="s">
        <v>62</v>
      </c>
      <c r="AG15" s="137" t="s">
        <v>401</v>
      </c>
      <c r="AH15" s="136" t="s">
        <v>277</v>
      </c>
      <c r="AI15" s="136" t="s">
        <v>62</v>
      </c>
      <c r="AJ15" s="134" t="s">
        <v>402</v>
      </c>
      <c r="AK15" s="136" t="s">
        <v>62</v>
      </c>
      <c r="AL15" s="136" t="s">
        <v>148</v>
      </c>
      <c r="AM15" s="134" t="s">
        <v>148</v>
      </c>
      <c r="AN15" s="136" t="s">
        <v>62</v>
      </c>
      <c r="AO15" s="136" t="s">
        <v>148</v>
      </c>
      <c r="AP15" s="134" t="s">
        <v>148</v>
      </c>
      <c r="AQ15" s="136" t="s">
        <v>62</v>
      </c>
      <c r="AR15" s="136" t="s">
        <v>148</v>
      </c>
      <c r="AS15" s="134" t="s">
        <v>148</v>
      </c>
      <c r="AT15" s="136" t="s">
        <v>62</v>
      </c>
      <c r="AU15" s="136" t="s">
        <v>148</v>
      </c>
      <c r="AV15" s="134" t="s">
        <v>148</v>
      </c>
      <c r="AW15" s="136" t="s">
        <v>62</v>
      </c>
      <c r="AX15" s="136" t="s">
        <v>148</v>
      </c>
      <c r="AY15" s="134" t="s">
        <v>148</v>
      </c>
      <c r="AZ15" s="136" t="s">
        <v>62</v>
      </c>
      <c r="BA15" s="136" t="s">
        <v>148</v>
      </c>
      <c r="BB15" s="134" t="s">
        <v>148</v>
      </c>
      <c r="BC15" s="133">
        <v>6</v>
      </c>
      <c r="BD15" s="133">
        <v>4</v>
      </c>
      <c r="BE15" s="105">
        <f t="shared" si="23"/>
        <v>0.66666666666666663</v>
      </c>
      <c r="BF15" s="134" t="s">
        <v>404</v>
      </c>
      <c r="BG15" s="147">
        <v>0</v>
      </c>
      <c r="BH15" s="134" t="s">
        <v>148</v>
      </c>
      <c r="BI15" s="133">
        <v>48</v>
      </c>
      <c r="BJ15" s="133">
        <v>27</v>
      </c>
      <c r="BK15" s="105">
        <f t="shared" si="24"/>
        <v>0.5625</v>
      </c>
      <c r="BL15" s="134" t="s">
        <v>404</v>
      </c>
      <c r="BM15" s="147">
        <v>0</v>
      </c>
      <c r="BN15" s="134" t="s">
        <v>148</v>
      </c>
      <c r="BO15" s="133">
        <v>6</v>
      </c>
      <c r="BP15" s="133">
        <v>5</v>
      </c>
      <c r="BQ15" s="105">
        <f t="shared" si="25"/>
        <v>0.83333333333333337</v>
      </c>
      <c r="BR15" s="134" t="s">
        <v>408</v>
      </c>
      <c r="BS15" s="147">
        <v>1</v>
      </c>
      <c r="BT15" s="134" t="s">
        <v>298</v>
      </c>
      <c r="BU15" s="133">
        <v>0</v>
      </c>
      <c r="BV15" s="133">
        <v>0</v>
      </c>
      <c r="BW15" s="105" t="str">
        <f t="shared" si="26"/>
        <v/>
      </c>
      <c r="BX15" s="134" t="s">
        <v>148</v>
      </c>
      <c r="BY15" s="147">
        <v>0</v>
      </c>
      <c r="BZ15" s="134" t="s">
        <v>148</v>
      </c>
      <c r="CA15" s="133">
        <v>2</v>
      </c>
      <c r="CB15" s="133">
        <v>2</v>
      </c>
      <c r="CC15" s="105">
        <f t="shared" si="27"/>
        <v>1</v>
      </c>
      <c r="CD15" s="134" t="s">
        <v>148</v>
      </c>
      <c r="CE15" s="147">
        <v>0</v>
      </c>
      <c r="CF15" s="134" t="s">
        <v>148</v>
      </c>
      <c r="CG15" s="133">
        <v>2</v>
      </c>
      <c r="CH15" s="133">
        <v>2</v>
      </c>
      <c r="CI15" s="105">
        <f t="shared" si="28"/>
        <v>1</v>
      </c>
      <c r="CJ15" s="134" t="s">
        <v>148</v>
      </c>
      <c r="CK15" s="147">
        <v>0</v>
      </c>
      <c r="CL15" s="134" t="s">
        <v>148</v>
      </c>
      <c r="CM15" s="133">
        <v>0</v>
      </c>
      <c r="CN15" s="133">
        <v>0</v>
      </c>
      <c r="CO15" s="105" t="str">
        <f t="shared" si="29"/>
        <v/>
      </c>
      <c r="CP15" s="134" t="s">
        <v>148</v>
      </c>
      <c r="CQ15" s="147">
        <v>0</v>
      </c>
      <c r="CR15" s="134" t="s">
        <v>148</v>
      </c>
      <c r="CS15" s="133">
        <v>1</v>
      </c>
      <c r="CT15" s="133">
        <v>1</v>
      </c>
      <c r="CU15" s="105">
        <f t="shared" si="30"/>
        <v>1</v>
      </c>
      <c r="CV15" s="134" t="s">
        <v>148</v>
      </c>
      <c r="CW15" s="147">
        <v>0</v>
      </c>
      <c r="CX15" s="134" t="s">
        <v>148</v>
      </c>
      <c r="CY15" s="133">
        <v>0</v>
      </c>
      <c r="CZ15" s="133">
        <v>0</v>
      </c>
      <c r="DA15" s="105" t="str">
        <f t="shared" si="31"/>
        <v/>
      </c>
      <c r="DB15" s="134" t="s">
        <v>148</v>
      </c>
      <c r="DC15" s="147">
        <v>0</v>
      </c>
      <c r="DD15" s="134" t="s">
        <v>148</v>
      </c>
      <c r="DE15" s="133">
        <v>0</v>
      </c>
      <c r="DF15" s="133">
        <v>0</v>
      </c>
      <c r="DG15" s="105" t="str">
        <f t="shared" si="32"/>
        <v/>
      </c>
      <c r="DH15" s="134" t="s">
        <v>148</v>
      </c>
      <c r="DI15" s="147">
        <v>0</v>
      </c>
      <c r="DJ15" s="134" t="s">
        <v>148</v>
      </c>
      <c r="DK15" s="133">
        <v>7</v>
      </c>
      <c r="DL15" s="133">
        <v>6</v>
      </c>
      <c r="DM15" s="105">
        <f t="shared" si="33"/>
        <v>0.8571428571428571</v>
      </c>
      <c r="DN15" s="134" t="s">
        <v>491</v>
      </c>
      <c r="DO15" s="147">
        <v>0</v>
      </c>
      <c r="DP15" s="134" t="s">
        <v>148</v>
      </c>
      <c r="DQ15" s="133">
        <v>60</v>
      </c>
      <c r="DR15" s="133">
        <v>60</v>
      </c>
      <c r="DS15" s="105">
        <f t="shared" si="34"/>
        <v>1</v>
      </c>
      <c r="DT15" s="134" t="s">
        <v>148</v>
      </c>
      <c r="DU15" s="147">
        <v>0</v>
      </c>
      <c r="DV15" s="134" t="s">
        <v>148</v>
      </c>
      <c r="DW15" s="133">
        <v>7</v>
      </c>
      <c r="DX15" s="133">
        <v>7</v>
      </c>
      <c r="DY15" s="105">
        <f t="shared" si="35"/>
        <v>1</v>
      </c>
      <c r="DZ15" s="134"/>
      <c r="EA15" s="147"/>
      <c r="EB15" s="134"/>
      <c r="EC15" s="133">
        <v>2</v>
      </c>
      <c r="ED15" s="133">
        <v>2</v>
      </c>
      <c r="EE15" s="105">
        <f t="shared" si="36"/>
        <v>1</v>
      </c>
      <c r="EF15" s="134" t="s">
        <v>148</v>
      </c>
      <c r="EG15" s="147">
        <v>0</v>
      </c>
      <c r="EH15" s="134" t="s">
        <v>148</v>
      </c>
      <c r="EI15" s="133">
        <v>4</v>
      </c>
      <c r="EJ15" s="133">
        <v>0</v>
      </c>
      <c r="EK15" s="105">
        <f t="shared" si="37"/>
        <v>0</v>
      </c>
      <c r="EL15" s="134" t="s">
        <v>416</v>
      </c>
      <c r="EM15" s="147">
        <v>4</v>
      </c>
      <c r="EN15" s="134" t="s">
        <v>417</v>
      </c>
      <c r="EO15" s="133">
        <v>2</v>
      </c>
      <c r="EP15" s="133">
        <v>1</v>
      </c>
      <c r="EQ15" s="105">
        <f t="shared" si="38"/>
        <v>0.5</v>
      </c>
      <c r="ER15" s="134" t="s">
        <v>446</v>
      </c>
      <c r="ES15" s="147">
        <v>1</v>
      </c>
      <c r="ET15" s="134" t="s">
        <v>447</v>
      </c>
      <c r="EU15" s="133">
        <v>35</v>
      </c>
      <c r="EV15" s="133">
        <v>3</v>
      </c>
      <c r="EW15" s="105">
        <f t="shared" si="39"/>
        <v>8.5714285714285715E-2</v>
      </c>
      <c r="EX15" s="134" t="s">
        <v>492</v>
      </c>
      <c r="EY15" s="147">
        <v>27</v>
      </c>
      <c r="EZ15" s="134" t="s">
        <v>493</v>
      </c>
      <c r="FA15" s="133">
        <v>2</v>
      </c>
      <c r="FB15" s="133">
        <v>2</v>
      </c>
      <c r="FC15" s="105">
        <f t="shared" si="40"/>
        <v>1</v>
      </c>
      <c r="FD15" s="134" t="s">
        <v>148</v>
      </c>
      <c r="FE15" s="147">
        <v>0</v>
      </c>
      <c r="FF15" s="134" t="s">
        <v>148</v>
      </c>
      <c r="FG15" s="133">
        <v>2</v>
      </c>
      <c r="FH15" s="133">
        <v>1</v>
      </c>
      <c r="FI15" s="105">
        <f t="shared" si="41"/>
        <v>0.5</v>
      </c>
      <c r="FJ15" s="134" t="s">
        <v>173</v>
      </c>
      <c r="FK15" s="147">
        <v>1</v>
      </c>
      <c r="FL15" s="134" t="s">
        <v>174</v>
      </c>
      <c r="FM15" s="133">
        <v>0</v>
      </c>
      <c r="FN15" s="133">
        <v>0</v>
      </c>
      <c r="FO15" s="105" t="str">
        <f t="shared" si="42"/>
        <v/>
      </c>
      <c r="FP15" s="134" t="s">
        <v>148</v>
      </c>
      <c r="FQ15" s="147">
        <v>0</v>
      </c>
      <c r="FR15" s="134" t="s">
        <v>148</v>
      </c>
      <c r="FS15" s="133">
        <v>3</v>
      </c>
      <c r="FT15" s="133">
        <v>3</v>
      </c>
      <c r="FU15" s="105">
        <f t="shared" si="43"/>
        <v>1</v>
      </c>
      <c r="FV15" s="134" t="s">
        <v>148</v>
      </c>
      <c r="FW15" s="147">
        <v>0</v>
      </c>
      <c r="FX15" s="134" t="s">
        <v>148</v>
      </c>
      <c r="FY15" s="133">
        <v>6</v>
      </c>
      <c r="FZ15" s="133">
        <v>5</v>
      </c>
      <c r="GA15" s="105">
        <f t="shared" si="44"/>
        <v>0.83333333333333337</v>
      </c>
      <c r="GB15" s="134" t="s">
        <v>175</v>
      </c>
      <c r="GC15" s="147">
        <v>1</v>
      </c>
      <c r="GD15" s="134" t="s">
        <v>424</v>
      </c>
      <c r="GE15" s="133">
        <v>91</v>
      </c>
      <c r="GF15" s="133">
        <v>0</v>
      </c>
      <c r="GG15" s="105">
        <f t="shared" si="45"/>
        <v>0</v>
      </c>
      <c r="GH15" s="134" t="s">
        <v>176</v>
      </c>
      <c r="GI15" s="147">
        <v>91</v>
      </c>
      <c r="GJ15" s="134" t="s">
        <v>177</v>
      </c>
      <c r="GK15" s="134" t="s">
        <v>154</v>
      </c>
      <c r="GL15" s="134" t="s">
        <v>164</v>
      </c>
      <c r="GM15" s="134" t="s">
        <v>64</v>
      </c>
      <c r="GN15" s="136" t="s">
        <v>148</v>
      </c>
      <c r="GO15" s="136" t="s">
        <v>277</v>
      </c>
      <c r="GP15" s="134" t="s">
        <v>63</v>
      </c>
      <c r="GQ15" s="134" t="s">
        <v>150</v>
      </c>
      <c r="GR15" s="158" t="s">
        <v>62</v>
      </c>
      <c r="GS15" s="158" t="s">
        <v>148</v>
      </c>
      <c r="GT15" s="158" t="s">
        <v>62</v>
      </c>
      <c r="GU15" s="158" t="s">
        <v>148</v>
      </c>
      <c r="GV15" s="134" t="s">
        <v>148</v>
      </c>
      <c r="GW15" s="158" t="s">
        <v>62</v>
      </c>
      <c r="GX15" s="158" t="s">
        <v>148</v>
      </c>
      <c r="GY15" s="158" t="s">
        <v>148</v>
      </c>
      <c r="GZ15" s="158" t="s">
        <v>148</v>
      </c>
      <c r="HA15" s="158" t="s">
        <v>148</v>
      </c>
      <c r="HB15" s="158" t="s">
        <v>148</v>
      </c>
      <c r="HC15" s="128" t="s">
        <v>62</v>
      </c>
      <c r="HD15" s="127"/>
      <c r="HE15" s="169" t="s">
        <v>62</v>
      </c>
      <c r="HF15" s="169" t="s">
        <v>164</v>
      </c>
      <c r="HG15" s="169" t="s">
        <v>164</v>
      </c>
      <c r="HH15" s="169" t="s">
        <v>62</v>
      </c>
      <c r="HI15" s="169" t="s">
        <v>164</v>
      </c>
      <c r="HJ15" s="169"/>
    </row>
    <row r="16" spans="1:218" s="591" customFormat="1" ht="134.5" customHeight="1">
      <c r="A16" s="103" t="s">
        <v>363</v>
      </c>
      <c r="B16" s="102" t="s">
        <v>178</v>
      </c>
      <c r="C16" s="102" t="s">
        <v>179</v>
      </c>
      <c r="D16" s="136" t="s">
        <v>62</v>
      </c>
      <c r="E16" s="136" t="s">
        <v>148</v>
      </c>
      <c r="F16" s="134" t="s">
        <v>148</v>
      </c>
      <c r="G16" s="136" t="s">
        <v>62</v>
      </c>
      <c r="H16" s="136" t="s">
        <v>148</v>
      </c>
      <c r="I16" s="134" t="s">
        <v>148</v>
      </c>
      <c r="J16" s="136" t="s">
        <v>62</v>
      </c>
      <c r="K16" s="136" t="s">
        <v>148</v>
      </c>
      <c r="L16" s="134" t="s">
        <v>148</v>
      </c>
      <c r="M16" s="136" t="s">
        <v>62</v>
      </c>
      <c r="N16" s="136" t="s">
        <v>148</v>
      </c>
      <c r="O16" s="134" t="s">
        <v>148</v>
      </c>
      <c r="P16" s="136" t="s">
        <v>62</v>
      </c>
      <c r="Q16" s="136" t="s">
        <v>148</v>
      </c>
      <c r="R16" s="134" t="s">
        <v>148</v>
      </c>
      <c r="S16" s="136" t="s">
        <v>62</v>
      </c>
      <c r="T16" s="136" t="s">
        <v>148</v>
      </c>
      <c r="U16" s="134" t="s">
        <v>148</v>
      </c>
      <c r="V16" s="136" t="s">
        <v>62</v>
      </c>
      <c r="W16" s="136" t="s">
        <v>148</v>
      </c>
      <c r="X16" s="134" t="s">
        <v>148</v>
      </c>
      <c r="Y16" s="136" t="s">
        <v>62</v>
      </c>
      <c r="Z16" s="136" t="s">
        <v>148</v>
      </c>
      <c r="AA16" s="134" t="s">
        <v>148</v>
      </c>
      <c r="AB16" s="136" t="s">
        <v>62</v>
      </c>
      <c r="AC16" s="136" t="s">
        <v>148</v>
      </c>
      <c r="AD16" s="134" t="s">
        <v>148</v>
      </c>
      <c r="AE16" s="161" t="s">
        <v>62</v>
      </c>
      <c r="AF16" s="161" t="s">
        <v>354</v>
      </c>
      <c r="AG16" s="151"/>
      <c r="AH16" s="136" t="s">
        <v>62</v>
      </c>
      <c r="AI16" s="136" t="s">
        <v>148</v>
      </c>
      <c r="AJ16" s="134" t="s">
        <v>148</v>
      </c>
      <c r="AK16" s="136" t="s">
        <v>62</v>
      </c>
      <c r="AL16" s="136" t="s">
        <v>148</v>
      </c>
      <c r="AM16" s="134" t="s">
        <v>148</v>
      </c>
      <c r="AN16" s="136" t="s">
        <v>62</v>
      </c>
      <c r="AO16" s="136" t="s">
        <v>148</v>
      </c>
      <c r="AP16" s="134" t="s">
        <v>148</v>
      </c>
      <c r="AQ16" s="136" t="s">
        <v>62</v>
      </c>
      <c r="AR16" s="136"/>
      <c r="AS16" s="134" t="s">
        <v>148</v>
      </c>
      <c r="AT16" s="136" t="s">
        <v>62</v>
      </c>
      <c r="AU16" s="136" t="s">
        <v>148</v>
      </c>
      <c r="AV16" s="134" t="s">
        <v>148</v>
      </c>
      <c r="AW16" s="136" t="s">
        <v>62</v>
      </c>
      <c r="AX16" s="136" t="s">
        <v>148</v>
      </c>
      <c r="AY16" s="134" t="s">
        <v>148</v>
      </c>
      <c r="AZ16" s="136" t="s">
        <v>62</v>
      </c>
      <c r="BA16" s="136" t="s">
        <v>148</v>
      </c>
      <c r="BB16" s="134" t="s">
        <v>148</v>
      </c>
      <c r="BC16" s="133">
        <v>22</v>
      </c>
      <c r="BD16" s="133">
        <v>20</v>
      </c>
      <c r="BE16" s="105">
        <f t="shared" si="23"/>
        <v>0.90909090909090906</v>
      </c>
      <c r="BF16" s="134" t="s">
        <v>365</v>
      </c>
      <c r="BG16" s="147">
        <v>0</v>
      </c>
      <c r="BH16" s="134" t="s">
        <v>148</v>
      </c>
      <c r="BI16" s="133">
        <v>74</v>
      </c>
      <c r="BJ16" s="133">
        <v>73</v>
      </c>
      <c r="BK16" s="105">
        <f t="shared" si="24"/>
        <v>0.98648648648648651</v>
      </c>
      <c r="BL16" s="134" t="s">
        <v>365</v>
      </c>
      <c r="BM16" s="147">
        <v>0</v>
      </c>
      <c r="BN16" s="134" t="s">
        <v>148</v>
      </c>
      <c r="BO16" s="133">
        <v>8</v>
      </c>
      <c r="BP16" s="133">
        <v>8</v>
      </c>
      <c r="BQ16" s="105">
        <f t="shared" si="25"/>
        <v>1</v>
      </c>
      <c r="BR16" s="134" t="s">
        <v>148</v>
      </c>
      <c r="BS16" s="147">
        <v>0</v>
      </c>
      <c r="BT16" s="134" t="s">
        <v>148</v>
      </c>
      <c r="BU16" s="133">
        <v>0</v>
      </c>
      <c r="BV16" s="133">
        <v>0</v>
      </c>
      <c r="BW16" s="105" t="str">
        <f t="shared" si="26"/>
        <v/>
      </c>
      <c r="BX16" s="134" t="s">
        <v>148</v>
      </c>
      <c r="BY16" s="147">
        <v>0</v>
      </c>
      <c r="BZ16" s="134" t="s">
        <v>148</v>
      </c>
      <c r="CA16" s="133">
        <v>1</v>
      </c>
      <c r="CB16" s="133">
        <v>1</v>
      </c>
      <c r="CC16" s="105">
        <f t="shared" si="27"/>
        <v>1</v>
      </c>
      <c r="CD16" s="134" t="s">
        <v>148</v>
      </c>
      <c r="CE16" s="147">
        <v>0</v>
      </c>
      <c r="CF16" s="134" t="s">
        <v>148</v>
      </c>
      <c r="CG16" s="133">
        <v>4</v>
      </c>
      <c r="CH16" s="133">
        <v>4</v>
      </c>
      <c r="CI16" s="105">
        <f t="shared" si="28"/>
        <v>1</v>
      </c>
      <c r="CJ16" s="134" t="s">
        <v>148</v>
      </c>
      <c r="CK16" s="147">
        <v>0</v>
      </c>
      <c r="CL16" s="134" t="s">
        <v>148</v>
      </c>
      <c r="CM16" s="133">
        <v>2</v>
      </c>
      <c r="CN16" s="133">
        <v>2</v>
      </c>
      <c r="CO16" s="105">
        <f t="shared" si="29"/>
        <v>1</v>
      </c>
      <c r="CP16" s="134" t="s">
        <v>148</v>
      </c>
      <c r="CQ16" s="147">
        <v>0</v>
      </c>
      <c r="CR16" s="134" t="s">
        <v>148</v>
      </c>
      <c r="CS16" s="133">
        <v>5</v>
      </c>
      <c r="CT16" s="133">
        <v>5</v>
      </c>
      <c r="CU16" s="105">
        <f t="shared" si="30"/>
        <v>1</v>
      </c>
      <c r="CV16" s="134" t="s">
        <v>148</v>
      </c>
      <c r="CW16" s="147">
        <v>0</v>
      </c>
      <c r="CX16" s="134" t="s">
        <v>148</v>
      </c>
      <c r="CY16" s="133">
        <v>2</v>
      </c>
      <c r="CZ16" s="133">
        <v>2</v>
      </c>
      <c r="DA16" s="105">
        <f t="shared" si="31"/>
        <v>1</v>
      </c>
      <c r="DB16" s="134" t="s">
        <v>148</v>
      </c>
      <c r="DC16" s="147">
        <v>0</v>
      </c>
      <c r="DD16" s="134" t="s">
        <v>148</v>
      </c>
      <c r="DE16" s="133">
        <v>1</v>
      </c>
      <c r="DF16" s="133">
        <v>1</v>
      </c>
      <c r="DG16" s="105">
        <f t="shared" si="32"/>
        <v>1</v>
      </c>
      <c r="DH16" s="134" t="s">
        <v>148</v>
      </c>
      <c r="DI16" s="147">
        <v>0</v>
      </c>
      <c r="DJ16" s="134" t="s">
        <v>148</v>
      </c>
      <c r="DK16" s="133">
        <v>0</v>
      </c>
      <c r="DL16" s="133">
        <v>0</v>
      </c>
      <c r="DM16" s="105" t="str">
        <f t="shared" si="33"/>
        <v/>
      </c>
      <c r="DN16" s="134" t="s">
        <v>148</v>
      </c>
      <c r="DO16" s="147">
        <v>0</v>
      </c>
      <c r="DP16" s="134" t="s">
        <v>148</v>
      </c>
      <c r="DQ16" s="133">
        <v>63</v>
      </c>
      <c r="DR16" s="133">
        <v>63</v>
      </c>
      <c r="DS16" s="105">
        <f t="shared" si="34"/>
        <v>1</v>
      </c>
      <c r="DT16" s="134" t="s">
        <v>148</v>
      </c>
      <c r="DU16" s="147">
        <v>0</v>
      </c>
      <c r="DV16" s="134" t="s">
        <v>148</v>
      </c>
      <c r="DW16" s="133">
        <v>11</v>
      </c>
      <c r="DX16" s="133">
        <v>4</v>
      </c>
      <c r="DY16" s="105">
        <f t="shared" si="35"/>
        <v>0.36363636363636365</v>
      </c>
      <c r="DZ16" s="134" t="s">
        <v>366</v>
      </c>
      <c r="EA16" s="147">
        <v>0</v>
      </c>
      <c r="EB16" s="134" t="s">
        <v>148</v>
      </c>
      <c r="EC16" s="133">
        <v>10</v>
      </c>
      <c r="ED16" s="133">
        <v>3</v>
      </c>
      <c r="EE16" s="105">
        <f t="shared" si="36"/>
        <v>0.3</v>
      </c>
      <c r="EF16" s="134" t="s">
        <v>367</v>
      </c>
      <c r="EG16" s="147">
        <v>2</v>
      </c>
      <c r="EH16" s="134" t="s">
        <v>368</v>
      </c>
      <c r="EI16" s="133">
        <v>19</v>
      </c>
      <c r="EJ16" s="133">
        <v>0</v>
      </c>
      <c r="EK16" s="105">
        <f t="shared" si="37"/>
        <v>0</v>
      </c>
      <c r="EL16" s="134" t="s">
        <v>418</v>
      </c>
      <c r="EM16" s="147">
        <v>19</v>
      </c>
      <c r="EN16" s="134" t="s">
        <v>369</v>
      </c>
      <c r="EO16" s="133">
        <v>24</v>
      </c>
      <c r="EP16" s="133">
        <v>10</v>
      </c>
      <c r="EQ16" s="105">
        <f t="shared" si="38"/>
        <v>0.41666666666666669</v>
      </c>
      <c r="ER16" s="134" t="s">
        <v>422</v>
      </c>
      <c r="ES16" s="147">
        <v>13</v>
      </c>
      <c r="ET16" s="134" t="s">
        <v>370</v>
      </c>
      <c r="EU16" s="133">
        <v>31</v>
      </c>
      <c r="EV16" s="133">
        <v>2</v>
      </c>
      <c r="EW16" s="105">
        <f t="shared" si="39"/>
        <v>6.4516129032258063E-2</v>
      </c>
      <c r="EX16" s="134" t="s">
        <v>471</v>
      </c>
      <c r="EY16" s="147">
        <v>29</v>
      </c>
      <c r="EZ16" s="134" t="s">
        <v>371</v>
      </c>
      <c r="FA16" s="133">
        <v>8</v>
      </c>
      <c r="FB16" s="133">
        <v>5</v>
      </c>
      <c r="FC16" s="105">
        <f t="shared" si="40"/>
        <v>0.625</v>
      </c>
      <c r="FD16" s="134" t="s">
        <v>372</v>
      </c>
      <c r="FE16" s="147">
        <v>2</v>
      </c>
      <c r="FF16" s="134" t="s">
        <v>373</v>
      </c>
      <c r="FG16" s="133">
        <v>3</v>
      </c>
      <c r="FH16" s="133">
        <v>2</v>
      </c>
      <c r="FI16" s="105">
        <f t="shared" si="41"/>
        <v>0.66666666666666663</v>
      </c>
      <c r="FJ16" s="134" t="s">
        <v>374</v>
      </c>
      <c r="FK16" s="147">
        <v>0</v>
      </c>
      <c r="FL16" s="134" t="s">
        <v>148</v>
      </c>
      <c r="FM16" s="133">
        <v>1</v>
      </c>
      <c r="FN16" s="133">
        <v>1</v>
      </c>
      <c r="FO16" s="105">
        <f t="shared" si="42"/>
        <v>1</v>
      </c>
      <c r="FP16" s="134" t="s">
        <v>148</v>
      </c>
      <c r="FQ16" s="147">
        <v>0</v>
      </c>
      <c r="FR16" s="134" t="s">
        <v>148</v>
      </c>
      <c r="FS16" s="133">
        <v>0</v>
      </c>
      <c r="FT16" s="133">
        <v>0</v>
      </c>
      <c r="FU16" s="105" t="str">
        <f t="shared" si="43"/>
        <v/>
      </c>
      <c r="FV16" s="134" t="s">
        <v>148</v>
      </c>
      <c r="FW16" s="147">
        <v>0</v>
      </c>
      <c r="FX16" s="134" t="s">
        <v>148</v>
      </c>
      <c r="FY16" s="133">
        <v>16</v>
      </c>
      <c r="FZ16" s="133">
        <v>14</v>
      </c>
      <c r="GA16" s="105">
        <f t="shared" si="44"/>
        <v>0.875</v>
      </c>
      <c r="GB16" s="134" t="s">
        <v>425</v>
      </c>
      <c r="GC16" s="147">
        <v>2</v>
      </c>
      <c r="GD16" s="134" t="s">
        <v>426</v>
      </c>
      <c r="GE16" s="133">
        <v>97</v>
      </c>
      <c r="GF16" s="133">
        <v>95</v>
      </c>
      <c r="GG16" s="105">
        <f t="shared" si="45"/>
        <v>0.97938144329896903</v>
      </c>
      <c r="GH16" s="134" t="s">
        <v>375</v>
      </c>
      <c r="GI16" s="147">
        <v>2</v>
      </c>
      <c r="GJ16" s="134" t="s">
        <v>373</v>
      </c>
      <c r="GK16" s="134" t="s">
        <v>154</v>
      </c>
      <c r="GL16" s="134"/>
      <c r="GM16" s="134" t="s">
        <v>150</v>
      </c>
      <c r="GN16" s="136" t="s">
        <v>148</v>
      </c>
      <c r="GO16" s="136" t="s">
        <v>277</v>
      </c>
      <c r="GP16" s="134" t="s">
        <v>63</v>
      </c>
      <c r="GQ16" s="134" t="s">
        <v>64</v>
      </c>
      <c r="GR16" s="158" t="s">
        <v>62</v>
      </c>
      <c r="GS16" s="158" t="s">
        <v>62</v>
      </c>
      <c r="GT16" s="158" t="s">
        <v>62</v>
      </c>
      <c r="GU16" s="158" t="s">
        <v>62</v>
      </c>
      <c r="GV16" s="134" t="s">
        <v>148</v>
      </c>
      <c r="GW16" s="158" t="s">
        <v>62</v>
      </c>
      <c r="GX16" s="158" t="s">
        <v>62</v>
      </c>
      <c r="GY16" s="158" t="s">
        <v>62</v>
      </c>
      <c r="GZ16" s="158" t="s">
        <v>62</v>
      </c>
      <c r="HA16" s="158" t="s">
        <v>148</v>
      </c>
      <c r="HB16" s="158" t="s">
        <v>148</v>
      </c>
      <c r="HC16" s="128" t="s">
        <v>354</v>
      </c>
      <c r="HD16" s="127"/>
      <c r="HE16" s="169" t="s">
        <v>62</v>
      </c>
      <c r="HF16" s="169" t="s">
        <v>164</v>
      </c>
      <c r="HG16" s="169" t="s">
        <v>164</v>
      </c>
      <c r="HH16" s="169" t="s">
        <v>62</v>
      </c>
      <c r="HI16" s="169" t="s">
        <v>164</v>
      </c>
      <c r="HJ16" s="169"/>
    </row>
    <row r="17" spans="1:218" s="591" customFormat="1" ht="141" customHeight="1">
      <c r="A17" s="103" t="s">
        <v>484</v>
      </c>
      <c r="B17" s="102" t="s">
        <v>265</v>
      </c>
      <c r="C17" s="102" t="s">
        <v>266</v>
      </c>
      <c r="D17" s="136" t="s">
        <v>62</v>
      </c>
      <c r="E17" s="136" t="s">
        <v>148</v>
      </c>
      <c r="F17" s="134" t="s">
        <v>448</v>
      </c>
      <c r="G17" s="136" t="s">
        <v>62</v>
      </c>
      <c r="H17" s="136"/>
      <c r="I17" s="134"/>
      <c r="J17" s="136" t="s">
        <v>62</v>
      </c>
      <c r="K17" s="136" t="s">
        <v>148</v>
      </c>
      <c r="L17" s="134" t="s">
        <v>148</v>
      </c>
      <c r="M17" s="136" t="s">
        <v>62</v>
      </c>
      <c r="N17" s="136" t="s">
        <v>148</v>
      </c>
      <c r="O17" s="134" t="s">
        <v>148</v>
      </c>
      <c r="P17" s="136" t="s">
        <v>62</v>
      </c>
      <c r="Q17" s="136" t="s">
        <v>148</v>
      </c>
      <c r="R17" s="134" t="s">
        <v>148</v>
      </c>
      <c r="S17" s="136" t="s">
        <v>62</v>
      </c>
      <c r="T17" s="136" t="s">
        <v>148</v>
      </c>
      <c r="U17" s="134" t="s">
        <v>148</v>
      </c>
      <c r="V17" s="136" t="s">
        <v>62</v>
      </c>
      <c r="W17" s="136" t="s">
        <v>148</v>
      </c>
      <c r="X17" s="134" t="s">
        <v>148</v>
      </c>
      <c r="Y17" s="136" t="s">
        <v>62</v>
      </c>
      <c r="Z17" s="136" t="s">
        <v>148</v>
      </c>
      <c r="AA17" s="134" t="s">
        <v>148</v>
      </c>
      <c r="AB17" s="136" t="s">
        <v>62</v>
      </c>
      <c r="AC17" s="136" t="s">
        <v>148</v>
      </c>
      <c r="AD17" s="134" t="s">
        <v>148</v>
      </c>
      <c r="AE17" s="161" t="s">
        <v>354</v>
      </c>
      <c r="AF17" s="161" t="s">
        <v>62</v>
      </c>
      <c r="AG17" s="137" t="s">
        <v>267</v>
      </c>
      <c r="AH17" s="136" t="s">
        <v>62</v>
      </c>
      <c r="AI17" s="136" t="s">
        <v>148</v>
      </c>
      <c r="AJ17" s="134" t="s">
        <v>148</v>
      </c>
      <c r="AK17" s="136" t="s">
        <v>62</v>
      </c>
      <c r="AL17" s="136" t="s">
        <v>148</v>
      </c>
      <c r="AM17" s="134" t="s">
        <v>148</v>
      </c>
      <c r="AN17" s="136" t="s">
        <v>277</v>
      </c>
      <c r="AO17" s="136" t="s">
        <v>148</v>
      </c>
      <c r="AP17" s="134" t="s">
        <v>148</v>
      </c>
      <c r="AQ17" s="136" t="s">
        <v>277</v>
      </c>
      <c r="AR17" s="136" t="s">
        <v>148</v>
      </c>
      <c r="AS17" s="134" t="s">
        <v>148</v>
      </c>
      <c r="AT17" s="136" t="s">
        <v>62</v>
      </c>
      <c r="AU17" s="136" t="s">
        <v>148</v>
      </c>
      <c r="AV17" s="134" t="s">
        <v>148</v>
      </c>
      <c r="AW17" s="136" t="s">
        <v>62</v>
      </c>
      <c r="AX17" s="136" t="s">
        <v>148</v>
      </c>
      <c r="AY17" s="134" t="s">
        <v>148</v>
      </c>
      <c r="AZ17" s="136" t="s">
        <v>277</v>
      </c>
      <c r="BA17" s="136" t="s">
        <v>62</v>
      </c>
      <c r="BB17" s="134" t="s">
        <v>299</v>
      </c>
      <c r="BC17" s="133">
        <v>11</v>
      </c>
      <c r="BD17" s="133">
        <v>7</v>
      </c>
      <c r="BE17" s="105">
        <f t="shared" si="23"/>
        <v>0.63636363636363635</v>
      </c>
      <c r="BF17" s="134" t="s">
        <v>300</v>
      </c>
      <c r="BG17" s="147">
        <v>0</v>
      </c>
      <c r="BH17" s="134" t="s">
        <v>148</v>
      </c>
      <c r="BI17" s="133">
        <v>21</v>
      </c>
      <c r="BJ17" s="133">
        <v>10</v>
      </c>
      <c r="BK17" s="105">
        <f t="shared" si="24"/>
        <v>0.47619047619047616</v>
      </c>
      <c r="BL17" s="134" t="s">
        <v>300</v>
      </c>
      <c r="BM17" s="147">
        <v>1</v>
      </c>
      <c r="BN17" s="134" t="s">
        <v>301</v>
      </c>
      <c r="BO17" s="133">
        <v>2</v>
      </c>
      <c r="BP17" s="133">
        <v>0</v>
      </c>
      <c r="BQ17" s="105">
        <f t="shared" si="25"/>
        <v>0</v>
      </c>
      <c r="BR17" s="134" t="s">
        <v>300</v>
      </c>
      <c r="BS17" s="147">
        <v>0</v>
      </c>
      <c r="BT17" s="134" t="s">
        <v>148</v>
      </c>
      <c r="BU17" s="133">
        <v>0</v>
      </c>
      <c r="BV17" s="133">
        <v>0</v>
      </c>
      <c r="BW17" s="105" t="str">
        <f t="shared" si="26"/>
        <v/>
      </c>
      <c r="BX17" s="134" t="s">
        <v>148</v>
      </c>
      <c r="BY17" s="147">
        <v>0</v>
      </c>
      <c r="BZ17" s="134" t="s">
        <v>148</v>
      </c>
      <c r="CA17" s="133">
        <v>1</v>
      </c>
      <c r="CB17" s="133">
        <v>1</v>
      </c>
      <c r="CC17" s="105">
        <f t="shared" si="27"/>
        <v>1</v>
      </c>
      <c r="CD17" s="134" t="s">
        <v>148</v>
      </c>
      <c r="CE17" s="147">
        <v>0</v>
      </c>
      <c r="CF17" s="134" t="s">
        <v>148</v>
      </c>
      <c r="CG17" s="133">
        <v>11</v>
      </c>
      <c r="CH17" s="133">
        <v>11</v>
      </c>
      <c r="CI17" s="105">
        <f t="shared" si="28"/>
        <v>1</v>
      </c>
      <c r="CJ17" s="134" t="s">
        <v>148</v>
      </c>
      <c r="CK17" s="147">
        <v>0</v>
      </c>
      <c r="CL17" s="134" t="s">
        <v>148</v>
      </c>
      <c r="CM17" s="133">
        <v>3</v>
      </c>
      <c r="CN17" s="133">
        <v>1</v>
      </c>
      <c r="CO17" s="105">
        <f t="shared" si="29"/>
        <v>0.33333333333333331</v>
      </c>
      <c r="CP17" s="134" t="s">
        <v>300</v>
      </c>
      <c r="CQ17" s="147">
        <v>0</v>
      </c>
      <c r="CR17" s="134" t="s">
        <v>148</v>
      </c>
      <c r="CS17" s="133">
        <v>8</v>
      </c>
      <c r="CT17" s="133">
        <v>7</v>
      </c>
      <c r="CU17" s="105">
        <f t="shared" si="30"/>
        <v>0.875</v>
      </c>
      <c r="CV17" s="134" t="s">
        <v>300</v>
      </c>
      <c r="CW17" s="147">
        <v>1</v>
      </c>
      <c r="CX17" s="134" t="s">
        <v>268</v>
      </c>
      <c r="CY17" s="133">
        <v>2</v>
      </c>
      <c r="CZ17" s="133">
        <v>2</v>
      </c>
      <c r="DA17" s="105">
        <f t="shared" si="31"/>
        <v>1</v>
      </c>
      <c r="DB17" s="134" t="s">
        <v>148</v>
      </c>
      <c r="DC17" s="147">
        <v>0</v>
      </c>
      <c r="DD17" s="134" t="s">
        <v>148</v>
      </c>
      <c r="DE17" s="133">
        <v>0</v>
      </c>
      <c r="DF17" s="133">
        <v>0</v>
      </c>
      <c r="DG17" s="105" t="str">
        <f t="shared" si="32"/>
        <v/>
      </c>
      <c r="DH17" s="134" t="s">
        <v>148</v>
      </c>
      <c r="DI17" s="147">
        <v>0</v>
      </c>
      <c r="DJ17" s="134" t="s">
        <v>148</v>
      </c>
      <c r="DK17" s="133">
        <v>14</v>
      </c>
      <c r="DL17" s="133">
        <v>3</v>
      </c>
      <c r="DM17" s="105">
        <f t="shared" si="33"/>
        <v>0.21428571428571427</v>
      </c>
      <c r="DN17" s="134" t="s">
        <v>300</v>
      </c>
      <c r="DO17" s="147">
        <v>1</v>
      </c>
      <c r="DP17" s="134" t="s">
        <v>302</v>
      </c>
      <c r="DQ17" s="133">
        <v>72</v>
      </c>
      <c r="DR17" s="133">
        <v>72</v>
      </c>
      <c r="DS17" s="105">
        <f t="shared" si="34"/>
        <v>1</v>
      </c>
      <c r="DT17" s="134" t="s">
        <v>148</v>
      </c>
      <c r="DU17" s="147">
        <v>0</v>
      </c>
      <c r="DV17" s="134" t="s">
        <v>148</v>
      </c>
      <c r="DW17" s="133">
        <v>27</v>
      </c>
      <c r="DX17" s="133">
        <v>3</v>
      </c>
      <c r="DY17" s="105">
        <f t="shared" si="35"/>
        <v>0.1111111111111111</v>
      </c>
      <c r="DZ17" s="134" t="s">
        <v>303</v>
      </c>
      <c r="EA17" s="147">
        <v>0</v>
      </c>
      <c r="EB17" s="134" t="s">
        <v>148</v>
      </c>
      <c r="EC17" s="133">
        <v>9</v>
      </c>
      <c r="ED17" s="133">
        <v>0</v>
      </c>
      <c r="EE17" s="105">
        <f t="shared" si="36"/>
        <v>0</v>
      </c>
      <c r="EF17" s="134" t="s">
        <v>300</v>
      </c>
      <c r="EG17" s="147">
        <v>6</v>
      </c>
      <c r="EH17" s="134" t="s">
        <v>304</v>
      </c>
      <c r="EI17" s="133">
        <v>12</v>
      </c>
      <c r="EJ17" s="133">
        <v>0</v>
      </c>
      <c r="EK17" s="105">
        <f t="shared" si="37"/>
        <v>0</v>
      </c>
      <c r="EL17" s="134" t="s">
        <v>305</v>
      </c>
      <c r="EM17" s="147">
        <v>12</v>
      </c>
      <c r="EN17" s="134" t="s">
        <v>306</v>
      </c>
      <c r="EO17" s="133">
        <v>11</v>
      </c>
      <c r="EP17" s="133">
        <v>5</v>
      </c>
      <c r="EQ17" s="105">
        <f t="shared" si="38"/>
        <v>0.45454545454545453</v>
      </c>
      <c r="ER17" s="134" t="s">
        <v>307</v>
      </c>
      <c r="ES17" s="147">
        <v>5</v>
      </c>
      <c r="ET17" s="134" t="s">
        <v>308</v>
      </c>
      <c r="EU17" s="133">
        <v>42</v>
      </c>
      <c r="EV17" s="133">
        <v>35</v>
      </c>
      <c r="EW17" s="105">
        <f t="shared" si="39"/>
        <v>0.83333333333333337</v>
      </c>
      <c r="EX17" s="134" t="s">
        <v>449</v>
      </c>
      <c r="EY17" s="147">
        <v>5</v>
      </c>
      <c r="EZ17" s="134" t="s">
        <v>309</v>
      </c>
      <c r="FA17" s="133">
        <v>4</v>
      </c>
      <c r="FB17" s="133">
        <v>3</v>
      </c>
      <c r="FC17" s="105">
        <f t="shared" si="40"/>
        <v>0.75</v>
      </c>
      <c r="FD17" s="134" t="s">
        <v>300</v>
      </c>
      <c r="FE17" s="147">
        <v>0</v>
      </c>
      <c r="FF17" s="134" t="s">
        <v>148</v>
      </c>
      <c r="FG17" s="133">
        <v>9</v>
      </c>
      <c r="FH17" s="133">
        <v>2</v>
      </c>
      <c r="FI17" s="105">
        <f t="shared" si="41"/>
        <v>0.22222222222222221</v>
      </c>
      <c r="FJ17" s="134" t="s">
        <v>307</v>
      </c>
      <c r="FK17" s="147">
        <v>3</v>
      </c>
      <c r="FL17" s="134" t="s">
        <v>308</v>
      </c>
      <c r="FM17" s="133">
        <v>0</v>
      </c>
      <c r="FN17" s="133">
        <v>0</v>
      </c>
      <c r="FO17" s="105" t="str">
        <f t="shared" si="42"/>
        <v/>
      </c>
      <c r="FP17" s="134" t="s">
        <v>148</v>
      </c>
      <c r="FQ17" s="147">
        <v>0</v>
      </c>
      <c r="FR17" s="134" t="s">
        <v>148</v>
      </c>
      <c r="FS17" s="133">
        <v>0</v>
      </c>
      <c r="FT17" s="133">
        <v>0</v>
      </c>
      <c r="FU17" s="105" t="str">
        <f t="shared" si="43"/>
        <v/>
      </c>
      <c r="FV17" s="134" t="s">
        <v>148</v>
      </c>
      <c r="FW17" s="147">
        <v>0</v>
      </c>
      <c r="FX17" s="134" t="s">
        <v>148</v>
      </c>
      <c r="FY17" s="133">
        <v>51</v>
      </c>
      <c r="FZ17" s="133">
        <v>37</v>
      </c>
      <c r="GA17" s="105">
        <f t="shared" si="44"/>
        <v>0.72549019607843135</v>
      </c>
      <c r="GB17" s="134" t="s">
        <v>305</v>
      </c>
      <c r="GC17" s="147">
        <v>14</v>
      </c>
      <c r="GD17" s="134" t="s">
        <v>427</v>
      </c>
      <c r="GE17" s="133">
        <v>23</v>
      </c>
      <c r="GF17" s="133">
        <v>16</v>
      </c>
      <c r="GG17" s="105">
        <f t="shared" si="45"/>
        <v>0.69565217391304346</v>
      </c>
      <c r="GH17" s="134" t="s">
        <v>305</v>
      </c>
      <c r="GI17" s="147">
        <v>7</v>
      </c>
      <c r="GJ17" s="134" t="s">
        <v>308</v>
      </c>
      <c r="GK17" s="134" t="s">
        <v>169</v>
      </c>
      <c r="GL17" s="134" t="s">
        <v>164</v>
      </c>
      <c r="GM17" s="134" t="s">
        <v>64</v>
      </c>
      <c r="GN17" s="136" t="s">
        <v>148</v>
      </c>
      <c r="GO17" s="136" t="s">
        <v>277</v>
      </c>
      <c r="GP17" s="134" t="s">
        <v>161</v>
      </c>
      <c r="GQ17" s="134" t="s">
        <v>150</v>
      </c>
      <c r="GR17" s="158" t="s">
        <v>148</v>
      </c>
      <c r="GS17" s="158" t="s">
        <v>148</v>
      </c>
      <c r="GT17" s="158" t="s">
        <v>148</v>
      </c>
      <c r="GU17" s="158" t="s">
        <v>148</v>
      </c>
      <c r="GV17" s="134" t="s">
        <v>310</v>
      </c>
      <c r="GW17" s="158" t="s">
        <v>148</v>
      </c>
      <c r="GX17" s="158" t="s">
        <v>148</v>
      </c>
      <c r="GY17" s="158" t="s">
        <v>148</v>
      </c>
      <c r="GZ17" s="158" t="s">
        <v>148</v>
      </c>
      <c r="HA17" s="158" t="s">
        <v>148</v>
      </c>
      <c r="HB17" s="158" t="s">
        <v>148</v>
      </c>
      <c r="HC17" s="128" t="s">
        <v>62</v>
      </c>
      <c r="HD17" s="127"/>
      <c r="HE17" s="169" t="s">
        <v>62</v>
      </c>
      <c r="HF17" s="169" t="s">
        <v>164</v>
      </c>
      <c r="HG17" s="169" t="s">
        <v>164</v>
      </c>
      <c r="HH17" s="169" t="s">
        <v>62</v>
      </c>
      <c r="HI17" s="169" t="s">
        <v>164</v>
      </c>
      <c r="HJ17" s="169"/>
    </row>
    <row r="18" spans="1:218" s="591" customFormat="1" ht="174.65" customHeight="1" thickBot="1">
      <c r="A18" s="103" t="s">
        <v>450</v>
      </c>
      <c r="B18" s="102" t="s">
        <v>180</v>
      </c>
      <c r="C18" s="102" t="s">
        <v>181</v>
      </c>
      <c r="D18" s="136" t="s">
        <v>62</v>
      </c>
      <c r="E18" s="136" t="s">
        <v>148</v>
      </c>
      <c r="F18" s="134" t="s">
        <v>148</v>
      </c>
      <c r="G18" s="136" t="s">
        <v>62</v>
      </c>
      <c r="H18" s="136" t="s">
        <v>148</v>
      </c>
      <c r="I18" s="134" t="s">
        <v>148</v>
      </c>
      <c r="J18" s="136" t="s">
        <v>62</v>
      </c>
      <c r="K18" s="136" t="s">
        <v>148</v>
      </c>
      <c r="L18" s="134" t="s">
        <v>148</v>
      </c>
      <c r="M18" s="136" t="s">
        <v>62</v>
      </c>
      <c r="N18" s="136" t="s">
        <v>148</v>
      </c>
      <c r="O18" s="134" t="s">
        <v>148</v>
      </c>
      <c r="P18" s="136" t="s">
        <v>62</v>
      </c>
      <c r="Q18" s="136" t="s">
        <v>148</v>
      </c>
      <c r="R18" s="134" t="s">
        <v>148</v>
      </c>
      <c r="S18" s="136" t="s">
        <v>62</v>
      </c>
      <c r="T18" s="136" t="s">
        <v>148</v>
      </c>
      <c r="U18" s="134" t="s">
        <v>148</v>
      </c>
      <c r="V18" s="136" t="s">
        <v>62</v>
      </c>
      <c r="W18" s="136" t="s">
        <v>148</v>
      </c>
      <c r="X18" s="134" t="s">
        <v>148</v>
      </c>
      <c r="Y18" s="136" t="s">
        <v>62</v>
      </c>
      <c r="Z18" s="136" t="s">
        <v>148</v>
      </c>
      <c r="AA18" s="134" t="s">
        <v>148</v>
      </c>
      <c r="AB18" s="136" t="s">
        <v>62</v>
      </c>
      <c r="AC18" s="136" t="s">
        <v>148</v>
      </c>
      <c r="AD18" s="134" t="s">
        <v>148</v>
      </c>
      <c r="AE18" s="162" t="s">
        <v>62</v>
      </c>
      <c r="AF18" s="161" t="s">
        <v>354</v>
      </c>
      <c r="AG18" s="137"/>
      <c r="AH18" s="136" t="s">
        <v>62</v>
      </c>
      <c r="AI18" s="136" t="s">
        <v>148</v>
      </c>
      <c r="AJ18" s="134" t="s">
        <v>148</v>
      </c>
      <c r="AK18" s="136" t="s">
        <v>62</v>
      </c>
      <c r="AL18" s="136" t="s">
        <v>148</v>
      </c>
      <c r="AM18" s="134" t="s">
        <v>148</v>
      </c>
      <c r="AN18" s="136"/>
      <c r="AO18" s="136" t="s">
        <v>148</v>
      </c>
      <c r="AP18" s="134" t="s">
        <v>148</v>
      </c>
      <c r="AQ18" s="136" t="s">
        <v>62</v>
      </c>
      <c r="AR18" s="136" t="s">
        <v>148</v>
      </c>
      <c r="AS18" s="134" t="s">
        <v>148</v>
      </c>
      <c r="AT18" s="136" t="s">
        <v>62</v>
      </c>
      <c r="AU18" s="136" t="s">
        <v>148</v>
      </c>
      <c r="AV18" s="134" t="s">
        <v>148</v>
      </c>
      <c r="AW18" s="136" t="s">
        <v>62</v>
      </c>
      <c r="AX18" s="136" t="s">
        <v>148</v>
      </c>
      <c r="AY18" s="134" t="s">
        <v>148</v>
      </c>
      <c r="AZ18" s="136" t="s">
        <v>62</v>
      </c>
      <c r="BA18" s="136" t="s">
        <v>148</v>
      </c>
      <c r="BB18" s="134" t="s">
        <v>148</v>
      </c>
      <c r="BC18" s="133">
        <v>15</v>
      </c>
      <c r="BD18" s="133">
        <v>14</v>
      </c>
      <c r="BE18" s="105">
        <f t="shared" si="23"/>
        <v>0.93333333333333335</v>
      </c>
      <c r="BF18" s="134" t="s">
        <v>182</v>
      </c>
      <c r="BG18" s="147">
        <v>0</v>
      </c>
      <c r="BH18" s="134" t="s">
        <v>148</v>
      </c>
      <c r="BI18" s="133">
        <v>35</v>
      </c>
      <c r="BJ18" s="133">
        <v>25</v>
      </c>
      <c r="BK18" s="105">
        <f t="shared" si="24"/>
        <v>0.7142857142857143</v>
      </c>
      <c r="BL18" s="134" t="s">
        <v>182</v>
      </c>
      <c r="BM18" s="147">
        <v>0</v>
      </c>
      <c r="BN18" s="134" t="s">
        <v>148</v>
      </c>
      <c r="BO18" s="133">
        <v>8</v>
      </c>
      <c r="BP18" s="133">
        <v>5</v>
      </c>
      <c r="BQ18" s="105">
        <f t="shared" si="25"/>
        <v>0.625</v>
      </c>
      <c r="BR18" s="134" t="s">
        <v>182</v>
      </c>
      <c r="BS18" s="147">
        <v>0</v>
      </c>
      <c r="BT18" s="134" t="s">
        <v>148</v>
      </c>
      <c r="BU18" s="133">
        <v>0</v>
      </c>
      <c r="BV18" s="133">
        <v>0</v>
      </c>
      <c r="BW18" s="105" t="str">
        <f t="shared" si="26"/>
        <v/>
      </c>
      <c r="BX18" s="134" t="s">
        <v>148</v>
      </c>
      <c r="BY18" s="147">
        <v>0</v>
      </c>
      <c r="BZ18" s="134" t="s">
        <v>148</v>
      </c>
      <c r="CA18" s="133">
        <v>1</v>
      </c>
      <c r="CB18" s="133">
        <v>1</v>
      </c>
      <c r="CC18" s="105">
        <f t="shared" si="27"/>
        <v>1</v>
      </c>
      <c r="CD18" s="134" t="s">
        <v>148</v>
      </c>
      <c r="CE18" s="147">
        <v>0</v>
      </c>
      <c r="CF18" s="134" t="s">
        <v>148</v>
      </c>
      <c r="CG18" s="133">
        <v>2</v>
      </c>
      <c r="CH18" s="133">
        <v>1</v>
      </c>
      <c r="CI18" s="105">
        <f t="shared" si="28"/>
        <v>0.5</v>
      </c>
      <c r="CJ18" s="134" t="s">
        <v>183</v>
      </c>
      <c r="CK18" s="147">
        <v>0</v>
      </c>
      <c r="CL18" s="134" t="s">
        <v>148</v>
      </c>
      <c r="CM18" s="133">
        <v>1</v>
      </c>
      <c r="CN18" s="133">
        <v>1</v>
      </c>
      <c r="CO18" s="105">
        <f t="shared" si="29"/>
        <v>1</v>
      </c>
      <c r="CP18" s="134" t="s">
        <v>148</v>
      </c>
      <c r="CQ18" s="147">
        <v>0</v>
      </c>
      <c r="CR18" s="134" t="s">
        <v>148</v>
      </c>
      <c r="CS18" s="133">
        <v>7</v>
      </c>
      <c r="CT18" s="133">
        <v>3</v>
      </c>
      <c r="CU18" s="105">
        <f t="shared" si="30"/>
        <v>0.42857142857142855</v>
      </c>
      <c r="CV18" s="134" t="s">
        <v>184</v>
      </c>
      <c r="CW18" s="147">
        <v>3</v>
      </c>
      <c r="CX18" s="134" t="s">
        <v>185</v>
      </c>
      <c r="CY18" s="133">
        <v>1</v>
      </c>
      <c r="CZ18" s="133">
        <v>1</v>
      </c>
      <c r="DA18" s="105">
        <f t="shared" si="31"/>
        <v>1</v>
      </c>
      <c r="DB18" s="134" t="s">
        <v>148</v>
      </c>
      <c r="DC18" s="147">
        <v>0</v>
      </c>
      <c r="DD18" s="134" t="s">
        <v>148</v>
      </c>
      <c r="DE18" s="133">
        <v>0</v>
      </c>
      <c r="DF18" s="133">
        <v>0</v>
      </c>
      <c r="DG18" s="105" t="str">
        <f t="shared" si="32"/>
        <v/>
      </c>
      <c r="DH18" s="134" t="s">
        <v>148</v>
      </c>
      <c r="DI18" s="147">
        <v>0</v>
      </c>
      <c r="DJ18" s="134" t="s">
        <v>148</v>
      </c>
      <c r="DK18" s="133">
        <v>3</v>
      </c>
      <c r="DL18" s="133">
        <v>3</v>
      </c>
      <c r="DM18" s="105">
        <f t="shared" si="33"/>
        <v>1</v>
      </c>
      <c r="DN18" s="134" t="s">
        <v>148</v>
      </c>
      <c r="DO18" s="147">
        <v>0</v>
      </c>
      <c r="DP18" s="134" t="s">
        <v>148</v>
      </c>
      <c r="DQ18" s="133">
        <v>96</v>
      </c>
      <c r="DR18" s="133">
        <v>96</v>
      </c>
      <c r="DS18" s="105">
        <f t="shared" si="34"/>
        <v>1</v>
      </c>
      <c r="DT18" s="134" t="s">
        <v>148</v>
      </c>
      <c r="DU18" s="147">
        <v>0</v>
      </c>
      <c r="DV18" s="134" t="s">
        <v>148</v>
      </c>
      <c r="DW18" s="133">
        <v>10</v>
      </c>
      <c r="DX18" s="133">
        <v>7</v>
      </c>
      <c r="DY18" s="105">
        <f t="shared" si="35"/>
        <v>0.7</v>
      </c>
      <c r="DZ18" s="134" t="s">
        <v>186</v>
      </c>
      <c r="EA18" s="147">
        <v>0</v>
      </c>
      <c r="EB18" s="134" t="s">
        <v>148</v>
      </c>
      <c r="EC18" s="133">
        <v>15</v>
      </c>
      <c r="ED18" s="133">
        <v>11</v>
      </c>
      <c r="EE18" s="105">
        <f t="shared" si="36"/>
        <v>0.73333333333333328</v>
      </c>
      <c r="EF18" s="134" t="s">
        <v>187</v>
      </c>
      <c r="EG18" s="147">
        <v>0</v>
      </c>
      <c r="EH18" s="134" t="s">
        <v>148</v>
      </c>
      <c r="EI18" s="133">
        <v>24</v>
      </c>
      <c r="EJ18" s="133">
        <v>18</v>
      </c>
      <c r="EK18" s="105">
        <f t="shared" si="37"/>
        <v>0.75</v>
      </c>
      <c r="EL18" s="134" t="s">
        <v>188</v>
      </c>
      <c r="EM18" s="147">
        <v>6</v>
      </c>
      <c r="EN18" s="134" t="s">
        <v>189</v>
      </c>
      <c r="EO18" s="133">
        <v>21</v>
      </c>
      <c r="EP18" s="133">
        <v>11</v>
      </c>
      <c r="EQ18" s="105">
        <f t="shared" si="38"/>
        <v>0.52380952380952384</v>
      </c>
      <c r="ER18" s="134" t="s">
        <v>190</v>
      </c>
      <c r="ES18" s="147">
        <v>4</v>
      </c>
      <c r="ET18" s="134" t="s">
        <v>189</v>
      </c>
      <c r="EU18" s="133">
        <v>51</v>
      </c>
      <c r="EV18" s="133">
        <v>2</v>
      </c>
      <c r="EW18" s="105">
        <f t="shared" si="39"/>
        <v>3.9215686274509803E-2</v>
      </c>
      <c r="EX18" s="134" t="s">
        <v>191</v>
      </c>
      <c r="EY18" s="147">
        <v>49</v>
      </c>
      <c r="EZ18" s="134" t="s">
        <v>192</v>
      </c>
      <c r="FA18" s="133">
        <v>17</v>
      </c>
      <c r="FB18" s="133">
        <v>11</v>
      </c>
      <c r="FC18" s="105">
        <f t="shared" si="40"/>
        <v>0.6470588235294118</v>
      </c>
      <c r="FD18" s="134" t="s">
        <v>193</v>
      </c>
      <c r="FE18" s="147">
        <v>4</v>
      </c>
      <c r="FF18" s="134" t="s">
        <v>192</v>
      </c>
      <c r="FG18" s="133">
        <v>5</v>
      </c>
      <c r="FH18" s="133">
        <v>3</v>
      </c>
      <c r="FI18" s="105">
        <f t="shared" si="41"/>
        <v>0.6</v>
      </c>
      <c r="FJ18" s="134" t="s">
        <v>194</v>
      </c>
      <c r="FK18" s="147">
        <v>2</v>
      </c>
      <c r="FL18" s="134" t="s">
        <v>185</v>
      </c>
      <c r="FM18" s="133">
        <v>0</v>
      </c>
      <c r="FN18" s="133">
        <v>0</v>
      </c>
      <c r="FO18" s="105" t="str">
        <f t="shared" si="42"/>
        <v/>
      </c>
      <c r="FP18" s="134" t="s">
        <v>148</v>
      </c>
      <c r="FQ18" s="147">
        <v>0</v>
      </c>
      <c r="FR18" s="134" t="s">
        <v>148</v>
      </c>
      <c r="FS18" s="133">
        <v>0</v>
      </c>
      <c r="FT18" s="133">
        <v>0</v>
      </c>
      <c r="FU18" s="105" t="str">
        <f t="shared" si="43"/>
        <v/>
      </c>
      <c r="FV18" s="134" t="s">
        <v>148</v>
      </c>
      <c r="FW18" s="147">
        <v>0</v>
      </c>
      <c r="FX18" s="134" t="s">
        <v>148</v>
      </c>
      <c r="FY18" s="133">
        <v>35</v>
      </c>
      <c r="FZ18" s="133">
        <v>15</v>
      </c>
      <c r="GA18" s="105">
        <f t="shared" si="44"/>
        <v>0.42857142857142855</v>
      </c>
      <c r="GB18" s="134" t="s">
        <v>195</v>
      </c>
      <c r="GC18" s="147">
        <v>12</v>
      </c>
      <c r="GD18" s="134" t="s">
        <v>189</v>
      </c>
      <c r="GE18" s="133">
        <v>4</v>
      </c>
      <c r="GF18" s="133">
        <v>1</v>
      </c>
      <c r="GG18" s="105">
        <f t="shared" si="45"/>
        <v>0.25</v>
      </c>
      <c r="GH18" s="134" t="s">
        <v>196</v>
      </c>
      <c r="GI18" s="147">
        <v>3</v>
      </c>
      <c r="GJ18" s="134" t="s">
        <v>185</v>
      </c>
      <c r="GK18" s="134" t="s">
        <v>154</v>
      </c>
      <c r="GL18" s="134" t="s">
        <v>164</v>
      </c>
      <c r="GM18" s="134" t="s">
        <v>64</v>
      </c>
      <c r="GN18" s="136" t="s">
        <v>62</v>
      </c>
      <c r="GO18" s="136" t="s">
        <v>277</v>
      </c>
      <c r="GP18" s="134" t="s">
        <v>63</v>
      </c>
      <c r="GQ18" s="134" t="s">
        <v>150</v>
      </c>
      <c r="GR18" s="158" t="s">
        <v>62</v>
      </c>
      <c r="GS18" s="158" t="s">
        <v>62</v>
      </c>
      <c r="GT18" s="158" t="s">
        <v>62</v>
      </c>
      <c r="GU18" s="158" t="s">
        <v>148</v>
      </c>
      <c r="GV18" s="134" t="s">
        <v>148</v>
      </c>
      <c r="GW18" s="158" t="s">
        <v>62</v>
      </c>
      <c r="GX18" s="158" t="s">
        <v>62</v>
      </c>
      <c r="GY18" s="158" t="s">
        <v>62</v>
      </c>
      <c r="GZ18" s="158" t="s">
        <v>62</v>
      </c>
      <c r="HA18" s="158" t="s">
        <v>62</v>
      </c>
      <c r="HB18" s="158" t="s">
        <v>62</v>
      </c>
      <c r="HC18" s="128" t="s">
        <v>354</v>
      </c>
      <c r="HD18" s="127"/>
      <c r="HE18" s="169" t="s">
        <v>62</v>
      </c>
      <c r="HF18" s="169" t="s">
        <v>164</v>
      </c>
      <c r="HG18" s="169" t="s">
        <v>164</v>
      </c>
      <c r="HH18" s="169" t="s">
        <v>62</v>
      </c>
      <c r="HI18" s="169" t="s">
        <v>164</v>
      </c>
      <c r="HJ18" s="169"/>
    </row>
    <row r="19" spans="1:218" s="591" customFormat="1" ht="123.75" customHeight="1">
      <c r="A19" s="593" t="s">
        <v>396</v>
      </c>
      <c r="B19" s="594" t="s">
        <v>197</v>
      </c>
      <c r="C19" s="594" t="s">
        <v>198</v>
      </c>
      <c r="D19" s="138" t="s">
        <v>62</v>
      </c>
      <c r="E19" s="138" t="s">
        <v>148</v>
      </c>
      <c r="F19" s="139" t="s">
        <v>148</v>
      </c>
      <c r="G19" s="138" t="s">
        <v>62</v>
      </c>
      <c r="H19" s="138" t="s">
        <v>148</v>
      </c>
      <c r="I19" s="139" t="s">
        <v>148</v>
      </c>
      <c r="J19" s="138" t="s">
        <v>62</v>
      </c>
      <c r="K19" s="138" t="s">
        <v>148</v>
      </c>
      <c r="L19" s="139" t="s">
        <v>148</v>
      </c>
      <c r="M19" s="138" t="s">
        <v>62</v>
      </c>
      <c r="N19" s="138" t="s">
        <v>148</v>
      </c>
      <c r="O19" s="139" t="s">
        <v>148</v>
      </c>
      <c r="P19" s="138" t="s">
        <v>62</v>
      </c>
      <c r="Q19" s="138" t="s">
        <v>148</v>
      </c>
      <c r="R19" s="139" t="s">
        <v>148</v>
      </c>
      <c r="S19" s="138" t="s">
        <v>277</v>
      </c>
      <c r="T19" s="138" t="s">
        <v>62</v>
      </c>
      <c r="U19" s="139" t="s">
        <v>403</v>
      </c>
      <c r="V19" s="138" t="s">
        <v>62</v>
      </c>
      <c r="W19" s="138" t="s">
        <v>148</v>
      </c>
      <c r="X19" s="139" t="s">
        <v>148</v>
      </c>
      <c r="Y19" s="138" t="s">
        <v>62</v>
      </c>
      <c r="Z19" s="138" t="s">
        <v>148</v>
      </c>
      <c r="AA19" s="139" t="s">
        <v>148</v>
      </c>
      <c r="AB19" s="138" t="s">
        <v>62</v>
      </c>
      <c r="AC19" s="138" t="s">
        <v>148</v>
      </c>
      <c r="AD19" s="139" t="s">
        <v>148</v>
      </c>
      <c r="AE19" s="163" t="s">
        <v>354</v>
      </c>
      <c r="AF19" s="163" t="s">
        <v>62</v>
      </c>
      <c r="AG19" s="152" t="s">
        <v>199</v>
      </c>
      <c r="AH19" s="138" t="s">
        <v>62</v>
      </c>
      <c r="AI19" s="138" t="s">
        <v>148</v>
      </c>
      <c r="AJ19" s="139" t="s">
        <v>148</v>
      </c>
      <c r="AK19" s="138" t="s">
        <v>62</v>
      </c>
      <c r="AL19" s="138" t="s">
        <v>148</v>
      </c>
      <c r="AM19" s="139" t="s">
        <v>148</v>
      </c>
      <c r="AN19" s="138" t="s">
        <v>62</v>
      </c>
      <c r="AO19" s="138" t="s">
        <v>148</v>
      </c>
      <c r="AP19" s="139" t="s">
        <v>148</v>
      </c>
      <c r="AQ19" s="138" t="s">
        <v>62</v>
      </c>
      <c r="AR19" s="138" t="s">
        <v>148</v>
      </c>
      <c r="AS19" s="139" t="s">
        <v>148</v>
      </c>
      <c r="AT19" s="138" t="s">
        <v>62</v>
      </c>
      <c r="AU19" s="138" t="s">
        <v>148</v>
      </c>
      <c r="AV19" s="139" t="s">
        <v>148</v>
      </c>
      <c r="AW19" s="138" t="s">
        <v>62</v>
      </c>
      <c r="AX19" s="138" t="s">
        <v>148</v>
      </c>
      <c r="AY19" s="139" t="s">
        <v>148</v>
      </c>
      <c r="AZ19" s="138" t="s">
        <v>62</v>
      </c>
      <c r="BA19" s="138" t="s">
        <v>148</v>
      </c>
      <c r="BB19" s="139" t="s">
        <v>148</v>
      </c>
      <c r="BC19" s="145">
        <v>16</v>
      </c>
      <c r="BD19" s="145">
        <v>16</v>
      </c>
      <c r="BE19" s="595">
        <f t="shared" si="23"/>
        <v>1</v>
      </c>
      <c r="BF19" s="139" t="s">
        <v>148</v>
      </c>
      <c r="BG19" s="148">
        <v>0</v>
      </c>
      <c r="BH19" s="139" t="s">
        <v>148</v>
      </c>
      <c r="BI19" s="145">
        <v>90</v>
      </c>
      <c r="BJ19" s="145">
        <v>5</v>
      </c>
      <c r="BK19" s="595">
        <f t="shared" si="24"/>
        <v>5.5555555555555552E-2</v>
      </c>
      <c r="BL19" s="139" t="s">
        <v>200</v>
      </c>
      <c r="BM19" s="148">
        <v>0</v>
      </c>
      <c r="BN19" s="139" t="s">
        <v>148</v>
      </c>
      <c r="BO19" s="145">
        <v>14</v>
      </c>
      <c r="BP19" s="145">
        <v>14</v>
      </c>
      <c r="BQ19" s="595">
        <f t="shared" si="25"/>
        <v>1</v>
      </c>
      <c r="BR19" s="139" t="s">
        <v>148</v>
      </c>
      <c r="BS19" s="148">
        <v>0</v>
      </c>
      <c r="BT19" s="139" t="s">
        <v>148</v>
      </c>
      <c r="BU19" s="145">
        <v>0</v>
      </c>
      <c r="BV19" s="145">
        <v>0</v>
      </c>
      <c r="BW19" s="595" t="str">
        <f t="shared" si="26"/>
        <v/>
      </c>
      <c r="BX19" s="139" t="s">
        <v>148</v>
      </c>
      <c r="BY19" s="148">
        <v>0</v>
      </c>
      <c r="BZ19" s="139" t="s">
        <v>148</v>
      </c>
      <c r="CA19" s="145">
        <v>2</v>
      </c>
      <c r="CB19" s="145">
        <v>2</v>
      </c>
      <c r="CC19" s="595">
        <f t="shared" si="27"/>
        <v>1</v>
      </c>
      <c r="CD19" s="139" t="s">
        <v>148</v>
      </c>
      <c r="CE19" s="148">
        <v>0</v>
      </c>
      <c r="CF19" s="139" t="s">
        <v>148</v>
      </c>
      <c r="CG19" s="145">
        <v>0</v>
      </c>
      <c r="CH19" s="145">
        <v>0</v>
      </c>
      <c r="CI19" s="595" t="str">
        <f t="shared" si="28"/>
        <v/>
      </c>
      <c r="CJ19" s="139" t="s">
        <v>148</v>
      </c>
      <c r="CK19" s="148">
        <v>0</v>
      </c>
      <c r="CL19" s="139" t="s">
        <v>148</v>
      </c>
      <c r="CM19" s="145">
        <v>0</v>
      </c>
      <c r="CN19" s="145">
        <v>0</v>
      </c>
      <c r="CO19" s="595" t="str">
        <f t="shared" si="29"/>
        <v/>
      </c>
      <c r="CP19" s="139" t="s">
        <v>148</v>
      </c>
      <c r="CQ19" s="148">
        <v>0</v>
      </c>
      <c r="CR19" s="139" t="s">
        <v>148</v>
      </c>
      <c r="CS19" s="145">
        <v>0</v>
      </c>
      <c r="CT19" s="145">
        <v>0</v>
      </c>
      <c r="CU19" s="595" t="str">
        <f t="shared" si="30"/>
        <v/>
      </c>
      <c r="CV19" s="139" t="s">
        <v>148</v>
      </c>
      <c r="CW19" s="148">
        <v>0</v>
      </c>
      <c r="CX19" s="139" t="s">
        <v>148</v>
      </c>
      <c r="CY19" s="145">
        <v>1</v>
      </c>
      <c r="CZ19" s="145">
        <v>1</v>
      </c>
      <c r="DA19" s="595">
        <f t="shared" si="31"/>
        <v>1</v>
      </c>
      <c r="DB19" s="139" t="s">
        <v>148</v>
      </c>
      <c r="DC19" s="148">
        <v>0</v>
      </c>
      <c r="DD19" s="139" t="s">
        <v>148</v>
      </c>
      <c r="DE19" s="145">
        <v>0</v>
      </c>
      <c r="DF19" s="145">
        <v>0</v>
      </c>
      <c r="DG19" s="595" t="str">
        <f t="shared" si="32"/>
        <v/>
      </c>
      <c r="DH19" s="139" t="s">
        <v>148</v>
      </c>
      <c r="DI19" s="148">
        <v>0</v>
      </c>
      <c r="DJ19" s="139" t="s">
        <v>148</v>
      </c>
      <c r="DK19" s="145">
        <v>21</v>
      </c>
      <c r="DL19" s="145">
        <v>9</v>
      </c>
      <c r="DM19" s="595">
        <f t="shared" si="33"/>
        <v>0.42857142857142855</v>
      </c>
      <c r="DN19" s="139" t="s">
        <v>451</v>
      </c>
      <c r="DO19" s="148">
        <v>0</v>
      </c>
      <c r="DP19" s="139" t="s">
        <v>148</v>
      </c>
      <c r="DQ19" s="145">
        <v>257</v>
      </c>
      <c r="DR19" s="145">
        <v>0</v>
      </c>
      <c r="DS19" s="595">
        <f t="shared" si="34"/>
        <v>0</v>
      </c>
      <c r="DT19" s="139" t="s">
        <v>201</v>
      </c>
      <c r="DU19" s="148">
        <v>0</v>
      </c>
      <c r="DV19" s="139" t="s">
        <v>148</v>
      </c>
      <c r="DW19" s="145">
        <v>8</v>
      </c>
      <c r="DX19" s="145">
        <v>8</v>
      </c>
      <c r="DY19" s="595">
        <f t="shared" si="35"/>
        <v>1</v>
      </c>
      <c r="DZ19" s="139" t="s">
        <v>148</v>
      </c>
      <c r="EA19" s="148">
        <v>0</v>
      </c>
      <c r="EB19" s="139" t="s">
        <v>148</v>
      </c>
      <c r="EC19" s="145">
        <v>5</v>
      </c>
      <c r="ED19" s="145">
        <v>2</v>
      </c>
      <c r="EE19" s="595">
        <f t="shared" si="36"/>
        <v>0.4</v>
      </c>
      <c r="EF19" s="139" t="s">
        <v>202</v>
      </c>
      <c r="EG19" s="148">
        <v>2</v>
      </c>
      <c r="EH19" s="139" t="s">
        <v>203</v>
      </c>
      <c r="EI19" s="145">
        <v>21</v>
      </c>
      <c r="EJ19" s="145">
        <v>5</v>
      </c>
      <c r="EK19" s="595">
        <f t="shared" si="37"/>
        <v>0.23809523809523808</v>
      </c>
      <c r="EL19" s="139" t="s">
        <v>204</v>
      </c>
      <c r="EM19" s="148">
        <v>16</v>
      </c>
      <c r="EN19" s="139" t="s">
        <v>452</v>
      </c>
      <c r="EO19" s="145">
        <v>8</v>
      </c>
      <c r="EP19" s="145">
        <v>0</v>
      </c>
      <c r="EQ19" s="595">
        <f t="shared" si="38"/>
        <v>0</v>
      </c>
      <c r="ER19" s="139" t="s">
        <v>205</v>
      </c>
      <c r="ES19" s="148">
        <v>8</v>
      </c>
      <c r="ET19" s="139" t="s">
        <v>205</v>
      </c>
      <c r="EU19" s="145">
        <v>0</v>
      </c>
      <c r="EV19" s="145">
        <v>0</v>
      </c>
      <c r="EW19" s="595" t="str">
        <f t="shared" si="39"/>
        <v/>
      </c>
      <c r="EX19" s="139" t="s">
        <v>148</v>
      </c>
      <c r="EY19" s="148">
        <v>0</v>
      </c>
      <c r="EZ19" s="139" t="s">
        <v>148</v>
      </c>
      <c r="FA19" s="145">
        <v>19</v>
      </c>
      <c r="FB19" s="145">
        <v>19</v>
      </c>
      <c r="FC19" s="595">
        <f t="shared" si="40"/>
        <v>1</v>
      </c>
      <c r="FD19" s="139" t="s">
        <v>148</v>
      </c>
      <c r="FE19" s="148">
        <v>0</v>
      </c>
      <c r="FF19" s="139" t="s">
        <v>148</v>
      </c>
      <c r="FG19" s="145">
        <v>2</v>
      </c>
      <c r="FH19" s="145">
        <v>2</v>
      </c>
      <c r="FI19" s="595">
        <f t="shared" si="41"/>
        <v>1</v>
      </c>
      <c r="FJ19" s="139" t="s">
        <v>148</v>
      </c>
      <c r="FK19" s="148">
        <v>0</v>
      </c>
      <c r="FL19" s="139" t="s">
        <v>148</v>
      </c>
      <c r="FM19" s="145">
        <v>1</v>
      </c>
      <c r="FN19" s="145">
        <v>0</v>
      </c>
      <c r="FO19" s="595">
        <f t="shared" si="42"/>
        <v>0</v>
      </c>
      <c r="FP19" s="139" t="s">
        <v>489</v>
      </c>
      <c r="FQ19" s="148">
        <v>1</v>
      </c>
      <c r="FR19" s="139" t="s">
        <v>453</v>
      </c>
      <c r="FS19" s="145">
        <v>0</v>
      </c>
      <c r="FT19" s="145">
        <v>0</v>
      </c>
      <c r="FU19" s="595" t="str">
        <f t="shared" si="43"/>
        <v/>
      </c>
      <c r="FV19" s="139" t="s">
        <v>148</v>
      </c>
      <c r="FW19" s="148">
        <v>0</v>
      </c>
      <c r="FX19" s="139" t="s">
        <v>148</v>
      </c>
      <c r="FY19" s="145">
        <v>19</v>
      </c>
      <c r="FZ19" s="145">
        <v>19</v>
      </c>
      <c r="GA19" s="595">
        <f t="shared" si="44"/>
        <v>1</v>
      </c>
      <c r="GB19" s="139" t="s">
        <v>148</v>
      </c>
      <c r="GC19" s="148">
        <v>0</v>
      </c>
      <c r="GD19" s="139" t="s">
        <v>148</v>
      </c>
      <c r="GE19" s="145">
        <v>16</v>
      </c>
      <c r="GF19" s="145">
        <v>16</v>
      </c>
      <c r="GG19" s="595">
        <f t="shared" si="45"/>
        <v>1</v>
      </c>
      <c r="GH19" s="139" t="s">
        <v>148</v>
      </c>
      <c r="GI19" s="148">
        <v>0</v>
      </c>
      <c r="GJ19" s="139" t="s">
        <v>148</v>
      </c>
      <c r="GK19" s="139" t="s">
        <v>169</v>
      </c>
      <c r="GL19" s="139" t="s">
        <v>164</v>
      </c>
      <c r="GM19" s="139" t="s">
        <v>64</v>
      </c>
      <c r="GN19" s="138" t="s">
        <v>148</v>
      </c>
      <c r="GO19" s="138" t="s">
        <v>277</v>
      </c>
      <c r="GP19" s="139" t="s">
        <v>161</v>
      </c>
      <c r="GQ19" s="139" t="s">
        <v>150</v>
      </c>
      <c r="GR19" s="159" t="s">
        <v>148</v>
      </c>
      <c r="GS19" s="159" t="s">
        <v>148</v>
      </c>
      <c r="GT19" s="159" t="s">
        <v>148</v>
      </c>
      <c r="GU19" s="159" t="s">
        <v>148</v>
      </c>
      <c r="GV19" s="139" t="s">
        <v>465</v>
      </c>
      <c r="GW19" s="159" t="s">
        <v>148</v>
      </c>
      <c r="GX19" s="159" t="s">
        <v>148</v>
      </c>
      <c r="GY19" s="159" t="s">
        <v>148</v>
      </c>
      <c r="GZ19" s="159" t="s">
        <v>148</v>
      </c>
      <c r="HA19" s="159" t="s">
        <v>148</v>
      </c>
      <c r="HB19" s="159" t="s">
        <v>148</v>
      </c>
      <c r="HC19" s="130" t="s">
        <v>354</v>
      </c>
      <c r="HD19" s="126"/>
      <c r="HE19" s="129" t="s">
        <v>62</v>
      </c>
      <c r="HF19" s="129" t="s">
        <v>164</v>
      </c>
      <c r="HG19" s="129" t="s">
        <v>164</v>
      </c>
      <c r="HH19" s="129" t="s">
        <v>62</v>
      </c>
      <c r="HI19" s="129" t="s">
        <v>164</v>
      </c>
      <c r="HJ19" s="129"/>
    </row>
    <row r="20" spans="1:218" s="599" customFormat="1" ht="135" customHeight="1">
      <c r="A20" s="596" t="s">
        <v>397</v>
      </c>
      <c r="B20" s="597" t="s">
        <v>206</v>
      </c>
      <c r="C20" s="597" t="s">
        <v>207</v>
      </c>
      <c r="D20" s="140" t="s">
        <v>62</v>
      </c>
      <c r="E20" s="140" t="s">
        <v>148</v>
      </c>
      <c r="F20" s="131" t="s">
        <v>148</v>
      </c>
      <c r="G20" s="140" t="s">
        <v>62</v>
      </c>
      <c r="H20" s="140" t="s">
        <v>148</v>
      </c>
      <c r="I20" s="131" t="s">
        <v>148</v>
      </c>
      <c r="J20" s="140" t="s">
        <v>62</v>
      </c>
      <c r="K20" s="140" t="s">
        <v>148</v>
      </c>
      <c r="L20" s="131" t="s">
        <v>148</v>
      </c>
      <c r="M20" s="140" t="s">
        <v>277</v>
      </c>
      <c r="N20" s="140" t="s">
        <v>62</v>
      </c>
      <c r="O20" s="131" t="s">
        <v>454</v>
      </c>
      <c r="P20" s="140" t="s">
        <v>277</v>
      </c>
      <c r="Q20" s="140" t="s">
        <v>62</v>
      </c>
      <c r="R20" s="131" t="s">
        <v>278</v>
      </c>
      <c r="S20" s="140" t="s">
        <v>62</v>
      </c>
      <c r="T20" s="140" t="s">
        <v>148</v>
      </c>
      <c r="U20" s="131" t="s">
        <v>148</v>
      </c>
      <c r="V20" s="140" t="s">
        <v>62</v>
      </c>
      <c r="W20" s="140" t="s">
        <v>148</v>
      </c>
      <c r="X20" s="131" t="s">
        <v>148</v>
      </c>
      <c r="Y20" s="140" t="s">
        <v>62</v>
      </c>
      <c r="Z20" s="140" t="s">
        <v>148</v>
      </c>
      <c r="AA20" s="131" t="s">
        <v>148</v>
      </c>
      <c r="AB20" s="140" t="s">
        <v>62</v>
      </c>
      <c r="AC20" s="140" t="s">
        <v>148</v>
      </c>
      <c r="AD20" s="131" t="s">
        <v>148</v>
      </c>
      <c r="AE20" s="106" t="s">
        <v>354</v>
      </c>
      <c r="AF20" s="106" t="s">
        <v>62</v>
      </c>
      <c r="AG20" s="141" t="s">
        <v>513</v>
      </c>
      <c r="AH20" s="140" t="s">
        <v>62</v>
      </c>
      <c r="AI20" s="140" t="s">
        <v>148</v>
      </c>
      <c r="AJ20" s="131" t="s">
        <v>148</v>
      </c>
      <c r="AK20" s="140" t="s">
        <v>62</v>
      </c>
      <c r="AL20" s="140" t="s">
        <v>148</v>
      </c>
      <c r="AM20" s="131" t="s">
        <v>148</v>
      </c>
      <c r="AN20" s="140" t="s">
        <v>62</v>
      </c>
      <c r="AO20" s="140"/>
      <c r="AP20" s="131"/>
      <c r="AQ20" s="140" t="s">
        <v>62</v>
      </c>
      <c r="AR20" s="140" t="s">
        <v>148</v>
      </c>
      <c r="AS20" s="131" t="s">
        <v>148</v>
      </c>
      <c r="AT20" s="140" t="s">
        <v>62</v>
      </c>
      <c r="AU20" s="140" t="s">
        <v>148</v>
      </c>
      <c r="AV20" s="131" t="s">
        <v>148</v>
      </c>
      <c r="AW20" s="140" t="s">
        <v>62</v>
      </c>
      <c r="AX20" s="140" t="s">
        <v>148</v>
      </c>
      <c r="AY20" s="131" t="s">
        <v>148</v>
      </c>
      <c r="AZ20" s="140" t="s">
        <v>62</v>
      </c>
      <c r="BA20" s="140" t="s">
        <v>148</v>
      </c>
      <c r="BB20" s="131" t="s">
        <v>148</v>
      </c>
      <c r="BC20" s="146">
        <v>19</v>
      </c>
      <c r="BD20" s="146">
        <v>17</v>
      </c>
      <c r="BE20" s="598">
        <f t="shared" si="23"/>
        <v>0.89473684210526316</v>
      </c>
      <c r="BF20" s="143" t="s">
        <v>311</v>
      </c>
      <c r="BG20" s="149">
        <v>1</v>
      </c>
      <c r="BH20" s="143" t="s">
        <v>405</v>
      </c>
      <c r="BI20" s="146">
        <v>24</v>
      </c>
      <c r="BJ20" s="146">
        <v>21</v>
      </c>
      <c r="BK20" s="598">
        <f t="shared" si="24"/>
        <v>0.875</v>
      </c>
      <c r="BL20" s="143" t="s">
        <v>311</v>
      </c>
      <c r="BM20" s="149">
        <v>1</v>
      </c>
      <c r="BN20" s="143" t="s">
        <v>405</v>
      </c>
      <c r="BO20" s="146">
        <v>1</v>
      </c>
      <c r="BP20" s="146">
        <v>1</v>
      </c>
      <c r="BQ20" s="598">
        <f t="shared" si="25"/>
        <v>1</v>
      </c>
      <c r="BR20" s="143" t="s">
        <v>148</v>
      </c>
      <c r="BS20" s="149">
        <v>0</v>
      </c>
      <c r="BT20" s="143" t="s">
        <v>148</v>
      </c>
      <c r="BU20" s="146">
        <v>0</v>
      </c>
      <c r="BV20" s="146">
        <v>0</v>
      </c>
      <c r="BW20" s="598" t="str">
        <f t="shared" si="26"/>
        <v/>
      </c>
      <c r="BX20" s="143" t="s">
        <v>148</v>
      </c>
      <c r="BY20" s="149">
        <v>0</v>
      </c>
      <c r="BZ20" s="143" t="s">
        <v>148</v>
      </c>
      <c r="CA20" s="146">
        <v>1</v>
      </c>
      <c r="CB20" s="146">
        <v>1</v>
      </c>
      <c r="CC20" s="598">
        <f t="shared" si="27"/>
        <v>1</v>
      </c>
      <c r="CD20" s="143" t="s">
        <v>148</v>
      </c>
      <c r="CE20" s="149">
        <v>0</v>
      </c>
      <c r="CF20" s="143" t="s">
        <v>148</v>
      </c>
      <c r="CG20" s="146">
        <v>8</v>
      </c>
      <c r="CH20" s="146">
        <v>8</v>
      </c>
      <c r="CI20" s="598">
        <f t="shared" si="28"/>
        <v>1</v>
      </c>
      <c r="CJ20" s="143" t="s">
        <v>148</v>
      </c>
      <c r="CK20" s="149">
        <v>0</v>
      </c>
      <c r="CL20" s="143" t="s">
        <v>148</v>
      </c>
      <c r="CM20" s="146">
        <v>2</v>
      </c>
      <c r="CN20" s="146">
        <v>2</v>
      </c>
      <c r="CO20" s="598">
        <f t="shared" si="29"/>
        <v>1</v>
      </c>
      <c r="CP20" s="143" t="s">
        <v>148</v>
      </c>
      <c r="CQ20" s="149">
        <v>0</v>
      </c>
      <c r="CR20" s="143" t="s">
        <v>148</v>
      </c>
      <c r="CS20" s="146">
        <v>2</v>
      </c>
      <c r="CT20" s="146">
        <v>2</v>
      </c>
      <c r="CU20" s="598">
        <f t="shared" si="30"/>
        <v>1</v>
      </c>
      <c r="CV20" s="143" t="s">
        <v>148</v>
      </c>
      <c r="CW20" s="149">
        <v>0</v>
      </c>
      <c r="CX20" s="143" t="s">
        <v>148</v>
      </c>
      <c r="CY20" s="146">
        <v>1</v>
      </c>
      <c r="CZ20" s="146">
        <v>1</v>
      </c>
      <c r="DA20" s="598">
        <f t="shared" si="31"/>
        <v>1</v>
      </c>
      <c r="DB20" s="143" t="s">
        <v>148</v>
      </c>
      <c r="DC20" s="149">
        <v>0</v>
      </c>
      <c r="DD20" s="143" t="s">
        <v>148</v>
      </c>
      <c r="DE20" s="146">
        <v>0</v>
      </c>
      <c r="DF20" s="146">
        <v>0</v>
      </c>
      <c r="DG20" s="598" t="str">
        <f t="shared" si="32"/>
        <v/>
      </c>
      <c r="DH20" s="143" t="s">
        <v>148</v>
      </c>
      <c r="DI20" s="149">
        <v>0</v>
      </c>
      <c r="DJ20" s="143" t="s">
        <v>148</v>
      </c>
      <c r="DK20" s="146">
        <v>1</v>
      </c>
      <c r="DL20" s="146">
        <v>1</v>
      </c>
      <c r="DM20" s="598">
        <f t="shared" si="33"/>
        <v>1</v>
      </c>
      <c r="DN20" s="143" t="s">
        <v>148</v>
      </c>
      <c r="DO20" s="149">
        <v>0</v>
      </c>
      <c r="DP20" s="143" t="s">
        <v>148</v>
      </c>
      <c r="DQ20" s="146">
        <v>86</v>
      </c>
      <c r="DR20" s="146">
        <v>0</v>
      </c>
      <c r="DS20" s="598">
        <f t="shared" si="34"/>
        <v>0</v>
      </c>
      <c r="DT20" s="143" t="s">
        <v>410</v>
      </c>
      <c r="DU20" s="149">
        <v>0</v>
      </c>
      <c r="DV20" s="143" t="s">
        <v>148</v>
      </c>
      <c r="DW20" s="146">
        <v>10</v>
      </c>
      <c r="DX20" s="146">
        <v>10</v>
      </c>
      <c r="DY20" s="598">
        <f t="shared" si="35"/>
        <v>1</v>
      </c>
      <c r="DZ20" s="143" t="s">
        <v>148</v>
      </c>
      <c r="EA20" s="149">
        <v>0</v>
      </c>
      <c r="EB20" s="143" t="s">
        <v>148</v>
      </c>
      <c r="EC20" s="146">
        <v>2</v>
      </c>
      <c r="ED20" s="146">
        <v>1</v>
      </c>
      <c r="EE20" s="598">
        <f t="shared" si="36"/>
        <v>0.5</v>
      </c>
      <c r="EF20" s="143" t="s">
        <v>208</v>
      </c>
      <c r="EG20" s="149">
        <v>1</v>
      </c>
      <c r="EH20" s="143" t="s">
        <v>209</v>
      </c>
      <c r="EI20" s="146">
        <v>19</v>
      </c>
      <c r="EJ20" s="146">
        <v>0</v>
      </c>
      <c r="EK20" s="598">
        <f t="shared" si="37"/>
        <v>0</v>
      </c>
      <c r="EL20" s="143" t="s">
        <v>210</v>
      </c>
      <c r="EM20" s="149">
        <v>11</v>
      </c>
      <c r="EN20" s="143" t="s">
        <v>312</v>
      </c>
      <c r="EO20" s="146">
        <v>12</v>
      </c>
      <c r="EP20" s="146">
        <v>6</v>
      </c>
      <c r="EQ20" s="598">
        <f t="shared" si="38"/>
        <v>0.5</v>
      </c>
      <c r="ER20" s="143" t="s">
        <v>313</v>
      </c>
      <c r="ES20" s="149">
        <v>6</v>
      </c>
      <c r="ET20" s="143" t="s">
        <v>314</v>
      </c>
      <c r="EU20" s="146">
        <v>30</v>
      </c>
      <c r="EV20" s="146">
        <v>26</v>
      </c>
      <c r="EW20" s="598">
        <f t="shared" si="39"/>
        <v>0.8666666666666667</v>
      </c>
      <c r="EX20" s="143" t="s">
        <v>315</v>
      </c>
      <c r="EY20" s="149">
        <v>3</v>
      </c>
      <c r="EZ20" s="143" t="s">
        <v>316</v>
      </c>
      <c r="FA20" s="146">
        <v>9</v>
      </c>
      <c r="FB20" s="146">
        <v>9</v>
      </c>
      <c r="FC20" s="598">
        <f t="shared" si="40"/>
        <v>1</v>
      </c>
      <c r="FD20" s="143" t="s">
        <v>148</v>
      </c>
      <c r="FE20" s="149">
        <v>0</v>
      </c>
      <c r="FF20" s="143" t="s">
        <v>148</v>
      </c>
      <c r="FG20" s="146">
        <v>9</v>
      </c>
      <c r="FH20" s="146">
        <v>5</v>
      </c>
      <c r="FI20" s="598">
        <f t="shared" si="41"/>
        <v>0.55555555555555558</v>
      </c>
      <c r="FJ20" s="143" t="s">
        <v>211</v>
      </c>
      <c r="FK20" s="149">
        <v>4</v>
      </c>
      <c r="FL20" s="143" t="s">
        <v>212</v>
      </c>
      <c r="FM20" s="146">
        <v>7</v>
      </c>
      <c r="FN20" s="146">
        <v>7</v>
      </c>
      <c r="FO20" s="598">
        <f t="shared" si="42"/>
        <v>1</v>
      </c>
      <c r="FP20" s="143" t="s">
        <v>148</v>
      </c>
      <c r="FQ20" s="149">
        <v>0</v>
      </c>
      <c r="FR20" s="143" t="s">
        <v>148</v>
      </c>
      <c r="FS20" s="146">
        <v>24</v>
      </c>
      <c r="FT20" s="146">
        <v>24</v>
      </c>
      <c r="FU20" s="598">
        <f t="shared" si="43"/>
        <v>1</v>
      </c>
      <c r="FV20" s="143" t="s">
        <v>148</v>
      </c>
      <c r="FW20" s="149">
        <v>0</v>
      </c>
      <c r="FX20" s="143" t="s">
        <v>148</v>
      </c>
      <c r="FY20" s="146">
        <v>26</v>
      </c>
      <c r="FZ20" s="146">
        <v>26</v>
      </c>
      <c r="GA20" s="598">
        <f t="shared" si="44"/>
        <v>1</v>
      </c>
      <c r="GB20" s="143" t="s">
        <v>148</v>
      </c>
      <c r="GC20" s="149">
        <v>0</v>
      </c>
      <c r="GD20" s="143" t="s">
        <v>148</v>
      </c>
      <c r="GE20" s="146">
        <v>99</v>
      </c>
      <c r="GF20" s="146">
        <v>99</v>
      </c>
      <c r="GG20" s="598">
        <f t="shared" si="45"/>
        <v>1</v>
      </c>
      <c r="GH20" s="143" t="s">
        <v>148</v>
      </c>
      <c r="GI20" s="149">
        <v>0</v>
      </c>
      <c r="GJ20" s="143" t="s">
        <v>148</v>
      </c>
      <c r="GK20" s="131" t="s">
        <v>169</v>
      </c>
      <c r="GL20" s="131"/>
      <c r="GM20" s="131" t="s">
        <v>64</v>
      </c>
      <c r="GN20" s="140" t="s">
        <v>148</v>
      </c>
      <c r="GO20" s="140" t="s">
        <v>277</v>
      </c>
      <c r="GP20" s="131" t="s">
        <v>63</v>
      </c>
      <c r="GQ20" s="131" t="s">
        <v>64</v>
      </c>
      <c r="GR20" s="160" t="s">
        <v>62</v>
      </c>
      <c r="GS20" s="160" t="s">
        <v>148</v>
      </c>
      <c r="GT20" s="160" t="s">
        <v>62</v>
      </c>
      <c r="GU20" s="160" t="s">
        <v>62</v>
      </c>
      <c r="GV20" s="131" t="s">
        <v>148</v>
      </c>
      <c r="GW20" s="160" t="s">
        <v>62</v>
      </c>
      <c r="GX20" s="160" t="s">
        <v>62</v>
      </c>
      <c r="GY20" s="160" t="s">
        <v>62</v>
      </c>
      <c r="GZ20" s="160" t="s">
        <v>62</v>
      </c>
      <c r="HA20" s="160" t="s">
        <v>148</v>
      </c>
      <c r="HB20" s="160" t="s">
        <v>148</v>
      </c>
      <c r="HC20" s="128" t="s">
        <v>354</v>
      </c>
      <c r="HD20" s="127"/>
      <c r="HE20" s="132" t="s">
        <v>62</v>
      </c>
      <c r="HF20" s="132" t="s">
        <v>164</v>
      </c>
      <c r="HG20" s="132" t="s">
        <v>164</v>
      </c>
      <c r="HH20" s="132" t="s">
        <v>62</v>
      </c>
      <c r="HI20" s="132" t="s">
        <v>164</v>
      </c>
      <c r="HJ20" s="132"/>
    </row>
    <row r="21" spans="1:218" s="591" customFormat="1" ht="107.5" customHeight="1">
      <c r="A21" s="103" t="s">
        <v>455</v>
      </c>
      <c r="B21" s="102" t="s">
        <v>213</v>
      </c>
      <c r="C21" s="102" t="s">
        <v>214</v>
      </c>
      <c r="D21" s="136" t="s">
        <v>62</v>
      </c>
      <c r="E21" s="136" t="s">
        <v>148</v>
      </c>
      <c r="F21" s="134" t="s">
        <v>148</v>
      </c>
      <c r="G21" s="136" t="s">
        <v>62</v>
      </c>
      <c r="H21" s="136" t="s">
        <v>148</v>
      </c>
      <c r="I21" s="134" t="s">
        <v>148</v>
      </c>
      <c r="J21" s="136" t="s">
        <v>62</v>
      </c>
      <c r="K21" s="136" t="s">
        <v>148</v>
      </c>
      <c r="L21" s="134" t="s">
        <v>148</v>
      </c>
      <c r="M21" s="136" t="s">
        <v>62</v>
      </c>
      <c r="N21" s="136" t="s">
        <v>148</v>
      </c>
      <c r="O21" s="134" t="s">
        <v>148</v>
      </c>
      <c r="P21" s="136" t="s">
        <v>62</v>
      </c>
      <c r="Q21" s="136" t="s">
        <v>148</v>
      </c>
      <c r="R21" s="134" t="s">
        <v>148</v>
      </c>
      <c r="S21" s="136" t="s">
        <v>62</v>
      </c>
      <c r="T21" s="136" t="s">
        <v>148</v>
      </c>
      <c r="U21" s="134" t="s">
        <v>148</v>
      </c>
      <c r="V21" s="136" t="s">
        <v>62</v>
      </c>
      <c r="W21" s="136" t="s">
        <v>148</v>
      </c>
      <c r="X21" s="134" t="s">
        <v>148</v>
      </c>
      <c r="Y21" s="136" t="s">
        <v>62</v>
      </c>
      <c r="Z21" s="136" t="s">
        <v>148</v>
      </c>
      <c r="AA21" s="134" t="s">
        <v>148</v>
      </c>
      <c r="AB21" s="136" t="s">
        <v>62</v>
      </c>
      <c r="AC21" s="136" t="s">
        <v>148</v>
      </c>
      <c r="AD21" s="134" t="s">
        <v>148</v>
      </c>
      <c r="AE21" s="161" t="s">
        <v>62</v>
      </c>
      <c r="AF21" s="161" t="s">
        <v>354</v>
      </c>
      <c r="AG21" s="137"/>
      <c r="AH21" s="136" t="s">
        <v>62</v>
      </c>
      <c r="AI21" s="136" t="s">
        <v>148</v>
      </c>
      <c r="AJ21" s="134" t="s">
        <v>148</v>
      </c>
      <c r="AK21" s="136" t="s">
        <v>62</v>
      </c>
      <c r="AL21" s="136" t="s">
        <v>148</v>
      </c>
      <c r="AM21" s="134" t="s">
        <v>148</v>
      </c>
      <c r="AN21" s="136" t="s">
        <v>277</v>
      </c>
      <c r="AO21" s="136" t="s">
        <v>148</v>
      </c>
      <c r="AP21" s="134" t="s">
        <v>148</v>
      </c>
      <c r="AQ21" s="136" t="s">
        <v>62</v>
      </c>
      <c r="AR21" s="136" t="s">
        <v>148</v>
      </c>
      <c r="AS21" s="134" t="s">
        <v>148</v>
      </c>
      <c r="AT21" s="136" t="s">
        <v>62</v>
      </c>
      <c r="AU21" s="136" t="s">
        <v>148</v>
      </c>
      <c r="AV21" s="134" t="s">
        <v>148</v>
      </c>
      <c r="AW21" s="136" t="s">
        <v>62</v>
      </c>
      <c r="AX21" s="136" t="s">
        <v>148</v>
      </c>
      <c r="AY21" s="134" t="s">
        <v>148</v>
      </c>
      <c r="AZ21" s="136" t="s">
        <v>62</v>
      </c>
      <c r="BA21" s="136" t="s">
        <v>148</v>
      </c>
      <c r="BB21" s="134" t="s">
        <v>148</v>
      </c>
      <c r="BC21" s="133">
        <v>27</v>
      </c>
      <c r="BD21" s="133">
        <v>27</v>
      </c>
      <c r="BE21" s="105">
        <f t="shared" si="23"/>
        <v>1</v>
      </c>
      <c r="BF21" s="134" t="s">
        <v>148</v>
      </c>
      <c r="BG21" s="147">
        <v>0</v>
      </c>
      <c r="BH21" s="134" t="s">
        <v>148</v>
      </c>
      <c r="BI21" s="133">
        <v>56</v>
      </c>
      <c r="BJ21" s="133">
        <v>16</v>
      </c>
      <c r="BK21" s="105">
        <f t="shared" si="24"/>
        <v>0.2857142857142857</v>
      </c>
      <c r="BL21" s="134" t="s">
        <v>317</v>
      </c>
      <c r="BM21" s="147">
        <v>0</v>
      </c>
      <c r="BN21" s="134" t="s">
        <v>148</v>
      </c>
      <c r="BO21" s="133">
        <v>26</v>
      </c>
      <c r="BP21" s="133">
        <v>26</v>
      </c>
      <c r="BQ21" s="105">
        <f t="shared" si="25"/>
        <v>1</v>
      </c>
      <c r="BR21" s="134" t="s">
        <v>148</v>
      </c>
      <c r="BS21" s="147">
        <v>0</v>
      </c>
      <c r="BT21" s="134" t="s">
        <v>148</v>
      </c>
      <c r="BU21" s="133">
        <v>0</v>
      </c>
      <c r="BV21" s="133">
        <v>0</v>
      </c>
      <c r="BW21" s="105" t="str">
        <f t="shared" si="26"/>
        <v/>
      </c>
      <c r="BX21" s="134" t="s">
        <v>148</v>
      </c>
      <c r="BY21" s="147">
        <v>0</v>
      </c>
      <c r="BZ21" s="134" t="s">
        <v>148</v>
      </c>
      <c r="CA21" s="133">
        <v>0</v>
      </c>
      <c r="CB21" s="133">
        <v>0</v>
      </c>
      <c r="CC21" s="105" t="str">
        <f t="shared" si="27"/>
        <v/>
      </c>
      <c r="CD21" s="134" t="s">
        <v>148</v>
      </c>
      <c r="CE21" s="147">
        <v>0</v>
      </c>
      <c r="CF21" s="134" t="s">
        <v>148</v>
      </c>
      <c r="CG21" s="133">
        <v>0</v>
      </c>
      <c r="CH21" s="133">
        <v>0</v>
      </c>
      <c r="CI21" s="105" t="str">
        <f t="shared" si="28"/>
        <v/>
      </c>
      <c r="CJ21" s="134" t="s">
        <v>148</v>
      </c>
      <c r="CK21" s="147">
        <v>0</v>
      </c>
      <c r="CL21" s="134" t="s">
        <v>148</v>
      </c>
      <c r="CM21" s="133">
        <v>0</v>
      </c>
      <c r="CN21" s="133">
        <v>0</v>
      </c>
      <c r="CO21" s="105" t="str">
        <f t="shared" si="29"/>
        <v/>
      </c>
      <c r="CP21" s="134" t="s">
        <v>148</v>
      </c>
      <c r="CQ21" s="147">
        <v>0</v>
      </c>
      <c r="CR21" s="134" t="s">
        <v>148</v>
      </c>
      <c r="CS21" s="133">
        <v>2</v>
      </c>
      <c r="CT21" s="133">
        <v>2</v>
      </c>
      <c r="CU21" s="105">
        <f t="shared" si="30"/>
        <v>1</v>
      </c>
      <c r="CV21" s="134" t="s">
        <v>148</v>
      </c>
      <c r="CW21" s="147">
        <v>0</v>
      </c>
      <c r="CX21" s="134" t="s">
        <v>148</v>
      </c>
      <c r="CY21" s="133">
        <v>2</v>
      </c>
      <c r="CZ21" s="133">
        <v>2</v>
      </c>
      <c r="DA21" s="105">
        <f t="shared" si="31"/>
        <v>1</v>
      </c>
      <c r="DB21" s="134" t="s">
        <v>148</v>
      </c>
      <c r="DC21" s="147">
        <v>0</v>
      </c>
      <c r="DD21" s="134" t="s">
        <v>148</v>
      </c>
      <c r="DE21" s="133">
        <v>0</v>
      </c>
      <c r="DF21" s="133">
        <v>0</v>
      </c>
      <c r="DG21" s="105" t="str">
        <f t="shared" si="32"/>
        <v/>
      </c>
      <c r="DH21" s="134" t="s">
        <v>148</v>
      </c>
      <c r="DI21" s="147">
        <v>0</v>
      </c>
      <c r="DJ21" s="134" t="s">
        <v>148</v>
      </c>
      <c r="DK21" s="133">
        <v>12</v>
      </c>
      <c r="DL21" s="133">
        <v>4</v>
      </c>
      <c r="DM21" s="105">
        <f t="shared" si="33"/>
        <v>0.33333333333333331</v>
      </c>
      <c r="DN21" s="134" t="s">
        <v>215</v>
      </c>
      <c r="DO21" s="147">
        <v>1</v>
      </c>
      <c r="DP21" s="134" t="s">
        <v>216</v>
      </c>
      <c r="DQ21" s="133">
        <v>489</v>
      </c>
      <c r="DR21" s="133">
        <v>489</v>
      </c>
      <c r="DS21" s="105">
        <f t="shared" si="34"/>
        <v>1</v>
      </c>
      <c r="DT21" s="134"/>
      <c r="DU21" s="147">
        <v>3</v>
      </c>
      <c r="DV21" s="134" t="s">
        <v>494</v>
      </c>
      <c r="DW21" s="133">
        <v>21</v>
      </c>
      <c r="DX21" s="133">
        <v>21</v>
      </c>
      <c r="DY21" s="105">
        <f t="shared" si="35"/>
        <v>1</v>
      </c>
      <c r="DZ21" s="134" t="s">
        <v>148</v>
      </c>
      <c r="EA21" s="147">
        <v>0</v>
      </c>
      <c r="EB21" s="134" t="s">
        <v>148</v>
      </c>
      <c r="EC21" s="133">
        <v>17</v>
      </c>
      <c r="ED21" s="133">
        <v>15</v>
      </c>
      <c r="EE21" s="105">
        <f t="shared" si="36"/>
        <v>0.88235294117647056</v>
      </c>
      <c r="EF21" s="134" t="s">
        <v>495</v>
      </c>
      <c r="EG21" s="147">
        <v>0</v>
      </c>
      <c r="EH21" s="134"/>
      <c r="EI21" s="133">
        <v>24</v>
      </c>
      <c r="EJ21" s="133">
        <v>0</v>
      </c>
      <c r="EK21" s="105">
        <f t="shared" si="37"/>
        <v>0</v>
      </c>
      <c r="EL21" s="134" t="s">
        <v>217</v>
      </c>
      <c r="EM21" s="147">
        <v>24</v>
      </c>
      <c r="EN21" s="134" t="s">
        <v>218</v>
      </c>
      <c r="EO21" s="133">
        <v>4</v>
      </c>
      <c r="EP21" s="133">
        <v>3</v>
      </c>
      <c r="EQ21" s="105">
        <f t="shared" si="38"/>
        <v>0.75</v>
      </c>
      <c r="ER21" s="134" t="s">
        <v>496</v>
      </c>
      <c r="ES21" s="147">
        <v>0</v>
      </c>
      <c r="ET21" s="134"/>
      <c r="EU21" s="133">
        <v>37</v>
      </c>
      <c r="EV21" s="133">
        <v>33</v>
      </c>
      <c r="EW21" s="105">
        <f t="shared" si="39"/>
        <v>0.89189189189189189</v>
      </c>
      <c r="EX21" s="134" t="s">
        <v>219</v>
      </c>
      <c r="EY21" s="147">
        <v>4</v>
      </c>
      <c r="EZ21" s="134" t="s">
        <v>220</v>
      </c>
      <c r="FA21" s="133">
        <v>11</v>
      </c>
      <c r="FB21" s="133">
        <v>11</v>
      </c>
      <c r="FC21" s="105">
        <f t="shared" si="40"/>
        <v>1</v>
      </c>
      <c r="FD21" s="134" t="s">
        <v>148</v>
      </c>
      <c r="FE21" s="147">
        <v>0</v>
      </c>
      <c r="FF21" s="134" t="s">
        <v>148</v>
      </c>
      <c r="FG21" s="133">
        <v>3</v>
      </c>
      <c r="FH21" s="133">
        <v>3</v>
      </c>
      <c r="FI21" s="105">
        <f t="shared" si="41"/>
        <v>1</v>
      </c>
      <c r="FJ21" s="134" t="s">
        <v>148</v>
      </c>
      <c r="FK21" s="147">
        <v>0</v>
      </c>
      <c r="FL21" s="134" t="s">
        <v>148</v>
      </c>
      <c r="FM21" s="133">
        <v>2</v>
      </c>
      <c r="FN21" s="133">
        <v>1</v>
      </c>
      <c r="FO21" s="105">
        <f t="shared" si="42"/>
        <v>0.5</v>
      </c>
      <c r="FP21" s="134" t="s">
        <v>221</v>
      </c>
      <c r="FQ21" s="147">
        <v>1</v>
      </c>
      <c r="FR21" s="134" t="s">
        <v>221</v>
      </c>
      <c r="FS21" s="133">
        <v>0</v>
      </c>
      <c r="FT21" s="133">
        <v>0</v>
      </c>
      <c r="FU21" s="105" t="str">
        <f t="shared" si="43"/>
        <v/>
      </c>
      <c r="FV21" s="134" t="s">
        <v>148</v>
      </c>
      <c r="FW21" s="147">
        <v>0</v>
      </c>
      <c r="FX21" s="134" t="s">
        <v>570</v>
      </c>
      <c r="FY21" s="133">
        <v>42</v>
      </c>
      <c r="FZ21" s="133">
        <v>38</v>
      </c>
      <c r="GA21" s="105">
        <f t="shared" si="44"/>
        <v>0.90476190476190477</v>
      </c>
      <c r="GB21" s="134" t="s">
        <v>456</v>
      </c>
      <c r="GC21" s="147">
        <v>4</v>
      </c>
      <c r="GD21" s="134" t="s">
        <v>235</v>
      </c>
      <c r="GE21" s="133">
        <v>0</v>
      </c>
      <c r="GF21" s="133">
        <v>0</v>
      </c>
      <c r="GG21" s="105" t="str">
        <f t="shared" si="45"/>
        <v/>
      </c>
      <c r="GH21" s="134" t="s">
        <v>148</v>
      </c>
      <c r="GI21" s="147">
        <v>0</v>
      </c>
      <c r="GJ21" s="134" t="s">
        <v>148</v>
      </c>
      <c r="GK21" s="134" t="s">
        <v>154</v>
      </c>
      <c r="GL21" s="134" t="s">
        <v>318</v>
      </c>
      <c r="GM21" s="134" t="s">
        <v>64</v>
      </c>
      <c r="GN21" s="136" t="s">
        <v>62</v>
      </c>
      <c r="GO21" s="136" t="s">
        <v>62</v>
      </c>
      <c r="GP21" s="134" t="s">
        <v>63</v>
      </c>
      <c r="GQ21" s="134" t="s">
        <v>64</v>
      </c>
      <c r="GR21" s="158" t="s">
        <v>62</v>
      </c>
      <c r="GS21" s="158" t="s">
        <v>148</v>
      </c>
      <c r="GT21" s="158" t="s">
        <v>148</v>
      </c>
      <c r="GU21" s="158" t="s">
        <v>148</v>
      </c>
      <c r="GV21" s="134" t="s">
        <v>148</v>
      </c>
      <c r="GW21" s="158" t="s">
        <v>62</v>
      </c>
      <c r="GX21" s="158" t="s">
        <v>148</v>
      </c>
      <c r="GY21" s="158" t="s">
        <v>62</v>
      </c>
      <c r="GZ21" s="158" t="s">
        <v>148</v>
      </c>
      <c r="HA21" s="158" t="s">
        <v>62</v>
      </c>
      <c r="HB21" s="158" t="s">
        <v>62</v>
      </c>
      <c r="HC21" s="128" t="s">
        <v>354</v>
      </c>
      <c r="HD21" s="127"/>
      <c r="HE21" s="169" t="s">
        <v>62</v>
      </c>
      <c r="HF21" s="169" t="s">
        <v>164</v>
      </c>
      <c r="HG21" s="169" t="s">
        <v>164</v>
      </c>
      <c r="HH21" s="169" t="s">
        <v>62</v>
      </c>
      <c r="HI21" s="169" t="s">
        <v>164</v>
      </c>
      <c r="HJ21" s="169"/>
    </row>
    <row r="22" spans="1:218" s="591" customFormat="1" ht="144" customHeight="1">
      <c r="A22" s="103" t="s">
        <v>376</v>
      </c>
      <c r="B22" s="102" t="s">
        <v>222</v>
      </c>
      <c r="C22" s="102" t="s">
        <v>223</v>
      </c>
      <c r="D22" s="136" t="s">
        <v>62</v>
      </c>
      <c r="E22" s="136" t="s">
        <v>148</v>
      </c>
      <c r="F22" s="134" t="s">
        <v>148</v>
      </c>
      <c r="G22" s="136" t="s">
        <v>62</v>
      </c>
      <c r="H22" s="136" t="s">
        <v>148</v>
      </c>
      <c r="I22" s="134" t="s">
        <v>148</v>
      </c>
      <c r="J22" s="136" t="s">
        <v>62</v>
      </c>
      <c r="K22" s="136" t="s">
        <v>148</v>
      </c>
      <c r="L22" s="134" t="s">
        <v>148</v>
      </c>
      <c r="M22" s="136" t="s">
        <v>62</v>
      </c>
      <c r="N22" s="136" t="s">
        <v>148</v>
      </c>
      <c r="O22" s="134" t="s">
        <v>148</v>
      </c>
      <c r="P22" s="136" t="s">
        <v>62</v>
      </c>
      <c r="Q22" s="136" t="s">
        <v>148</v>
      </c>
      <c r="R22" s="134" t="s">
        <v>148</v>
      </c>
      <c r="S22" s="136" t="s">
        <v>62</v>
      </c>
      <c r="T22" s="136" t="s">
        <v>148</v>
      </c>
      <c r="U22" s="134" t="s">
        <v>148</v>
      </c>
      <c r="V22" s="136" t="s">
        <v>62</v>
      </c>
      <c r="W22" s="136" t="s">
        <v>148</v>
      </c>
      <c r="X22" s="134" t="s">
        <v>148</v>
      </c>
      <c r="Y22" s="136" t="s">
        <v>62</v>
      </c>
      <c r="Z22" s="136" t="s">
        <v>148</v>
      </c>
      <c r="AA22" s="134" t="s">
        <v>148</v>
      </c>
      <c r="AB22" s="136" t="s">
        <v>62</v>
      </c>
      <c r="AC22" s="136" t="s">
        <v>148</v>
      </c>
      <c r="AD22" s="134" t="s">
        <v>148</v>
      </c>
      <c r="AE22" s="161" t="s">
        <v>62</v>
      </c>
      <c r="AF22" s="161" t="s">
        <v>354</v>
      </c>
      <c r="AG22" s="137"/>
      <c r="AH22" s="136" t="s">
        <v>62</v>
      </c>
      <c r="AI22" s="136" t="s">
        <v>148</v>
      </c>
      <c r="AJ22" s="134" t="s">
        <v>148</v>
      </c>
      <c r="AK22" s="136" t="s">
        <v>62</v>
      </c>
      <c r="AL22" s="136" t="s">
        <v>148</v>
      </c>
      <c r="AM22" s="134" t="s">
        <v>148</v>
      </c>
      <c r="AN22" s="136"/>
      <c r="AO22" s="136" t="s">
        <v>148</v>
      </c>
      <c r="AP22" s="134" t="s">
        <v>148</v>
      </c>
      <c r="AQ22" s="136" t="s">
        <v>277</v>
      </c>
      <c r="AR22" s="136" t="s">
        <v>148</v>
      </c>
      <c r="AS22" s="134" t="s">
        <v>148</v>
      </c>
      <c r="AT22" s="136" t="s">
        <v>62</v>
      </c>
      <c r="AU22" s="136" t="s">
        <v>148</v>
      </c>
      <c r="AV22" s="134" t="s">
        <v>148</v>
      </c>
      <c r="AW22" s="136" t="s">
        <v>62</v>
      </c>
      <c r="AX22" s="136" t="s">
        <v>148</v>
      </c>
      <c r="AY22" s="134" t="s">
        <v>148</v>
      </c>
      <c r="AZ22" s="136" t="s">
        <v>62</v>
      </c>
      <c r="BA22" s="136" t="s">
        <v>148</v>
      </c>
      <c r="BB22" s="134" t="s">
        <v>148</v>
      </c>
      <c r="BC22" s="133">
        <v>8</v>
      </c>
      <c r="BD22" s="133">
        <v>8</v>
      </c>
      <c r="BE22" s="105">
        <f t="shared" si="23"/>
        <v>1</v>
      </c>
      <c r="BF22" s="134" t="s">
        <v>148</v>
      </c>
      <c r="BG22" s="147">
        <v>0</v>
      </c>
      <c r="BH22" s="134"/>
      <c r="BI22" s="133">
        <v>29</v>
      </c>
      <c r="BJ22" s="133">
        <v>29</v>
      </c>
      <c r="BK22" s="105">
        <f t="shared" si="24"/>
        <v>1</v>
      </c>
      <c r="BL22" s="134" t="s">
        <v>148</v>
      </c>
      <c r="BM22" s="147">
        <v>0</v>
      </c>
      <c r="BN22" s="134" t="s">
        <v>148</v>
      </c>
      <c r="BO22" s="133">
        <v>3</v>
      </c>
      <c r="BP22" s="133">
        <v>3</v>
      </c>
      <c r="BQ22" s="105">
        <f t="shared" si="25"/>
        <v>1</v>
      </c>
      <c r="BR22" s="134" t="s">
        <v>148</v>
      </c>
      <c r="BS22" s="147">
        <v>0</v>
      </c>
      <c r="BT22" s="134" t="s">
        <v>148</v>
      </c>
      <c r="BU22" s="133">
        <v>0</v>
      </c>
      <c r="BV22" s="133">
        <v>0</v>
      </c>
      <c r="BW22" s="105" t="str">
        <f t="shared" si="26"/>
        <v/>
      </c>
      <c r="BX22" s="134" t="s">
        <v>148</v>
      </c>
      <c r="BY22" s="147">
        <v>0</v>
      </c>
      <c r="BZ22" s="134" t="s">
        <v>148</v>
      </c>
      <c r="CA22" s="133">
        <v>0</v>
      </c>
      <c r="CB22" s="133">
        <v>0</v>
      </c>
      <c r="CC22" s="105" t="str">
        <f t="shared" si="27"/>
        <v/>
      </c>
      <c r="CD22" s="134" t="s">
        <v>148</v>
      </c>
      <c r="CE22" s="147">
        <v>0</v>
      </c>
      <c r="CF22" s="134" t="s">
        <v>148</v>
      </c>
      <c r="CG22" s="133">
        <v>1</v>
      </c>
      <c r="CH22" s="133">
        <v>1</v>
      </c>
      <c r="CI22" s="105">
        <f t="shared" si="28"/>
        <v>1</v>
      </c>
      <c r="CJ22" s="134" t="s">
        <v>148</v>
      </c>
      <c r="CK22" s="147">
        <v>0</v>
      </c>
      <c r="CL22" s="134" t="s">
        <v>148</v>
      </c>
      <c r="CM22" s="133">
        <v>0</v>
      </c>
      <c r="CN22" s="133">
        <v>0</v>
      </c>
      <c r="CO22" s="105" t="str">
        <f t="shared" si="29"/>
        <v/>
      </c>
      <c r="CP22" s="134" t="s">
        <v>148</v>
      </c>
      <c r="CQ22" s="147">
        <v>0</v>
      </c>
      <c r="CR22" s="134" t="s">
        <v>148</v>
      </c>
      <c r="CS22" s="133">
        <v>0</v>
      </c>
      <c r="CT22" s="133">
        <v>0</v>
      </c>
      <c r="CU22" s="105" t="str">
        <f t="shared" si="30"/>
        <v/>
      </c>
      <c r="CV22" s="134" t="s">
        <v>148</v>
      </c>
      <c r="CW22" s="147">
        <v>0</v>
      </c>
      <c r="CX22" s="134" t="s">
        <v>148</v>
      </c>
      <c r="CY22" s="133">
        <v>0</v>
      </c>
      <c r="CZ22" s="133">
        <v>0</v>
      </c>
      <c r="DA22" s="105" t="str">
        <f t="shared" si="31"/>
        <v/>
      </c>
      <c r="DB22" s="134" t="s">
        <v>148</v>
      </c>
      <c r="DC22" s="147">
        <v>0</v>
      </c>
      <c r="DD22" s="134" t="s">
        <v>148</v>
      </c>
      <c r="DE22" s="133">
        <v>0</v>
      </c>
      <c r="DF22" s="133">
        <v>0</v>
      </c>
      <c r="DG22" s="105" t="str">
        <f t="shared" si="32"/>
        <v/>
      </c>
      <c r="DH22" s="134" t="s">
        <v>148</v>
      </c>
      <c r="DI22" s="147">
        <v>0</v>
      </c>
      <c r="DJ22" s="134" t="s">
        <v>148</v>
      </c>
      <c r="DK22" s="133">
        <v>15</v>
      </c>
      <c r="DL22" s="133">
        <v>2</v>
      </c>
      <c r="DM22" s="105">
        <f t="shared" si="33"/>
        <v>0.13333333333333333</v>
      </c>
      <c r="DN22" s="134" t="s">
        <v>224</v>
      </c>
      <c r="DO22" s="147">
        <v>0</v>
      </c>
      <c r="DP22" s="134" t="s">
        <v>148</v>
      </c>
      <c r="DQ22" s="133">
        <v>60</v>
      </c>
      <c r="DR22" s="133">
        <v>51</v>
      </c>
      <c r="DS22" s="105">
        <f t="shared" si="34"/>
        <v>0.85</v>
      </c>
      <c r="DT22" s="134" t="s">
        <v>225</v>
      </c>
      <c r="DU22" s="147">
        <v>0</v>
      </c>
      <c r="DV22" s="134" t="s">
        <v>148</v>
      </c>
      <c r="DW22" s="133">
        <v>81</v>
      </c>
      <c r="DX22" s="133">
        <v>81</v>
      </c>
      <c r="DY22" s="105">
        <f t="shared" si="35"/>
        <v>1</v>
      </c>
      <c r="DZ22" s="134"/>
      <c r="EA22" s="147">
        <v>0</v>
      </c>
      <c r="EB22" s="134" t="s">
        <v>148</v>
      </c>
      <c r="EC22" s="133">
        <v>4</v>
      </c>
      <c r="ED22" s="133">
        <v>0</v>
      </c>
      <c r="EE22" s="105">
        <f t="shared" si="36"/>
        <v>0</v>
      </c>
      <c r="EF22" s="134" t="s">
        <v>502</v>
      </c>
      <c r="EG22" s="147">
        <v>2</v>
      </c>
      <c r="EH22" s="134" t="s">
        <v>413</v>
      </c>
      <c r="EI22" s="133">
        <v>12</v>
      </c>
      <c r="EJ22" s="133">
        <v>0</v>
      </c>
      <c r="EK22" s="105">
        <f t="shared" si="37"/>
        <v>0</v>
      </c>
      <c r="EL22" s="134" t="s">
        <v>419</v>
      </c>
      <c r="EM22" s="147">
        <v>12</v>
      </c>
      <c r="EN22" s="134" t="s">
        <v>420</v>
      </c>
      <c r="EO22" s="133">
        <v>8</v>
      </c>
      <c r="EP22" s="133">
        <v>3</v>
      </c>
      <c r="EQ22" s="105">
        <f t="shared" si="38"/>
        <v>0.375</v>
      </c>
      <c r="ER22" s="134" t="s">
        <v>457</v>
      </c>
      <c r="ES22" s="147">
        <v>2</v>
      </c>
      <c r="ET22" s="134" t="s">
        <v>226</v>
      </c>
      <c r="EU22" s="133">
        <v>9</v>
      </c>
      <c r="EV22" s="133">
        <v>1</v>
      </c>
      <c r="EW22" s="105">
        <f t="shared" si="39"/>
        <v>0.1111111111111111</v>
      </c>
      <c r="EX22" s="134" t="s">
        <v>458</v>
      </c>
      <c r="EY22" s="147">
        <v>8</v>
      </c>
      <c r="EZ22" s="134" t="s">
        <v>319</v>
      </c>
      <c r="FA22" s="133">
        <v>5</v>
      </c>
      <c r="FB22" s="133">
        <v>5</v>
      </c>
      <c r="FC22" s="105">
        <f t="shared" si="40"/>
        <v>1</v>
      </c>
      <c r="FD22" s="134" t="s">
        <v>148</v>
      </c>
      <c r="FE22" s="147">
        <v>0</v>
      </c>
      <c r="FF22" s="134" t="s">
        <v>148</v>
      </c>
      <c r="FG22" s="133">
        <v>3</v>
      </c>
      <c r="FH22" s="133">
        <v>3</v>
      </c>
      <c r="FI22" s="105">
        <f t="shared" si="41"/>
        <v>1</v>
      </c>
      <c r="FJ22" s="134" t="s">
        <v>148</v>
      </c>
      <c r="FK22" s="147">
        <v>0</v>
      </c>
      <c r="FL22" s="134" t="s">
        <v>148</v>
      </c>
      <c r="FM22" s="133">
        <v>0</v>
      </c>
      <c r="FN22" s="133">
        <v>0</v>
      </c>
      <c r="FO22" s="105" t="str">
        <f t="shared" si="42"/>
        <v/>
      </c>
      <c r="FP22" s="134" t="s">
        <v>148</v>
      </c>
      <c r="FQ22" s="147">
        <v>0</v>
      </c>
      <c r="FR22" s="134" t="s">
        <v>148</v>
      </c>
      <c r="FS22" s="133">
        <v>0</v>
      </c>
      <c r="FT22" s="133">
        <v>0</v>
      </c>
      <c r="FU22" s="105" t="str">
        <f t="shared" si="43"/>
        <v/>
      </c>
      <c r="FV22" s="134" t="s">
        <v>148</v>
      </c>
      <c r="FW22" s="147">
        <v>0</v>
      </c>
      <c r="FX22" s="134" t="s">
        <v>148</v>
      </c>
      <c r="FY22" s="133">
        <v>12</v>
      </c>
      <c r="FZ22" s="133">
        <v>12</v>
      </c>
      <c r="GA22" s="105">
        <f t="shared" si="44"/>
        <v>1</v>
      </c>
      <c r="GB22" s="134" t="s">
        <v>148</v>
      </c>
      <c r="GC22" s="147">
        <v>0</v>
      </c>
      <c r="GD22" s="134" t="s">
        <v>148</v>
      </c>
      <c r="GE22" s="133">
        <v>5</v>
      </c>
      <c r="GF22" s="133">
        <v>1</v>
      </c>
      <c r="GG22" s="105">
        <f t="shared" si="45"/>
        <v>0.2</v>
      </c>
      <c r="GH22" s="134" t="s">
        <v>569</v>
      </c>
      <c r="GI22" s="147">
        <v>4</v>
      </c>
      <c r="GJ22" s="134" t="s">
        <v>459</v>
      </c>
      <c r="GK22" s="134" t="s">
        <v>67</v>
      </c>
      <c r="GL22" s="134" t="s">
        <v>284</v>
      </c>
      <c r="GM22" s="134" t="s">
        <v>64</v>
      </c>
      <c r="GN22" s="136" t="s">
        <v>148</v>
      </c>
      <c r="GO22" s="136" t="s">
        <v>277</v>
      </c>
      <c r="GP22" s="134" t="s">
        <v>63</v>
      </c>
      <c r="GQ22" s="134" t="s">
        <v>64</v>
      </c>
      <c r="GR22" s="158" t="s">
        <v>62</v>
      </c>
      <c r="GS22" s="158" t="s">
        <v>62</v>
      </c>
      <c r="GT22" s="158" t="s">
        <v>62</v>
      </c>
      <c r="GU22" s="158" t="s">
        <v>62</v>
      </c>
      <c r="GV22" s="134" t="s">
        <v>148</v>
      </c>
      <c r="GW22" s="158" t="s">
        <v>62</v>
      </c>
      <c r="GX22" s="158" t="s">
        <v>148</v>
      </c>
      <c r="GY22" s="158" t="s">
        <v>62</v>
      </c>
      <c r="GZ22" s="158" t="s">
        <v>148</v>
      </c>
      <c r="HA22" s="158" t="s">
        <v>62</v>
      </c>
      <c r="HB22" s="158" t="s">
        <v>62</v>
      </c>
      <c r="HC22" s="128" t="s">
        <v>62</v>
      </c>
      <c r="HD22" s="127"/>
      <c r="HE22" s="169" t="s">
        <v>62</v>
      </c>
      <c r="HF22" s="169" t="s">
        <v>164</v>
      </c>
      <c r="HG22" s="169" t="s">
        <v>164</v>
      </c>
      <c r="HH22" s="169" t="s">
        <v>62</v>
      </c>
      <c r="HI22" s="169" t="s">
        <v>164</v>
      </c>
      <c r="HJ22" s="169"/>
    </row>
    <row r="23" spans="1:218" s="591" customFormat="1" ht="157.5" customHeight="1">
      <c r="A23" s="103" t="s">
        <v>347</v>
      </c>
      <c r="B23" s="102" t="s">
        <v>227</v>
      </c>
      <c r="C23" s="102" t="s">
        <v>228</v>
      </c>
      <c r="D23" s="136" t="s">
        <v>62</v>
      </c>
      <c r="E23" s="136" t="s">
        <v>148</v>
      </c>
      <c r="F23" s="134" t="s">
        <v>148</v>
      </c>
      <c r="G23" s="136" t="s">
        <v>62</v>
      </c>
      <c r="H23" s="136" t="s">
        <v>148</v>
      </c>
      <c r="I23" s="134" t="s">
        <v>148</v>
      </c>
      <c r="J23" s="136" t="s">
        <v>460</v>
      </c>
      <c r="K23" s="136" t="s">
        <v>148</v>
      </c>
      <c r="L23" s="134" t="s">
        <v>148</v>
      </c>
      <c r="M23" s="136" t="s">
        <v>62</v>
      </c>
      <c r="N23" s="136"/>
      <c r="O23" s="134"/>
      <c r="P23" s="136" t="s">
        <v>62</v>
      </c>
      <c r="Q23" s="136" t="s">
        <v>148</v>
      </c>
      <c r="R23" s="134" t="s">
        <v>148</v>
      </c>
      <c r="S23" s="136" t="s">
        <v>62</v>
      </c>
      <c r="T23" s="136" t="s">
        <v>148</v>
      </c>
      <c r="U23" s="134"/>
      <c r="V23" s="136" t="s">
        <v>62</v>
      </c>
      <c r="W23" s="136" t="s">
        <v>148</v>
      </c>
      <c r="X23" s="134" t="s">
        <v>148</v>
      </c>
      <c r="Y23" s="136" t="s">
        <v>62</v>
      </c>
      <c r="Z23" s="136" t="s">
        <v>148</v>
      </c>
      <c r="AA23" s="134" t="s">
        <v>148</v>
      </c>
      <c r="AB23" s="136" t="s">
        <v>62</v>
      </c>
      <c r="AC23" s="136" t="s">
        <v>148</v>
      </c>
      <c r="AD23" s="134" t="s">
        <v>148</v>
      </c>
      <c r="AE23" s="161" t="s">
        <v>62</v>
      </c>
      <c r="AF23" s="161" t="s">
        <v>354</v>
      </c>
      <c r="AG23" s="137"/>
      <c r="AH23" s="136" t="s">
        <v>62</v>
      </c>
      <c r="AI23" s="136" t="s">
        <v>148</v>
      </c>
      <c r="AJ23" s="134" t="s">
        <v>148</v>
      </c>
      <c r="AK23" s="136" t="s">
        <v>62</v>
      </c>
      <c r="AL23" s="136" t="s">
        <v>148</v>
      </c>
      <c r="AM23" s="134" t="s">
        <v>148</v>
      </c>
      <c r="AN23" s="136" t="s">
        <v>62</v>
      </c>
      <c r="AO23" s="136" t="s">
        <v>148</v>
      </c>
      <c r="AP23" s="134" t="s">
        <v>148</v>
      </c>
      <c r="AQ23" s="136" t="s">
        <v>277</v>
      </c>
      <c r="AR23" s="136" t="s">
        <v>148</v>
      </c>
      <c r="AS23" s="134" t="s">
        <v>148</v>
      </c>
      <c r="AT23" s="136" t="s">
        <v>62</v>
      </c>
      <c r="AU23" s="136" t="s">
        <v>148</v>
      </c>
      <c r="AV23" s="134" t="s">
        <v>148</v>
      </c>
      <c r="AW23" s="136" t="s">
        <v>62</v>
      </c>
      <c r="AX23" s="136" t="s">
        <v>148</v>
      </c>
      <c r="AY23" s="134" t="s">
        <v>148</v>
      </c>
      <c r="AZ23" s="136" t="s">
        <v>62</v>
      </c>
      <c r="BA23" s="136" t="s">
        <v>148</v>
      </c>
      <c r="BB23" s="134" t="s">
        <v>148</v>
      </c>
      <c r="BC23" s="133">
        <v>12</v>
      </c>
      <c r="BD23" s="133">
        <v>11</v>
      </c>
      <c r="BE23" s="105">
        <f t="shared" ref="BE23" si="46">IF(ISERROR(BD23/BC23),"",BD23/BC23)</f>
        <v>0.91666666666666663</v>
      </c>
      <c r="BF23" s="134" t="s">
        <v>498</v>
      </c>
      <c r="BG23" s="147">
        <v>0</v>
      </c>
      <c r="BH23" s="134" t="s">
        <v>148</v>
      </c>
      <c r="BI23" s="133">
        <v>35</v>
      </c>
      <c r="BJ23" s="133">
        <v>10</v>
      </c>
      <c r="BK23" s="105">
        <f t="shared" ref="BK23" si="47">IF(ISERROR(BJ23/BI23),"",BJ23/BI23)</f>
        <v>0.2857142857142857</v>
      </c>
      <c r="BL23" s="134" t="s">
        <v>229</v>
      </c>
      <c r="BM23" s="147">
        <v>0</v>
      </c>
      <c r="BN23" s="134" t="s">
        <v>148</v>
      </c>
      <c r="BO23" s="133">
        <v>4</v>
      </c>
      <c r="BP23" s="133">
        <v>3</v>
      </c>
      <c r="BQ23" s="105">
        <f t="shared" ref="BQ23" si="48">IF(ISERROR(BP23/BO23),"",BP23/BO23)</f>
        <v>0.75</v>
      </c>
      <c r="BR23" s="134" t="s">
        <v>229</v>
      </c>
      <c r="BS23" s="147">
        <v>0</v>
      </c>
      <c r="BT23" s="134" t="s">
        <v>148</v>
      </c>
      <c r="BU23" s="133">
        <v>2</v>
      </c>
      <c r="BV23" s="133">
        <v>0</v>
      </c>
      <c r="BW23" s="105">
        <f t="shared" ref="BW23" si="49">IF(ISERROR(BV23/BU23),"",BV23/BU23)</f>
        <v>0</v>
      </c>
      <c r="BX23" s="134" t="s">
        <v>271</v>
      </c>
      <c r="BY23" s="147">
        <v>1</v>
      </c>
      <c r="BZ23" s="134" t="s">
        <v>271</v>
      </c>
      <c r="CA23" s="133">
        <v>0</v>
      </c>
      <c r="CB23" s="133">
        <v>0</v>
      </c>
      <c r="CC23" s="105" t="str">
        <f t="shared" ref="CC23" si="50">IF(ISERROR(CB23/CA23),"",CB23/CA23)</f>
        <v/>
      </c>
      <c r="CD23" s="134"/>
      <c r="CE23" s="147"/>
      <c r="CF23" s="134" t="s">
        <v>148</v>
      </c>
      <c r="CG23" s="133">
        <v>2</v>
      </c>
      <c r="CH23" s="133">
        <v>2</v>
      </c>
      <c r="CI23" s="105">
        <f t="shared" ref="CI23" si="51">IF(ISERROR(CH23/CG23),"",CH23/CG23)</f>
        <v>1</v>
      </c>
      <c r="CJ23" s="134" t="s">
        <v>148</v>
      </c>
      <c r="CK23" s="147">
        <v>0</v>
      </c>
      <c r="CL23" s="134" t="s">
        <v>148</v>
      </c>
      <c r="CM23" s="133">
        <v>2</v>
      </c>
      <c r="CN23" s="133">
        <v>2</v>
      </c>
      <c r="CO23" s="105">
        <f t="shared" ref="CO23" si="52">IF(ISERROR(CN23/CM23),"",CN23/CM23)</f>
        <v>1</v>
      </c>
      <c r="CP23" s="134" t="s">
        <v>148</v>
      </c>
      <c r="CQ23" s="147">
        <v>0</v>
      </c>
      <c r="CR23" s="134" t="s">
        <v>148</v>
      </c>
      <c r="CS23" s="133">
        <v>1</v>
      </c>
      <c r="CT23" s="133">
        <v>1</v>
      </c>
      <c r="CU23" s="105">
        <f t="shared" ref="CU23" si="53">IF(ISERROR(CT23/CS23),"",CT23/CS23)</f>
        <v>1</v>
      </c>
      <c r="CV23" s="134" t="s">
        <v>148</v>
      </c>
      <c r="CW23" s="147">
        <v>0</v>
      </c>
      <c r="CX23" s="134" t="s">
        <v>148</v>
      </c>
      <c r="CY23" s="133">
        <v>1</v>
      </c>
      <c r="CZ23" s="133">
        <v>1</v>
      </c>
      <c r="DA23" s="105">
        <f t="shared" ref="DA23" si="54">IF(ISERROR(CZ23/CY23),"",CZ23/CY23)</f>
        <v>1</v>
      </c>
      <c r="DB23" s="134" t="s">
        <v>148</v>
      </c>
      <c r="DC23" s="147">
        <v>0</v>
      </c>
      <c r="DD23" s="134" t="s">
        <v>148</v>
      </c>
      <c r="DE23" s="133">
        <v>2</v>
      </c>
      <c r="DF23" s="133">
        <v>2</v>
      </c>
      <c r="DG23" s="105">
        <f t="shared" ref="DG23" si="55">IF(ISERROR(DF23/DE23),"",DF23/DE23)</f>
        <v>1</v>
      </c>
      <c r="DH23" s="134" t="s">
        <v>148</v>
      </c>
      <c r="DI23" s="147">
        <v>0</v>
      </c>
      <c r="DJ23" s="134" t="s">
        <v>148</v>
      </c>
      <c r="DK23" s="133">
        <v>18</v>
      </c>
      <c r="DL23" s="133">
        <v>6</v>
      </c>
      <c r="DM23" s="105">
        <f t="shared" ref="DM23" si="56">IF(ISERROR(DL23/DK23),"",DL23/DK23)</f>
        <v>0.33333333333333331</v>
      </c>
      <c r="DN23" s="134" t="s">
        <v>320</v>
      </c>
      <c r="DO23" s="147">
        <v>0</v>
      </c>
      <c r="DP23" s="134" t="s">
        <v>148</v>
      </c>
      <c r="DQ23" s="133">
        <v>371</v>
      </c>
      <c r="DR23" s="133">
        <v>371</v>
      </c>
      <c r="DS23" s="105">
        <f t="shared" ref="DS23" si="57">IF(ISERROR(DR23/DQ23),"",DR23/DQ23)</f>
        <v>1</v>
      </c>
      <c r="DT23" s="134" t="s">
        <v>148</v>
      </c>
      <c r="DU23" s="147">
        <v>0</v>
      </c>
      <c r="DV23" s="134" t="s">
        <v>148</v>
      </c>
      <c r="DW23" s="133">
        <v>10</v>
      </c>
      <c r="DX23" s="133">
        <v>10</v>
      </c>
      <c r="DY23" s="105">
        <f t="shared" ref="DY23" si="58">IF(ISERROR(DX23/DW23),"",DX23/DW23)</f>
        <v>1</v>
      </c>
      <c r="DZ23" s="134" t="s">
        <v>148</v>
      </c>
      <c r="EA23" s="147">
        <v>0</v>
      </c>
      <c r="EB23" s="134" t="s">
        <v>148</v>
      </c>
      <c r="EC23" s="133">
        <v>12</v>
      </c>
      <c r="ED23" s="133">
        <v>0</v>
      </c>
      <c r="EE23" s="105">
        <f t="shared" ref="EE23" si="59">IF(ISERROR(ED23/EC23),"",ED23/EC23)</f>
        <v>0</v>
      </c>
      <c r="EF23" s="134" t="s">
        <v>414</v>
      </c>
      <c r="EG23" s="147">
        <v>7</v>
      </c>
      <c r="EH23" s="134" t="s">
        <v>415</v>
      </c>
      <c r="EI23" s="133">
        <v>11</v>
      </c>
      <c r="EJ23" s="133">
        <v>10</v>
      </c>
      <c r="EK23" s="105">
        <f t="shared" ref="EK23" si="60">IF(ISERROR(EJ23/EI23),"",EJ23/EI23)</f>
        <v>0.90909090909090906</v>
      </c>
      <c r="EL23" s="134" t="s">
        <v>230</v>
      </c>
      <c r="EM23" s="147">
        <v>1</v>
      </c>
      <c r="EN23" s="134" t="s">
        <v>231</v>
      </c>
      <c r="EO23" s="133">
        <v>8</v>
      </c>
      <c r="EP23" s="133">
        <v>3</v>
      </c>
      <c r="EQ23" s="105">
        <f t="shared" ref="EQ23" si="61">IF(ISERROR(EP23/EO23),"",EP23/EO23)</f>
        <v>0.375</v>
      </c>
      <c r="ER23" s="134" t="s">
        <v>272</v>
      </c>
      <c r="ES23" s="147">
        <v>5</v>
      </c>
      <c r="ET23" s="134" t="s">
        <v>272</v>
      </c>
      <c r="EU23" s="133">
        <v>219</v>
      </c>
      <c r="EV23" s="133">
        <v>211</v>
      </c>
      <c r="EW23" s="105">
        <f>IF(ISERROR(EV23/EU23),"",EV23/EU23)</f>
        <v>0.9634703196347032</v>
      </c>
      <c r="EX23" s="134" t="s">
        <v>571</v>
      </c>
      <c r="EY23" s="147">
        <v>8</v>
      </c>
      <c r="EZ23" s="134" t="s">
        <v>232</v>
      </c>
      <c r="FA23" s="133">
        <v>7</v>
      </c>
      <c r="FB23" s="133">
        <v>6</v>
      </c>
      <c r="FC23" s="105">
        <f t="shared" ref="FC23" si="62">IF(ISERROR(FB23/FA23),"",FB23/FA23)</f>
        <v>0.8571428571428571</v>
      </c>
      <c r="FD23" s="134" t="s">
        <v>499</v>
      </c>
      <c r="FE23" s="147">
        <v>0</v>
      </c>
      <c r="FF23" s="134" t="s">
        <v>148</v>
      </c>
      <c r="FG23" s="133">
        <v>1</v>
      </c>
      <c r="FH23" s="133">
        <v>1</v>
      </c>
      <c r="FI23" s="105">
        <f t="shared" ref="FI23" si="63">IF(ISERROR(FH23/FG23),"",FH23/FG23)</f>
        <v>1</v>
      </c>
      <c r="FJ23" s="134" t="s">
        <v>148</v>
      </c>
      <c r="FK23" s="147">
        <v>0</v>
      </c>
      <c r="FL23" s="134" t="s">
        <v>148</v>
      </c>
      <c r="FM23" s="133">
        <v>0</v>
      </c>
      <c r="FN23" s="133">
        <v>0</v>
      </c>
      <c r="FO23" s="105" t="str">
        <f t="shared" ref="FO23" si="64">IF(ISERROR(FN23/FM23),"",FN23/FM23)</f>
        <v/>
      </c>
      <c r="FP23" s="134" t="s">
        <v>148</v>
      </c>
      <c r="FQ23" s="147">
        <v>0</v>
      </c>
      <c r="FR23" s="134" t="s">
        <v>148</v>
      </c>
      <c r="FS23" s="133">
        <v>0</v>
      </c>
      <c r="FT23" s="133">
        <v>0</v>
      </c>
      <c r="FU23" s="105" t="str">
        <f t="shared" ref="FU23" si="65">IF(ISERROR(FT23/FS23),"",FT23/FS23)</f>
        <v/>
      </c>
      <c r="FV23" s="134" t="s">
        <v>148</v>
      </c>
      <c r="FW23" s="147">
        <v>0</v>
      </c>
      <c r="FX23" s="134" t="s">
        <v>148</v>
      </c>
      <c r="FY23" s="133">
        <v>12</v>
      </c>
      <c r="FZ23" s="133">
        <v>11</v>
      </c>
      <c r="GA23" s="105">
        <f t="shared" si="44"/>
        <v>0.91666666666666663</v>
      </c>
      <c r="GB23" s="156" t="s">
        <v>500</v>
      </c>
      <c r="GC23" s="147">
        <v>1</v>
      </c>
      <c r="GD23" s="157" t="s">
        <v>501</v>
      </c>
      <c r="GE23" s="133">
        <v>119</v>
      </c>
      <c r="GF23" s="133">
        <v>119</v>
      </c>
      <c r="GG23" s="105">
        <f t="shared" si="45"/>
        <v>1</v>
      </c>
      <c r="GH23" s="134" t="s">
        <v>148</v>
      </c>
      <c r="GI23" s="147">
        <v>0</v>
      </c>
      <c r="GJ23" s="134" t="s">
        <v>148</v>
      </c>
      <c r="GK23" s="134" t="s">
        <v>154</v>
      </c>
      <c r="GL23" s="134" t="s">
        <v>164</v>
      </c>
      <c r="GM23" s="134" t="s">
        <v>64</v>
      </c>
      <c r="GN23" s="136" t="s">
        <v>62</v>
      </c>
      <c r="GO23" s="136" t="s">
        <v>62</v>
      </c>
      <c r="GP23" s="134" t="s">
        <v>63</v>
      </c>
      <c r="GQ23" s="134" t="s">
        <v>64</v>
      </c>
      <c r="GR23" s="158" t="s">
        <v>62</v>
      </c>
      <c r="GS23" s="158" t="s">
        <v>62</v>
      </c>
      <c r="GT23" s="158" t="s">
        <v>62</v>
      </c>
      <c r="GU23" s="158" t="s">
        <v>148</v>
      </c>
      <c r="GV23" s="134" t="s">
        <v>148</v>
      </c>
      <c r="GW23" s="158" t="s">
        <v>62</v>
      </c>
      <c r="GX23" s="158" t="s">
        <v>62</v>
      </c>
      <c r="GY23" s="158" t="s">
        <v>62</v>
      </c>
      <c r="GZ23" s="158" t="s">
        <v>148</v>
      </c>
      <c r="HA23" s="158" t="s">
        <v>62</v>
      </c>
      <c r="HB23" s="158" t="s">
        <v>62</v>
      </c>
      <c r="HC23" s="128" t="s">
        <v>62</v>
      </c>
      <c r="HD23" s="127"/>
      <c r="HE23" s="169" t="s">
        <v>62</v>
      </c>
      <c r="HF23" s="169" t="s">
        <v>164</v>
      </c>
      <c r="HG23" s="169" t="s">
        <v>164</v>
      </c>
      <c r="HH23" s="169" t="s">
        <v>62</v>
      </c>
      <c r="HI23" s="169" t="s">
        <v>164</v>
      </c>
      <c r="HJ23" s="169"/>
    </row>
    <row r="24" spans="1:218" s="591" customFormat="1" ht="120.65" customHeight="1">
      <c r="A24" s="103" t="s">
        <v>461</v>
      </c>
      <c r="B24" s="102" t="s">
        <v>233</v>
      </c>
      <c r="C24" s="102" t="s">
        <v>234</v>
      </c>
      <c r="D24" s="136" t="s">
        <v>62</v>
      </c>
      <c r="E24" s="136" t="s">
        <v>148</v>
      </c>
      <c r="F24" s="134" t="s">
        <v>148</v>
      </c>
      <c r="G24" s="136" t="s">
        <v>62</v>
      </c>
      <c r="H24" s="136" t="s">
        <v>148</v>
      </c>
      <c r="I24" s="134" t="s">
        <v>148</v>
      </c>
      <c r="J24" s="136" t="s">
        <v>62</v>
      </c>
      <c r="K24" s="136" t="s">
        <v>148</v>
      </c>
      <c r="L24" s="134" t="s">
        <v>148</v>
      </c>
      <c r="M24" s="136" t="s">
        <v>62</v>
      </c>
      <c r="N24" s="136" t="s">
        <v>148</v>
      </c>
      <c r="O24" s="134" t="s">
        <v>148</v>
      </c>
      <c r="P24" s="136" t="s">
        <v>62</v>
      </c>
      <c r="Q24" s="136" t="s">
        <v>148</v>
      </c>
      <c r="R24" s="134" t="s">
        <v>148</v>
      </c>
      <c r="S24" s="136" t="s">
        <v>62</v>
      </c>
      <c r="T24" s="136" t="s">
        <v>148</v>
      </c>
      <c r="U24" s="134" t="s">
        <v>148</v>
      </c>
      <c r="V24" s="136" t="s">
        <v>62</v>
      </c>
      <c r="W24" s="136" t="s">
        <v>148</v>
      </c>
      <c r="X24" s="134" t="s">
        <v>148</v>
      </c>
      <c r="Y24" s="136" t="s">
        <v>62</v>
      </c>
      <c r="Z24" s="136" t="s">
        <v>148</v>
      </c>
      <c r="AA24" s="134" t="s">
        <v>148</v>
      </c>
      <c r="AB24" s="136" t="s">
        <v>62</v>
      </c>
      <c r="AC24" s="136" t="s">
        <v>148</v>
      </c>
      <c r="AD24" s="134" t="s">
        <v>148</v>
      </c>
      <c r="AE24" s="161" t="s">
        <v>354</v>
      </c>
      <c r="AF24" s="161" t="s">
        <v>62</v>
      </c>
      <c r="AG24" s="137" t="s">
        <v>462</v>
      </c>
      <c r="AH24" s="136" t="s">
        <v>62</v>
      </c>
      <c r="AI24" s="136" t="s">
        <v>148</v>
      </c>
      <c r="AJ24" s="134" t="s">
        <v>148</v>
      </c>
      <c r="AK24" s="136" t="s">
        <v>62</v>
      </c>
      <c r="AL24" s="136" t="s">
        <v>148</v>
      </c>
      <c r="AM24" s="134" t="s">
        <v>148</v>
      </c>
      <c r="AN24" s="136" t="s">
        <v>277</v>
      </c>
      <c r="AO24" s="136" t="s">
        <v>148</v>
      </c>
      <c r="AP24" s="134" t="s">
        <v>148</v>
      </c>
      <c r="AQ24" s="136" t="s">
        <v>62</v>
      </c>
      <c r="AR24" s="136" t="s">
        <v>148</v>
      </c>
      <c r="AS24" s="134" t="s">
        <v>148</v>
      </c>
      <c r="AT24" s="136" t="s">
        <v>62</v>
      </c>
      <c r="AU24" s="136" t="s">
        <v>148</v>
      </c>
      <c r="AV24" s="134" t="s">
        <v>148</v>
      </c>
      <c r="AW24" s="136" t="s">
        <v>62</v>
      </c>
      <c r="AX24" s="136" t="s">
        <v>148</v>
      </c>
      <c r="AY24" s="134" t="s">
        <v>148</v>
      </c>
      <c r="AZ24" s="136" t="s">
        <v>62</v>
      </c>
      <c r="BA24" s="136" t="s">
        <v>148</v>
      </c>
      <c r="BB24" s="134" t="s">
        <v>148</v>
      </c>
      <c r="BC24" s="133">
        <v>5</v>
      </c>
      <c r="BD24" s="133">
        <v>3</v>
      </c>
      <c r="BE24" s="105">
        <v>0.6</v>
      </c>
      <c r="BF24" s="134" t="s">
        <v>235</v>
      </c>
      <c r="BG24" s="147">
        <v>1</v>
      </c>
      <c r="BH24" s="134" t="s">
        <v>377</v>
      </c>
      <c r="BI24" s="133">
        <v>33</v>
      </c>
      <c r="BJ24" s="133">
        <v>21</v>
      </c>
      <c r="BK24" s="105">
        <v>0.63636363636363635</v>
      </c>
      <c r="BL24" s="134" t="s">
        <v>235</v>
      </c>
      <c r="BM24" s="147">
        <v>1</v>
      </c>
      <c r="BN24" s="134" t="s">
        <v>236</v>
      </c>
      <c r="BO24" s="133">
        <v>4</v>
      </c>
      <c r="BP24" s="133">
        <v>4</v>
      </c>
      <c r="BQ24" s="105">
        <v>1</v>
      </c>
      <c r="BR24" s="134" t="s">
        <v>148</v>
      </c>
      <c r="BS24" s="147">
        <v>0</v>
      </c>
      <c r="BT24" s="134" t="s">
        <v>148</v>
      </c>
      <c r="BU24" s="133">
        <v>0</v>
      </c>
      <c r="BV24" s="133">
        <v>0</v>
      </c>
      <c r="BW24" s="105" t="s">
        <v>354</v>
      </c>
      <c r="BX24" s="134" t="s">
        <v>148</v>
      </c>
      <c r="BY24" s="147">
        <v>0</v>
      </c>
      <c r="BZ24" s="134" t="s">
        <v>148</v>
      </c>
      <c r="CA24" s="133">
        <v>0</v>
      </c>
      <c r="CB24" s="133">
        <v>0</v>
      </c>
      <c r="CC24" s="105" t="s">
        <v>354</v>
      </c>
      <c r="CD24" s="134" t="s">
        <v>148</v>
      </c>
      <c r="CE24" s="147">
        <v>0</v>
      </c>
      <c r="CF24" s="134" t="s">
        <v>148</v>
      </c>
      <c r="CG24" s="133">
        <v>2</v>
      </c>
      <c r="CH24" s="133">
        <v>2</v>
      </c>
      <c r="CI24" s="105">
        <v>1</v>
      </c>
      <c r="CJ24" s="134" t="s">
        <v>148</v>
      </c>
      <c r="CK24" s="147">
        <v>0</v>
      </c>
      <c r="CL24" s="134" t="s">
        <v>148</v>
      </c>
      <c r="CM24" s="133">
        <v>0</v>
      </c>
      <c r="CN24" s="133">
        <v>0</v>
      </c>
      <c r="CO24" s="105" t="s">
        <v>354</v>
      </c>
      <c r="CP24" s="134" t="s">
        <v>148</v>
      </c>
      <c r="CQ24" s="147">
        <v>0</v>
      </c>
      <c r="CR24" s="134" t="s">
        <v>148</v>
      </c>
      <c r="CS24" s="133">
        <v>6</v>
      </c>
      <c r="CT24" s="133">
        <v>5</v>
      </c>
      <c r="CU24" s="105">
        <v>0.83299999999999996</v>
      </c>
      <c r="CV24" s="134" t="s">
        <v>485</v>
      </c>
      <c r="CW24" s="147">
        <v>0</v>
      </c>
      <c r="CX24" s="134" t="s">
        <v>148</v>
      </c>
      <c r="CY24" s="133">
        <v>4</v>
      </c>
      <c r="CZ24" s="133">
        <v>3</v>
      </c>
      <c r="DA24" s="105">
        <v>0.75</v>
      </c>
      <c r="DB24" s="134" t="s">
        <v>235</v>
      </c>
      <c r="DC24" s="147">
        <v>1</v>
      </c>
      <c r="DD24" s="134" t="s">
        <v>237</v>
      </c>
      <c r="DE24" s="133">
        <v>0</v>
      </c>
      <c r="DF24" s="133">
        <v>0</v>
      </c>
      <c r="DG24" s="105" t="s">
        <v>354</v>
      </c>
      <c r="DH24" s="134" t="s">
        <v>148</v>
      </c>
      <c r="DI24" s="147">
        <v>0</v>
      </c>
      <c r="DJ24" s="134" t="s">
        <v>148</v>
      </c>
      <c r="DK24" s="133">
        <v>9</v>
      </c>
      <c r="DL24" s="133">
        <v>8</v>
      </c>
      <c r="DM24" s="105">
        <v>0.88888888888888884</v>
      </c>
      <c r="DN24" s="134" t="s">
        <v>238</v>
      </c>
      <c r="DO24" s="147">
        <v>0</v>
      </c>
      <c r="DP24" s="134" t="s">
        <v>148</v>
      </c>
      <c r="DQ24" s="133">
        <v>120</v>
      </c>
      <c r="DR24" s="133">
        <v>120</v>
      </c>
      <c r="DS24" s="105">
        <v>1</v>
      </c>
      <c r="DT24" s="134" t="s">
        <v>148</v>
      </c>
      <c r="DU24" s="147">
        <v>0</v>
      </c>
      <c r="DV24" s="134" t="s">
        <v>148</v>
      </c>
      <c r="DW24" s="133">
        <v>19</v>
      </c>
      <c r="DX24" s="133">
        <v>18</v>
      </c>
      <c r="DY24" s="105">
        <v>0.94736842105263153</v>
      </c>
      <c r="DZ24" s="134" t="s">
        <v>235</v>
      </c>
      <c r="EA24" s="147">
        <v>0</v>
      </c>
      <c r="EB24" s="134" t="s">
        <v>148</v>
      </c>
      <c r="EC24" s="133">
        <v>2</v>
      </c>
      <c r="ED24" s="133">
        <v>0</v>
      </c>
      <c r="EE24" s="105">
        <v>0</v>
      </c>
      <c r="EF24" s="134" t="s">
        <v>235</v>
      </c>
      <c r="EG24" s="147">
        <v>2</v>
      </c>
      <c r="EH24" s="134" t="s">
        <v>321</v>
      </c>
      <c r="EI24" s="133">
        <v>10</v>
      </c>
      <c r="EJ24" s="133">
        <v>1</v>
      </c>
      <c r="EK24" s="105">
        <v>0.1</v>
      </c>
      <c r="EL24" s="134" t="s">
        <v>239</v>
      </c>
      <c r="EM24" s="147">
        <v>9</v>
      </c>
      <c r="EN24" s="134" t="s">
        <v>240</v>
      </c>
      <c r="EO24" s="133">
        <v>12</v>
      </c>
      <c r="EP24" s="133">
        <v>0</v>
      </c>
      <c r="EQ24" s="105">
        <v>0</v>
      </c>
      <c r="ER24" s="134" t="s">
        <v>235</v>
      </c>
      <c r="ES24" s="147">
        <v>9</v>
      </c>
      <c r="ET24" s="134" t="s">
        <v>486</v>
      </c>
      <c r="EU24" s="133">
        <v>59</v>
      </c>
      <c r="EV24" s="133">
        <v>1</v>
      </c>
      <c r="EW24" s="105">
        <v>1.6949152542372881E-2</v>
      </c>
      <c r="EX24" s="134" t="s">
        <v>235</v>
      </c>
      <c r="EY24" s="147">
        <v>37</v>
      </c>
      <c r="EZ24" s="134" t="s">
        <v>322</v>
      </c>
      <c r="FA24" s="133">
        <v>9</v>
      </c>
      <c r="FB24" s="133">
        <v>5</v>
      </c>
      <c r="FC24" s="105">
        <v>0.55555555555000002</v>
      </c>
      <c r="FD24" s="134" t="s">
        <v>241</v>
      </c>
      <c r="FE24" s="147">
        <v>4</v>
      </c>
      <c r="FF24" s="134" t="s">
        <v>423</v>
      </c>
      <c r="FG24" s="133">
        <v>2</v>
      </c>
      <c r="FH24" s="133">
        <v>1</v>
      </c>
      <c r="FI24" s="105">
        <v>0.5</v>
      </c>
      <c r="FJ24" s="134" t="s">
        <v>235</v>
      </c>
      <c r="FK24" s="147">
        <v>1</v>
      </c>
      <c r="FL24" s="134" t="s">
        <v>323</v>
      </c>
      <c r="FM24" s="133">
        <v>0</v>
      </c>
      <c r="FN24" s="133">
        <v>0</v>
      </c>
      <c r="FO24" s="105" t="s">
        <v>354</v>
      </c>
      <c r="FP24" s="134" t="s">
        <v>148</v>
      </c>
      <c r="FQ24" s="147">
        <v>0</v>
      </c>
      <c r="FR24" s="134" t="s">
        <v>148</v>
      </c>
      <c r="FS24" s="133">
        <v>0</v>
      </c>
      <c r="FT24" s="133">
        <v>0</v>
      </c>
      <c r="FU24" s="105" t="s">
        <v>354</v>
      </c>
      <c r="FV24" s="134" t="s">
        <v>148</v>
      </c>
      <c r="FW24" s="147">
        <v>0</v>
      </c>
      <c r="FX24" s="134" t="s">
        <v>148</v>
      </c>
      <c r="FY24" s="133">
        <v>35</v>
      </c>
      <c r="FZ24" s="133">
        <v>34</v>
      </c>
      <c r="GA24" s="105">
        <v>0.97142857142000005</v>
      </c>
      <c r="GB24" s="134" t="s">
        <v>241</v>
      </c>
      <c r="GC24" s="147">
        <v>1</v>
      </c>
      <c r="GD24" s="134" t="s">
        <v>428</v>
      </c>
      <c r="GE24" s="133">
        <v>66</v>
      </c>
      <c r="GF24" s="133">
        <v>14</v>
      </c>
      <c r="GG24" s="105">
        <v>0.21212121212000001</v>
      </c>
      <c r="GH24" s="134" t="s">
        <v>235</v>
      </c>
      <c r="GI24" s="147">
        <v>9</v>
      </c>
      <c r="GJ24" s="134" t="s">
        <v>487</v>
      </c>
      <c r="GK24" s="134" t="s">
        <v>154</v>
      </c>
      <c r="GL24" s="134" t="s">
        <v>164</v>
      </c>
      <c r="GM24" s="134" t="s">
        <v>64</v>
      </c>
      <c r="GN24" s="136" t="s">
        <v>62</v>
      </c>
      <c r="GO24" s="136" t="s">
        <v>62</v>
      </c>
      <c r="GP24" s="134" t="s">
        <v>63</v>
      </c>
      <c r="GQ24" s="134" t="s">
        <v>64</v>
      </c>
      <c r="GR24" s="158" t="s">
        <v>62</v>
      </c>
      <c r="GS24" s="158" t="s">
        <v>62</v>
      </c>
      <c r="GT24" s="158" t="s">
        <v>62</v>
      </c>
      <c r="GU24" s="158" t="s">
        <v>148</v>
      </c>
      <c r="GV24" s="134" t="s">
        <v>148</v>
      </c>
      <c r="GW24" s="158" t="s">
        <v>62</v>
      </c>
      <c r="GX24" s="158" t="s">
        <v>62</v>
      </c>
      <c r="GY24" s="158" t="s">
        <v>62</v>
      </c>
      <c r="GZ24" s="158" t="s">
        <v>62</v>
      </c>
      <c r="HA24" s="158" t="s">
        <v>62</v>
      </c>
      <c r="HB24" s="158" t="s">
        <v>62</v>
      </c>
      <c r="HC24" s="128" t="s">
        <v>62</v>
      </c>
      <c r="HD24" s="127"/>
      <c r="HE24" s="169" t="s">
        <v>62</v>
      </c>
      <c r="HF24" s="169" t="s">
        <v>164</v>
      </c>
      <c r="HG24" s="169" t="s">
        <v>164</v>
      </c>
      <c r="HH24" s="169" t="s">
        <v>62</v>
      </c>
      <c r="HI24" s="169" t="s">
        <v>164</v>
      </c>
      <c r="HJ24" s="169"/>
    </row>
    <row r="25" spans="1:218" s="591" customFormat="1" ht="141" customHeight="1">
      <c r="A25" s="103" t="s">
        <v>275</v>
      </c>
      <c r="B25" s="102" t="s">
        <v>242</v>
      </c>
      <c r="C25" s="102" t="s">
        <v>243</v>
      </c>
      <c r="D25" s="136" t="s">
        <v>62</v>
      </c>
      <c r="E25" s="136" t="s">
        <v>148</v>
      </c>
      <c r="F25" s="134" t="s">
        <v>148</v>
      </c>
      <c r="G25" s="136" t="s">
        <v>62</v>
      </c>
      <c r="H25" s="136" t="s">
        <v>148</v>
      </c>
      <c r="I25" s="134" t="s">
        <v>148</v>
      </c>
      <c r="J25" s="136" t="s">
        <v>62</v>
      </c>
      <c r="K25" s="136" t="s">
        <v>148</v>
      </c>
      <c r="L25" s="134" t="s">
        <v>148</v>
      </c>
      <c r="M25" s="136" t="s">
        <v>62</v>
      </c>
      <c r="N25" s="136" t="s">
        <v>148</v>
      </c>
      <c r="O25" s="134" t="s">
        <v>148</v>
      </c>
      <c r="P25" s="136" t="s">
        <v>62</v>
      </c>
      <c r="Q25" s="136"/>
      <c r="R25" s="134"/>
      <c r="S25" s="136" t="s">
        <v>62</v>
      </c>
      <c r="T25" s="136" t="s">
        <v>148</v>
      </c>
      <c r="U25" s="134" t="s">
        <v>148</v>
      </c>
      <c r="V25" s="136" t="s">
        <v>62</v>
      </c>
      <c r="W25" s="136" t="s">
        <v>148</v>
      </c>
      <c r="X25" s="134" t="s">
        <v>148</v>
      </c>
      <c r="Y25" s="136" t="s">
        <v>62</v>
      </c>
      <c r="Z25" s="136" t="s">
        <v>148</v>
      </c>
      <c r="AA25" s="134" t="s">
        <v>148</v>
      </c>
      <c r="AB25" s="136" t="s">
        <v>62</v>
      </c>
      <c r="AC25" s="136" t="s">
        <v>148</v>
      </c>
      <c r="AD25" s="134" t="s">
        <v>148</v>
      </c>
      <c r="AE25" s="161" t="s">
        <v>354</v>
      </c>
      <c r="AF25" s="161" t="s">
        <v>62</v>
      </c>
      <c r="AG25" s="150" t="s">
        <v>244</v>
      </c>
      <c r="AH25" s="136" t="s">
        <v>62</v>
      </c>
      <c r="AI25" s="136" t="s">
        <v>148</v>
      </c>
      <c r="AJ25" s="134" t="s">
        <v>148</v>
      </c>
      <c r="AK25" s="136" t="s">
        <v>62</v>
      </c>
      <c r="AL25" s="136" t="s">
        <v>148</v>
      </c>
      <c r="AM25" s="134" t="s">
        <v>148</v>
      </c>
      <c r="AN25" s="136" t="s">
        <v>277</v>
      </c>
      <c r="AO25" s="136" t="s">
        <v>148</v>
      </c>
      <c r="AP25" s="134" t="s">
        <v>148</v>
      </c>
      <c r="AQ25" s="136" t="s">
        <v>62</v>
      </c>
      <c r="AR25" s="136" t="s">
        <v>148</v>
      </c>
      <c r="AS25" s="134" t="s">
        <v>148</v>
      </c>
      <c r="AT25" s="136" t="s">
        <v>62</v>
      </c>
      <c r="AU25" s="136" t="s">
        <v>148</v>
      </c>
      <c r="AV25" s="134" t="s">
        <v>148</v>
      </c>
      <c r="AW25" s="136" t="s">
        <v>62</v>
      </c>
      <c r="AX25" s="136" t="s">
        <v>148</v>
      </c>
      <c r="AY25" s="134" t="s">
        <v>148</v>
      </c>
      <c r="AZ25" s="136" t="s">
        <v>62</v>
      </c>
      <c r="BA25" s="136" t="s">
        <v>148</v>
      </c>
      <c r="BB25" s="134" t="s">
        <v>148</v>
      </c>
      <c r="BC25" s="133">
        <v>13</v>
      </c>
      <c r="BD25" s="133">
        <v>13</v>
      </c>
      <c r="BE25" s="105">
        <f t="shared" ref="BE25:BE26" si="66">IF(ISERROR(BD25/BC25),"",BD25/BC25)</f>
        <v>1</v>
      </c>
      <c r="BF25" s="134" t="s">
        <v>148</v>
      </c>
      <c r="BG25" s="147">
        <v>0</v>
      </c>
      <c r="BH25" s="134" t="s">
        <v>148</v>
      </c>
      <c r="BI25" s="133">
        <v>19</v>
      </c>
      <c r="BJ25" s="133">
        <v>19</v>
      </c>
      <c r="BK25" s="105">
        <f t="shared" ref="BK25:BK26" si="67">IF(ISERROR(BJ25/BI25),"",BJ25/BI25)</f>
        <v>1</v>
      </c>
      <c r="BL25" s="134" t="s">
        <v>148</v>
      </c>
      <c r="BM25" s="147">
        <v>0</v>
      </c>
      <c r="BN25" s="134" t="s">
        <v>148</v>
      </c>
      <c r="BO25" s="133">
        <v>5</v>
      </c>
      <c r="BP25" s="133">
        <v>4</v>
      </c>
      <c r="BQ25" s="105">
        <f t="shared" ref="BQ25:BQ26" si="68">IF(ISERROR(BP25/BO25),"",BP25/BO25)</f>
        <v>0.8</v>
      </c>
      <c r="BR25" s="134" t="s">
        <v>245</v>
      </c>
      <c r="BS25" s="147">
        <v>0</v>
      </c>
      <c r="BT25" s="134" t="s">
        <v>148</v>
      </c>
      <c r="BU25" s="133">
        <v>0</v>
      </c>
      <c r="BV25" s="133">
        <v>0</v>
      </c>
      <c r="BW25" s="105">
        <v>0</v>
      </c>
      <c r="BX25" s="134" t="s">
        <v>148</v>
      </c>
      <c r="BY25" s="147">
        <v>0</v>
      </c>
      <c r="BZ25" s="134" t="s">
        <v>148</v>
      </c>
      <c r="CA25" s="133">
        <v>1</v>
      </c>
      <c r="CB25" s="133">
        <v>1</v>
      </c>
      <c r="CC25" s="105">
        <f t="shared" ref="CC25:CC26" si="69">IF(ISERROR(CB25/CA25),"",CB25/CA25)</f>
        <v>1</v>
      </c>
      <c r="CD25" s="134" t="s">
        <v>148</v>
      </c>
      <c r="CE25" s="147">
        <v>0</v>
      </c>
      <c r="CF25" s="134" t="s">
        <v>148</v>
      </c>
      <c r="CG25" s="133">
        <v>1</v>
      </c>
      <c r="CH25" s="133">
        <v>1</v>
      </c>
      <c r="CI25" s="105">
        <f t="shared" ref="CI25:CI26" si="70">IF(ISERROR(CH25/CG25),"",CH25/CG25)</f>
        <v>1</v>
      </c>
      <c r="CJ25" s="134" t="s">
        <v>148</v>
      </c>
      <c r="CK25" s="147">
        <v>0</v>
      </c>
      <c r="CL25" s="134" t="s">
        <v>148</v>
      </c>
      <c r="CM25" s="133">
        <v>1</v>
      </c>
      <c r="CN25" s="133">
        <v>0</v>
      </c>
      <c r="CO25" s="105">
        <f t="shared" ref="CO25:CO26" si="71">IF(ISERROR(CN25/CM25),"",CN25/CM25)</f>
        <v>0</v>
      </c>
      <c r="CP25" s="134" t="s">
        <v>497</v>
      </c>
      <c r="CQ25" s="147">
        <v>0</v>
      </c>
      <c r="CR25" s="134" t="s">
        <v>148</v>
      </c>
      <c r="CS25" s="133">
        <v>0</v>
      </c>
      <c r="CT25" s="133">
        <v>0</v>
      </c>
      <c r="CU25" s="105">
        <v>0</v>
      </c>
      <c r="CV25" s="134" t="s">
        <v>148</v>
      </c>
      <c r="CW25" s="147">
        <v>0</v>
      </c>
      <c r="CX25" s="134" t="s">
        <v>148</v>
      </c>
      <c r="CY25" s="133">
        <v>1</v>
      </c>
      <c r="CZ25" s="133">
        <v>1</v>
      </c>
      <c r="DA25" s="105">
        <f t="shared" ref="DA25:DA26" si="72">IF(ISERROR(CZ25/CY25),"",CZ25/CY25)</f>
        <v>1</v>
      </c>
      <c r="DB25" s="134" t="s">
        <v>148</v>
      </c>
      <c r="DC25" s="147">
        <v>0</v>
      </c>
      <c r="DD25" s="134" t="s">
        <v>148</v>
      </c>
      <c r="DE25" s="133">
        <v>1</v>
      </c>
      <c r="DF25" s="133">
        <v>1</v>
      </c>
      <c r="DG25" s="105">
        <f t="shared" ref="DG25:DG26" si="73">IF(ISERROR(DF25/DE25),"",DF25/DE25)</f>
        <v>1</v>
      </c>
      <c r="DH25" s="134" t="s">
        <v>148</v>
      </c>
      <c r="DI25" s="147">
        <v>0</v>
      </c>
      <c r="DJ25" s="134" t="s">
        <v>148</v>
      </c>
      <c r="DK25" s="133">
        <v>8</v>
      </c>
      <c r="DL25" s="133">
        <v>8</v>
      </c>
      <c r="DM25" s="105">
        <f t="shared" ref="DM25:DM26" si="74">IF(ISERROR(DL25/DK25),"",DL25/DK25)</f>
        <v>1</v>
      </c>
      <c r="DN25" s="134" t="s">
        <v>148</v>
      </c>
      <c r="DO25" s="147">
        <v>0</v>
      </c>
      <c r="DP25" s="134" t="s">
        <v>148</v>
      </c>
      <c r="DQ25" s="133">
        <v>231</v>
      </c>
      <c r="DR25" s="133">
        <v>231</v>
      </c>
      <c r="DS25" s="105">
        <f t="shared" ref="DS25:DS26" si="75">IF(ISERROR(DR25/DQ25),"",DR25/DQ25)</f>
        <v>1</v>
      </c>
      <c r="DT25" s="134" t="s">
        <v>148</v>
      </c>
      <c r="DU25" s="147">
        <v>0</v>
      </c>
      <c r="DV25" s="134" t="s">
        <v>148</v>
      </c>
      <c r="DW25" s="133">
        <v>26</v>
      </c>
      <c r="DX25" s="133">
        <v>26</v>
      </c>
      <c r="DY25" s="105">
        <f t="shared" ref="DY25:DY26" si="76">IF(ISERROR(DX25/DW25),"",DX25/DW25)</f>
        <v>1</v>
      </c>
      <c r="DZ25" s="134" t="s">
        <v>148</v>
      </c>
      <c r="EA25" s="147">
        <v>0</v>
      </c>
      <c r="EB25" s="134" t="s">
        <v>148</v>
      </c>
      <c r="EC25" s="133">
        <v>31</v>
      </c>
      <c r="ED25" s="133">
        <v>5</v>
      </c>
      <c r="EE25" s="105">
        <f t="shared" ref="EE25:EE26" si="77">IF(ISERROR(ED25/EC25),"",ED25/EC25)</f>
        <v>0.16129032258064516</v>
      </c>
      <c r="EF25" s="134" t="s">
        <v>246</v>
      </c>
      <c r="EG25" s="147">
        <v>0</v>
      </c>
      <c r="EH25" s="134" t="s">
        <v>148</v>
      </c>
      <c r="EI25" s="133">
        <v>11</v>
      </c>
      <c r="EJ25" s="133">
        <v>11</v>
      </c>
      <c r="EK25" s="105">
        <f t="shared" ref="EK25:EK26" si="78">IF(ISERROR(EJ25/EI25),"",EJ25/EI25)</f>
        <v>1</v>
      </c>
      <c r="EL25" s="134" t="s">
        <v>148</v>
      </c>
      <c r="EM25" s="147">
        <v>0</v>
      </c>
      <c r="EN25" s="134" t="s">
        <v>148</v>
      </c>
      <c r="EO25" s="133">
        <v>11</v>
      </c>
      <c r="EP25" s="133">
        <v>11</v>
      </c>
      <c r="EQ25" s="105">
        <f t="shared" ref="EQ25:EQ26" si="79">IF(ISERROR(EP25/EO25),"",EP25/EO25)</f>
        <v>1</v>
      </c>
      <c r="ER25" s="134" t="s">
        <v>148</v>
      </c>
      <c r="ES25" s="147">
        <v>0</v>
      </c>
      <c r="ET25" s="134" t="s">
        <v>148</v>
      </c>
      <c r="EU25" s="133">
        <v>72</v>
      </c>
      <c r="EV25" s="133">
        <v>72</v>
      </c>
      <c r="EW25" s="105">
        <f t="shared" ref="EW25:EW26" si="80">IF(ISERROR(EV25/EU25),"",EV25/EU25)</f>
        <v>1</v>
      </c>
      <c r="EX25" s="134" t="s">
        <v>148</v>
      </c>
      <c r="EY25" s="147">
        <v>8</v>
      </c>
      <c r="EZ25" s="134" t="s">
        <v>247</v>
      </c>
      <c r="FA25" s="133">
        <v>11</v>
      </c>
      <c r="FB25" s="133">
        <v>11</v>
      </c>
      <c r="FC25" s="105">
        <f t="shared" ref="FC25:FC26" si="81">IF(ISERROR(FB25/FA25),"",FB25/FA25)</f>
        <v>1</v>
      </c>
      <c r="FD25" s="134" t="s">
        <v>148</v>
      </c>
      <c r="FE25" s="147">
        <v>0</v>
      </c>
      <c r="FF25" s="134" t="s">
        <v>148</v>
      </c>
      <c r="FG25" s="133">
        <v>6</v>
      </c>
      <c r="FH25" s="133">
        <v>6</v>
      </c>
      <c r="FI25" s="105">
        <f t="shared" ref="FI25:FI26" si="82">IF(ISERROR(FH25/FG25),"",FH25/FG25)</f>
        <v>1</v>
      </c>
      <c r="FJ25" s="134" t="s">
        <v>148</v>
      </c>
      <c r="FK25" s="147">
        <v>0</v>
      </c>
      <c r="FL25" s="134" t="s">
        <v>148</v>
      </c>
      <c r="FM25" s="133">
        <v>0</v>
      </c>
      <c r="FN25" s="133">
        <v>0</v>
      </c>
      <c r="FO25" s="105">
        <v>0</v>
      </c>
      <c r="FP25" s="134" t="s">
        <v>148</v>
      </c>
      <c r="FQ25" s="147">
        <v>0</v>
      </c>
      <c r="FR25" s="134" t="s">
        <v>148</v>
      </c>
      <c r="FS25" s="133">
        <v>0</v>
      </c>
      <c r="FT25" s="133">
        <v>0</v>
      </c>
      <c r="FU25" s="105">
        <v>0</v>
      </c>
      <c r="FV25" s="134" t="s">
        <v>148</v>
      </c>
      <c r="FW25" s="147">
        <v>0</v>
      </c>
      <c r="FX25" s="134" t="s">
        <v>148</v>
      </c>
      <c r="FY25" s="133">
        <v>52</v>
      </c>
      <c r="FZ25" s="133">
        <v>52</v>
      </c>
      <c r="GA25" s="105">
        <f t="shared" ref="GA25:GA26" si="83">IF(ISERROR(FZ25/FY25),"",FZ25/FY25)</f>
        <v>1</v>
      </c>
      <c r="GB25" s="134" t="s">
        <v>148</v>
      </c>
      <c r="GC25" s="147">
        <v>0</v>
      </c>
      <c r="GD25" s="134" t="s">
        <v>148</v>
      </c>
      <c r="GE25" s="133">
        <v>118</v>
      </c>
      <c r="GF25" s="133">
        <v>0</v>
      </c>
      <c r="GG25" s="105">
        <f t="shared" ref="GG25:GG26" si="84">IF(ISERROR(GF25/GE25),"",GF25/GE25)</f>
        <v>0</v>
      </c>
      <c r="GH25" s="134" t="s">
        <v>248</v>
      </c>
      <c r="GI25" s="147">
        <v>118</v>
      </c>
      <c r="GJ25" s="134" t="s">
        <v>249</v>
      </c>
      <c r="GK25" s="134" t="s">
        <v>169</v>
      </c>
      <c r="GL25" s="134" t="s">
        <v>164</v>
      </c>
      <c r="GM25" s="134" t="s">
        <v>150</v>
      </c>
      <c r="GN25" s="136" t="s">
        <v>148</v>
      </c>
      <c r="GO25" s="136" t="s">
        <v>277</v>
      </c>
      <c r="GP25" s="134" t="s">
        <v>63</v>
      </c>
      <c r="GQ25" s="134" t="s">
        <v>64</v>
      </c>
      <c r="GR25" s="158" t="s">
        <v>62</v>
      </c>
      <c r="GS25" s="158" t="s">
        <v>62</v>
      </c>
      <c r="GT25" s="158" t="s">
        <v>62</v>
      </c>
      <c r="GU25" s="158" t="s">
        <v>62</v>
      </c>
      <c r="GV25" s="134" t="s">
        <v>148</v>
      </c>
      <c r="GW25" s="158" t="s">
        <v>62</v>
      </c>
      <c r="GX25" s="158" t="s">
        <v>148</v>
      </c>
      <c r="GY25" s="158" t="s">
        <v>148</v>
      </c>
      <c r="GZ25" s="158" t="s">
        <v>62</v>
      </c>
      <c r="HA25" s="158" t="s">
        <v>148</v>
      </c>
      <c r="HB25" s="158" t="s">
        <v>148</v>
      </c>
      <c r="HC25" s="128" t="s">
        <v>62</v>
      </c>
      <c r="HD25" s="127"/>
      <c r="HE25" s="169" t="s">
        <v>62</v>
      </c>
      <c r="HF25" s="169" t="s">
        <v>164</v>
      </c>
      <c r="HG25" s="169" t="s">
        <v>164</v>
      </c>
      <c r="HH25" s="169" t="s">
        <v>62</v>
      </c>
      <c r="HI25" s="169" t="s">
        <v>164</v>
      </c>
      <c r="HJ25" s="169"/>
    </row>
    <row r="26" spans="1:218" s="591" customFormat="1" ht="95.5" customHeight="1">
      <c r="A26" s="103" t="s">
        <v>398</v>
      </c>
      <c r="B26" s="102" t="s">
        <v>250</v>
      </c>
      <c r="C26" s="102" t="s">
        <v>251</v>
      </c>
      <c r="D26" s="136" t="s">
        <v>62</v>
      </c>
      <c r="E26" s="136" t="s">
        <v>148</v>
      </c>
      <c r="F26" s="134" t="s">
        <v>148</v>
      </c>
      <c r="G26" s="136" t="s">
        <v>62</v>
      </c>
      <c r="H26" s="136" t="s">
        <v>148</v>
      </c>
      <c r="I26" s="134" t="s">
        <v>148</v>
      </c>
      <c r="J26" s="136" t="s">
        <v>62</v>
      </c>
      <c r="K26" s="136" t="s">
        <v>148</v>
      </c>
      <c r="L26" s="134" t="s">
        <v>148</v>
      </c>
      <c r="M26" s="136" t="s">
        <v>62</v>
      </c>
      <c r="N26" s="136" t="s">
        <v>148</v>
      </c>
      <c r="O26" s="134" t="s">
        <v>148</v>
      </c>
      <c r="P26" s="136" t="s">
        <v>62</v>
      </c>
      <c r="Q26" s="136" t="s">
        <v>148</v>
      </c>
      <c r="R26" s="134" t="s">
        <v>148</v>
      </c>
      <c r="S26" s="136" t="s">
        <v>62</v>
      </c>
      <c r="T26" s="136" t="s">
        <v>148</v>
      </c>
      <c r="U26" s="134" t="s">
        <v>148</v>
      </c>
      <c r="V26" s="136" t="s">
        <v>62</v>
      </c>
      <c r="W26" s="136" t="s">
        <v>148</v>
      </c>
      <c r="X26" s="134" t="s">
        <v>148</v>
      </c>
      <c r="Y26" s="136" t="s">
        <v>62</v>
      </c>
      <c r="Z26" s="136" t="s">
        <v>148</v>
      </c>
      <c r="AA26" s="134" t="s">
        <v>148</v>
      </c>
      <c r="AB26" s="136" t="s">
        <v>62</v>
      </c>
      <c r="AC26" s="136" t="s">
        <v>148</v>
      </c>
      <c r="AD26" s="134" t="s">
        <v>148</v>
      </c>
      <c r="AE26" s="161" t="s">
        <v>354</v>
      </c>
      <c r="AF26" s="161" t="s">
        <v>62</v>
      </c>
      <c r="AG26" s="137" t="s">
        <v>463</v>
      </c>
      <c r="AH26" s="136" t="s">
        <v>62</v>
      </c>
      <c r="AI26" s="136" t="s">
        <v>148</v>
      </c>
      <c r="AJ26" s="134" t="s">
        <v>148</v>
      </c>
      <c r="AK26" s="136" t="s">
        <v>62</v>
      </c>
      <c r="AL26" s="136" t="s">
        <v>148</v>
      </c>
      <c r="AM26" s="134" t="s">
        <v>148</v>
      </c>
      <c r="AN26" s="136"/>
      <c r="AO26" s="136" t="s">
        <v>148</v>
      </c>
      <c r="AP26" s="134" t="s">
        <v>148</v>
      </c>
      <c r="AQ26" s="136" t="s">
        <v>62</v>
      </c>
      <c r="AR26" s="136" t="s">
        <v>148</v>
      </c>
      <c r="AS26" s="134" t="s">
        <v>148</v>
      </c>
      <c r="AT26" s="136" t="s">
        <v>62</v>
      </c>
      <c r="AU26" s="136" t="s">
        <v>148</v>
      </c>
      <c r="AV26" s="134" t="s">
        <v>148</v>
      </c>
      <c r="AW26" s="136" t="s">
        <v>62</v>
      </c>
      <c r="AX26" s="136" t="s">
        <v>148</v>
      </c>
      <c r="AY26" s="134" t="s">
        <v>148</v>
      </c>
      <c r="AZ26" s="136" t="s">
        <v>62</v>
      </c>
      <c r="BA26" s="136" t="s">
        <v>148</v>
      </c>
      <c r="BB26" s="134" t="s">
        <v>148</v>
      </c>
      <c r="BC26" s="133">
        <v>20</v>
      </c>
      <c r="BD26" s="133">
        <v>20</v>
      </c>
      <c r="BE26" s="105">
        <f t="shared" si="66"/>
        <v>1</v>
      </c>
      <c r="BF26" s="134" t="s">
        <v>148</v>
      </c>
      <c r="BG26" s="147">
        <v>0</v>
      </c>
      <c r="BH26" s="134"/>
      <c r="BI26" s="133">
        <v>44</v>
      </c>
      <c r="BJ26" s="133">
        <v>40</v>
      </c>
      <c r="BK26" s="105">
        <f t="shared" si="67"/>
        <v>0.90909090909090906</v>
      </c>
      <c r="BL26" s="134" t="s">
        <v>324</v>
      </c>
      <c r="BM26" s="147">
        <v>0</v>
      </c>
      <c r="BN26" s="134" t="s">
        <v>148</v>
      </c>
      <c r="BO26" s="133">
        <v>17</v>
      </c>
      <c r="BP26" s="133">
        <v>17</v>
      </c>
      <c r="BQ26" s="105">
        <f t="shared" si="68"/>
        <v>1</v>
      </c>
      <c r="BR26" s="134" t="s">
        <v>148</v>
      </c>
      <c r="BS26" s="147">
        <v>0</v>
      </c>
      <c r="BT26" s="134" t="s">
        <v>148</v>
      </c>
      <c r="BU26" s="133">
        <v>0</v>
      </c>
      <c r="BV26" s="133">
        <v>0</v>
      </c>
      <c r="BW26" s="105" t="str">
        <f t="shared" ref="BW26" si="85">IF(ISERROR(BV26/BU26),"",BV26/BU26)</f>
        <v/>
      </c>
      <c r="BX26" s="134" t="s">
        <v>148</v>
      </c>
      <c r="BY26" s="147">
        <v>0</v>
      </c>
      <c r="BZ26" s="134" t="s">
        <v>148</v>
      </c>
      <c r="CA26" s="133">
        <v>0</v>
      </c>
      <c r="CB26" s="133">
        <v>0</v>
      </c>
      <c r="CC26" s="105" t="str">
        <f t="shared" si="69"/>
        <v/>
      </c>
      <c r="CD26" s="134" t="s">
        <v>148</v>
      </c>
      <c r="CE26" s="147">
        <v>0</v>
      </c>
      <c r="CF26" s="134" t="s">
        <v>148</v>
      </c>
      <c r="CG26" s="133">
        <v>0</v>
      </c>
      <c r="CH26" s="133">
        <v>0</v>
      </c>
      <c r="CI26" s="105" t="str">
        <f t="shared" si="70"/>
        <v/>
      </c>
      <c r="CJ26" s="134" t="s">
        <v>148</v>
      </c>
      <c r="CK26" s="147">
        <v>0</v>
      </c>
      <c r="CL26" s="134" t="s">
        <v>148</v>
      </c>
      <c r="CM26" s="133">
        <v>0</v>
      </c>
      <c r="CN26" s="133">
        <v>0</v>
      </c>
      <c r="CO26" s="105" t="str">
        <f t="shared" si="71"/>
        <v/>
      </c>
      <c r="CP26" s="134" t="s">
        <v>148</v>
      </c>
      <c r="CQ26" s="147">
        <v>0</v>
      </c>
      <c r="CR26" s="134" t="s">
        <v>148</v>
      </c>
      <c r="CS26" s="133">
        <v>19</v>
      </c>
      <c r="CT26" s="133">
        <v>16</v>
      </c>
      <c r="CU26" s="105">
        <f t="shared" ref="CU26" si="86">IF(ISERROR(CT26/CS26),"",CT26/CS26)</f>
        <v>0.84210526315789469</v>
      </c>
      <c r="CV26" s="134" t="s">
        <v>325</v>
      </c>
      <c r="CW26" s="147">
        <v>2</v>
      </c>
      <c r="CX26" s="134" t="s">
        <v>326</v>
      </c>
      <c r="CY26" s="133">
        <v>2</v>
      </c>
      <c r="CZ26" s="133">
        <v>2</v>
      </c>
      <c r="DA26" s="105">
        <f t="shared" si="72"/>
        <v>1</v>
      </c>
      <c r="DB26" s="134" t="s">
        <v>148</v>
      </c>
      <c r="DC26" s="147">
        <v>0</v>
      </c>
      <c r="DD26" s="134" t="s">
        <v>148</v>
      </c>
      <c r="DE26" s="133">
        <v>9</v>
      </c>
      <c r="DF26" s="133">
        <v>9</v>
      </c>
      <c r="DG26" s="105">
        <f t="shared" si="73"/>
        <v>1</v>
      </c>
      <c r="DH26" s="134" t="s">
        <v>148</v>
      </c>
      <c r="DI26" s="147">
        <v>0</v>
      </c>
      <c r="DJ26" s="134" t="s">
        <v>148</v>
      </c>
      <c r="DK26" s="133">
        <v>25</v>
      </c>
      <c r="DL26" s="133">
        <v>6</v>
      </c>
      <c r="DM26" s="105">
        <f t="shared" si="74"/>
        <v>0.24</v>
      </c>
      <c r="DN26" s="134" t="s">
        <v>409</v>
      </c>
      <c r="DO26" s="147">
        <v>0</v>
      </c>
      <c r="DP26" s="134" t="s">
        <v>148</v>
      </c>
      <c r="DQ26" s="133">
        <v>1</v>
      </c>
      <c r="DR26" s="133">
        <v>1</v>
      </c>
      <c r="DS26" s="105">
        <f t="shared" si="75"/>
        <v>1</v>
      </c>
      <c r="DT26" s="134" t="s">
        <v>148</v>
      </c>
      <c r="DU26" s="147">
        <v>0</v>
      </c>
      <c r="DV26" s="134" t="s">
        <v>148</v>
      </c>
      <c r="DW26" s="133">
        <v>28</v>
      </c>
      <c r="DX26" s="133">
        <v>27</v>
      </c>
      <c r="DY26" s="105">
        <f t="shared" si="76"/>
        <v>0.9642857142857143</v>
      </c>
      <c r="DZ26" s="134" t="s">
        <v>327</v>
      </c>
      <c r="EA26" s="147">
        <v>0</v>
      </c>
      <c r="EB26" s="134" t="s">
        <v>148</v>
      </c>
      <c r="EC26" s="133">
        <v>9</v>
      </c>
      <c r="ED26" s="133">
        <v>0</v>
      </c>
      <c r="EE26" s="105">
        <f t="shared" si="77"/>
        <v>0</v>
      </c>
      <c r="EF26" s="134" t="s">
        <v>328</v>
      </c>
      <c r="EG26" s="147">
        <v>2</v>
      </c>
      <c r="EH26" s="134" t="s">
        <v>329</v>
      </c>
      <c r="EI26" s="133">
        <v>14</v>
      </c>
      <c r="EJ26" s="133">
        <v>12</v>
      </c>
      <c r="EK26" s="105">
        <f t="shared" si="78"/>
        <v>0.8571428571428571</v>
      </c>
      <c r="EL26" s="134" t="s">
        <v>330</v>
      </c>
      <c r="EM26" s="147">
        <v>2</v>
      </c>
      <c r="EN26" s="134" t="s">
        <v>331</v>
      </c>
      <c r="EO26" s="133">
        <v>12</v>
      </c>
      <c r="EP26" s="133">
        <v>4</v>
      </c>
      <c r="EQ26" s="105">
        <f t="shared" si="79"/>
        <v>0.33333333333333331</v>
      </c>
      <c r="ER26" s="134" t="s">
        <v>332</v>
      </c>
      <c r="ES26" s="147">
        <v>7</v>
      </c>
      <c r="ET26" s="134" t="s">
        <v>333</v>
      </c>
      <c r="EU26" s="133">
        <v>146</v>
      </c>
      <c r="EV26" s="133">
        <v>1</v>
      </c>
      <c r="EW26" s="105">
        <f t="shared" si="80"/>
        <v>6.8493150684931503E-3</v>
      </c>
      <c r="EX26" s="134" t="s">
        <v>334</v>
      </c>
      <c r="EY26" s="147">
        <v>138</v>
      </c>
      <c r="EZ26" s="134" t="s">
        <v>335</v>
      </c>
      <c r="FA26" s="133">
        <v>7</v>
      </c>
      <c r="FB26" s="133">
        <v>7</v>
      </c>
      <c r="FC26" s="105">
        <f t="shared" si="81"/>
        <v>1</v>
      </c>
      <c r="FD26" s="134" t="s">
        <v>148</v>
      </c>
      <c r="FE26" s="147">
        <v>0</v>
      </c>
      <c r="FF26" s="134" t="s">
        <v>148</v>
      </c>
      <c r="FG26" s="133">
        <v>7</v>
      </c>
      <c r="FH26" s="133">
        <v>3</v>
      </c>
      <c r="FI26" s="105">
        <f t="shared" si="82"/>
        <v>0.42857142857142855</v>
      </c>
      <c r="FJ26" s="134" t="s">
        <v>336</v>
      </c>
      <c r="FK26" s="147">
        <v>3</v>
      </c>
      <c r="FL26" s="134" t="s">
        <v>337</v>
      </c>
      <c r="FM26" s="133">
        <v>1</v>
      </c>
      <c r="FN26" s="133">
        <v>1</v>
      </c>
      <c r="FO26" s="105">
        <f t="shared" ref="FO26" si="87">IF(ISERROR(FN26/FM26),"",FN26/FM26)</f>
        <v>1</v>
      </c>
      <c r="FP26" s="134" t="s">
        <v>148</v>
      </c>
      <c r="FQ26" s="147">
        <v>0</v>
      </c>
      <c r="FR26" s="134" t="s">
        <v>148</v>
      </c>
      <c r="FS26" s="133">
        <v>2</v>
      </c>
      <c r="FT26" s="133">
        <v>2</v>
      </c>
      <c r="FU26" s="105">
        <f t="shared" ref="FU26" si="88">IF(ISERROR(FT26/FS26),"",FT26/FS26)</f>
        <v>1</v>
      </c>
      <c r="FV26" s="134" t="s">
        <v>148</v>
      </c>
      <c r="FW26" s="147">
        <v>0</v>
      </c>
      <c r="FX26" s="134" t="s">
        <v>148</v>
      </c>
      <c r="FY26" s="133">
        <v>26</v>
      </c>
      <c r="FZ26" s="133">
        <v>22</v>
      </c>
      <c r="GA26" s="105">
        <f t="shared" si="83"/>
        <v>0.84615384615384615</v>
      </c>
      <c r="GB26" s="134" t="s">
        <v>338</v>
      </c>
      <c r="GC26" s="147">
        <v>3</v>
      </c>
      <c r="GD26" s="134" t="s">
        <v>339</v>
      </c>
      <c r="GE26" s="133">
        <v>43</v>
      </c>
      <c r="GF26" s="133">
        <v>43</v>
      </c>
      <c r="GG26" s="105">
        <f t="shared" si="84"/>
        <v>1</v>
      </c>
      <c r="GH26" s="134" t="s">
        <v>148</v>
      </c>
      <c r="GI26" s="147">
        <v>0</v>
      </c>
      <c r="GJ26" s="134" t="s">
        <v>148</v>
      </c>
      <c r="GK26" s="134" t="s">
        <v>154</v>
      </c>
      <c r="GL26" s="134" t="s">
        <v>164</v>
      </c>
      <c r="GM26" s="134" t="s">
        <v>64</v>
      </c>
      <c r="GN26" s="136" t="s">
        <v>148</v>
      </c>
      <c r="GO26" s="136" t="s">
        <v>277</v>
      </c>
      <c r="GP26" s="134" t="s">
        <v>63</v>
      </c>
      <c r="GQ26" s="134" t="s">
        <v>64</v>
      </c>
      <c r="GR26" s="158" t="s">
        <v>62</v>
      </c>
      <c r="GS26" s="158" t="s">
        <v>62</v>
      </c>
      <c r="GT26" s="158" t="s">
        <v>62</v>
      </c>
      <c r="GU26" s="158" t="s">
        <v>148</v>
      </c>
      <c r="GV26" s="134" t="s">
        <v>148</v>
      </c>
      <c r="GW26" s="158" t="s">
        <v>62</v>
      </c>
      <c r="GX26" s="158" t="s">
        <v>62</v>
      </c>
      <c r="GY26" s="158" t="s">
        <v>62</v>
      </c>
      <c r="GZ26" s="158" t="s">
        <v>148</v>
      </c>
      <c r="HA26" s="158" t="s">
        <v>148</v>
      </c>
      <c r="HB26" s="158" t="s">
        <v>148</v>
      </c>
      <c r="HC26" s="128" t="s">
        <v>62</v>
      </c>
      <c r="HD26" s="127"/>
      <c r="HE26" s="169" t="s">
        <v>62</v>
      </c>
      <c r="HF26" s="169" t="s">
        <v>164</v>
      </c>
      <c r="HG26" s="169" t="s">
        <v>164</v>
      </c>
      <c r="HH26" s="169" t="s">
        <v>62</v>
      </c>
      <c r="HI26" s="169" t="s">
        <v>164</v>
      </c>
      <c r="HJ26" s="169"/>
    </row>
    <row r="27" spans="1:218" s="591" customFormat="1" ht="150" customHeight="1">
      <c r="A27" s="103" t="s">
        <v>399</v>
      </c>
      <c r="B27" s="102" t="s">
        <v>252</v>
      </c>
      <c r="C27" s="102" t="s">
        <v>253</v>
      </c>
      <c r="D27" s="136" t="s">
        <v>62</v>
      </c>
      <c r="E27" s="136" t="s">
        <v>148</v>
      </c>
      <c r="F27" s="134" t="s">
        <v>148</v>
      </c>
      <c r="G27" s="136" t="s">
        <v>62</v>
      </c>
      <c r="H27" s="136" t="s">
        <v>148</v>
      </c>
      <c r="I27" s="134" t="s">
        <v>148</v>
      </c>
      <c r="J27" s="136" t="s">
        <v>62</v>
      </c>
      <c r="K27" s="136" t="s">
        <v>148</v>
      </c>
      <c r="L27" s="134" t="s">
        <v>148</v>
      </c>
      <c r="M27" s="136" t="s">
        <v>62</v>
      </c>
      <c r="N27" s="136" t="s">
        <v>148</v>
      </c>
      <c r="O27" s="134" t="s">
        <v>148</v>
      </c>
      <c r="P27" s="136"/>
      <c r="Q27" s="136" t="s">
        <v>62</v>
      </c>
      <c r="R27" s="134" t="s">
        <v>503</v>
      </c>
      <c r="S27" s="136" t="s">
        <v>62</v>
      </c>
      <c r="T27" s="136" t="s">
        <v>148</v>
      </c>
      <c r="U27" s="134" t="s">
        <v>148</v>
      </c>
      <c r="V27" s="136" t="s">
        <v>62</v>
      </c>
      <c r="W27" s="136" t="s">
        <v>148</v>
      </c>
      <c r="X27" s="134" t="s">
        <v>148</v>
      </c>
      <c r="Y27" s="136" t="s">
        <v>62</v>
      </c>
      <c r="Z27" s="136" t="s">
        <v>148</v>
      </c>
      <c r="AA27" s="134" t="s">
        <v>148</v>
      </c>
      <c r="AB27" s="136" t="s">
        <v>62</v>
      </c>
      <c r="AC27" s="136" t="s">
        <v>148</v>
      </c>
      <c r="AD27" s="134" t="s">
        <v>148</v>
      </c>
      <c r="AE27" s="161" t="s">
        <v>62</v>
      </c>
      <c r="AF27" s="161" t="s">
        <v>354</v>
      </c>
      <c r="AG27" s="137"/>
      <c r="AH27" s="136" t="s">
        <v>62</v>
      </c>
      <c r="AI27" s="136" t="s">
        <v>148</v>
      </c>
      <c r="AJ27" s="134" t="s">
        <v>148</v>
      </c>
      <c r="AK27" s="136" t="s">
        <v>62</v>
      </c>
      <c r="AL27" s="136" t="s">
        <v>148</v>
      </c>
      <c r="AM27" s="134" t="s">
        <v>148</v>
      </c>
      <c r="AN27" s="136"/>
      <c r="AO27" s="136" t="s">
        <v>148</v>
      </c>
      <c r="AP27" s="134" t="s">
        <v>148</v>
      </c>
      <c r="AQ27" s="136" t="s">
        <v>62</v>
      </c>
      <c r="AR27" s="136" t="s">
        <v>148</v>
      </c>
      <c r="AS27" s="134" t="s">
        <v>148</v>
      </c>
      <c r="AT27" s="136" t="s">
        <v>62</v>
      </c>
      <c r="AU27" s="136" t="s">
        <v>148</v>
      </c>
      <c r="AV27" s="134" t="s">
        <v>148</v>
      </c>
      <c r="AW27" s="136" t="s">
        <v>62</v>
      </c>
      <c r="AX27" s="136" t="s">
        <v>148</v>
      </c>
      <c r="AY27" s="134" t="s">
        <v>148</v>
      </c>
      <c r="AZ27" s="136" t="s">
        <v>62</v>
      </c>
      <c r="BA27" s="136" t="s">
        <v>148</v>
      </c>
      <c r="BB27" s="134" t="s">
        <v>148</v>
      </c>
      <c r="BC27" s="133">
        <v>11</v>
      </c>
      <c r="BD27" s="133">
        <v>11</v>
      </c>
      <c r="BE27" s="105">
        <f>IF(ISERROR(BD27/BC27),"",BD27/BC27)</f>
        <v>1</v>
      </c>
      <c r="BF27" s="134" t="s">
        <v>148</v>
      </c>
      <c r="BG27" s="147">
        <v>0</v>
      </c>
      <c r="BH27" s="134" t="s">
        <v>148</v>
      </c>
      <c r="BI27" s="133">
        <v>1</v>
      </c>
      <c r="BJ27" s="133">
        <v>1</v>
      </c>
      <c r="BK27" s="105">
        <f>IF(ISERROR(BJ27/BI27),"",BJ27/BI27)</f>
        <v>1</v>
      </c>
      <c r="BL27" s="134" t="s">
        <v>148</v>
      </c>
      <c r="BM27" s="147">
        <v>0</v>
      </c>
      <c r="BN27" s="134" t="s">
        <v>148</v>
      </c>
      <c r="BO27" s="133">
        <v>7</v>
      </c>
      <c r="BP27" s="133">
        <v>7</v>
      </c>
      <c r="BQ27" s="105">
        <f>IF(ISERROR(BP27/BO27),"",BP27/BO27)</f>
        <v>1</v>
      </c>
      <c r="BR27" s="134"/>
      <c r="BS27" s="147">
        <v>0</v>
      </c>
      <c r="BT27" s="134" t="s">
        <v>148</v>
      </c>
      <c r="BU27" s="133">
        <v>0</v>
      </c>
      <c r="BV27" s="133">
        <v>0</v>
      </c>
      <c r="BW27" s="105" t="str">
        <f>IF(ISERROR(BV27/BU27),"",BV27/BU27)</f>
        <v/>
      </c>
      <c r="BX27" s="134" t="s">
        <v>148</v>
      </c>
      <c r="BY27" s="147">
        <v>0</v>
      </c>
      <c r="BZ27" s="134" t="s">
        <v>148</v>
      </c>
      <c r="CA27" s="133">
        <v>0</v>
      </c>
      <c r="CB27" s="133">
        <v>0</v>
      </c>
      <c r="CC27" s="105" t="str">
        <f>IF(ISERROR(CB27/CA27),"",CB27/CA27)</f>
        <v/>
      </c>
      <c r="CD27" s="134" t="s">
        <v>148</v>
      </c>
      <c r="CE27" s="147">
        <v>0</v>
      </c>
      <c r="CF27" s="134" t="s">
        <v>148</v>
      </c>
      <c r="CG27" s="133">
        <v>0</v>
      </c>
      <c r="CH27" s="133">
        <v>0</v>
      </c>
      <c r="CI27" s="105" t="str">
        <f>IF(ISERROR(CH27/CG27),"",CH27/CG27)</f>
        <v/>
      </c>
      <c r="CJ27" s="134" t="s">
        <v>148</v>
      </c>
      <c r="CK27" s="147">
        <v>0</v>
      </c>
      <c r="CL27" s="134" t="s">
        <v>148</v>
      </c>
      <c r="CM27" s="133">
        <v>2</v>
      </c>
      <c r="CN27" s="133">
        <v>2</v>
      </c>
      <c r="CO27" s="105">
        <f>IF(ISERROR(CN27/CM27),"",CN27/CM27)</f>
        <v>1</v>
      </c>
      <c r="CP27" s="134" t="s">
        <v>148</v>
      </c>
      <c r="CQ27" s="147">
        <v>0</v>
      </c>
      <c r="CR27" s="134" t="s">
        <v>148</v>
      </c>
      <c r="CS27" s="133">
        <v>0</v>
      </c>
      <c r="CT27" s="133">
        <v>0</v>
      </c>
      <c r="CU27" s="105" t="str">
        <f>IF(ISERROR(CT27/CS27),"",CT27/CS27)</f>
        <v/>
      </c>
      <c r="CV27" s="134" t="s">
        <v>148</v>
      </c>
      <c r="CW27" s="147">
        <v>0</v>
      </c>
      <c r="CX27" s="134" t="s">
        <v>148</v>
      </c>
      <c r="CY27" s="133">
        <v>3</v>
      </c>
      <c r="CZ27" s="133">
        <v>3</v>
      </c>
      <c r="DA27" s="105">
        <f>IF(ISERROR(CZ27/CY27),"",CZ27/CY27)</f>
        <v>1</v>
      </c>
      <c r="DB27" s="134" t="s">
        <v>148</v>
      </c>
      <c r="DC27" s="147">
        <v>0</v>
      </c>
      <c r="DD27" s="134" t="s">
        <v>148</v>
      </c>
      <c r="DE27" s="133">
        <v>1</v>
      </c>
      <c r="DF27" s="133">
        <v>0</v>
      </c>
      <c r="DG27" s="105">
        <f>IF(ISERROR(DF27/DE27),"",DF27/DE27)</f>
        <v>0</v>
      </c>
      <c r="DH27" s="134" t="s">
        <v>504</v>
      </c>
      <c r="DI27" s="147">
        <v>1</v>
      </c>
      <c r="DJ27" s="134" t="s">
        <v>505</v>
      </c>
      <c r="DK27" s="133">
        <v>13</v>
      </c>
      <c r="DL27" s="133">
        <v>13</v>
      </c>
      <c r="DM27" s="105">
        <f>IF(ISERROR(DL27/DK27),"",DL27/DK27)</f>
        <v>1</v>
      </c>
      <c r="DN27" s="134" t="s">
        <v>148</v>
      </c>
      <c r="DO27" s="147">
        <v>0</v>
      </c>
      <c r="DP27" s="134" t="s">
        <v>148</v>
      </c>
      <c r="DQ27" s="133">
        <v>170</v>
      </c>
      <c r="DR27" s="133">
        <v>170</v>
      </c>
      <c r="DS27" s="105">
        <f>IF(ISERROR(DR27/DQ27),"",DR27/DQ27)</f>
        <v>1</v>
      </c>
      <c r="DT27" s="134" t="s">
        <v>148</v>
      </c>
      <c r="DU27" s="147">
        <v>0</v>
      </c>
      <c r="DV27" s="134" t="s">
        <v>148</v>
      </c>
      <c r="DW27" s="133">
        <v>5</v>
      </c>
      <c r="DX27" s="133">
        <v>5</v>
      </c>
      <c r="DY27" s="105">
        <f>IF(ISERROR(DX27/DW27),"",DX27/DW27)</f>
        <v>1</v>
      </c>
      <c r="DZ27" s="134" t="s">
        <v>148</v>
      </c>
      <c r="EA27" s="147">
        <v>0</v>
      </c>
      <c r="EB27" s="134" t="s">
        <v>148</v>
      </c>
      <c r="EC27" s="133">
        <v>5</v>
      </c>
      <c r="ED27" s="133">
        <v>4</v>
      </c>
      <c r="EE27" s="105">
        <f>IF(ISERROR(ED27/EC27),"",ED27/EC27)</f>
        <v>0.8</v>
      </c>
      <c r="EF27" s="134" t="s">
        <v>506</v>
      </c>
      <c r="EG27" s="147">
        <v>0</v>
      </c>
      <c r="EH27" s="134" t="s">
        <v>148</v>
      </c>
      <c r="EI27" s="133">
        <v>13</v>
      </c>
      <c r="EJ27" s="133">
        <v>4</v>
      </c>
      <c r="EK27" s="105">
        <f>IF(ISERROR(EJ27/EI27),"",EJ27/EI27)</f>
        <v>0.30769230769230771</v>
      </c>
      <c r="EL27" s="134" t="s">
        <v>507</v>
      </c>
      <c r="EM27" s="154">
        <v>10</v>
      </c>
      <c r="EN27" s="134" t="s">
        <v>508</v>
      </c>
      <c r="EO27" s="133">
        <v>7</v>
      </c>
      <c r="EP27" s="133">
        <v>2</v>
      </c>
      <c r="EQ27" s="105">
        <f>IF(ISERROR(EP27/EO27),"",EP27/EO27)</f>
        <v>0.2857142857142857</v>
      </c>
      <c r="ER27" s="134" t="s">
        <v>509</v>
      </c>
      <c r="ES27" s="147">
        <v>4</v>
      </c>
      <c r="ET27" s="134" t="s">
        <v>510</v>
      </c>
      <c r="EU27" s="133">
        <v>179</v>
      </c>
      <c r="EV27" s="133">
        <v>10</v>
      </c>
      <c r="EW27" s="105">
        <f>IF(ISERROR(EV27/EU27),"",EV27/EU27)</f>
        <v>5.5865921787709494E-2</v>
      </c>
      <c r="EX27" s="134" t="s">
        <v>511</v>
      </c>
      <c r="EY27" s="147">
        <v>166</v>
      </c>
      <c r="EZ27" s="134" t="s">
        <v>512</v>
      </c>
      <c r="FA27" s="133">
        <v>7</v>
      </c>
      <c r="FB27" s="133">
        <v>7</v>
      </c>
      <c r="FC27" s="105">
        <f>IF(ISERROR(FB27/FA27),"",FB27/FA27)</f>
        <v>1</v>
      </c>
      <c r="FD27" s="134" t="s">
        <v>148</v>
      </c>
      <c r="FE27" s="147">
        <v>0</v>
      </c>
      <c r="FF27" s="134" t="s">
        <v>148</v>
      </c>
      <c r="FG27" s="133">
        <v>2</v>
      </c>
      <c r="FH27" s="133">
        <v>2</v>
      </c>
      <c r="FI27" s="105">
        <f>IF(ISERROR(FH27/FG27),"",FH27/FG27)</f>
        <v>1</v>
      </c>
      <c r="FJ27" s="134" t="s">
        <v>148</v>
      </c>
      <c r="FK27" s="147">
        <v>0</v>
      </c>
      <c r="FL27" s="134" t="s">
        <v>148</v>
      </c>
      <c r="FM27" s="133">
        <v>0</v>
      </c>
      <c r="FN27" s="133">
        <v>0</v>
      </c>
      <c r="FO27" s="105" t="str">
        <f>IF(ISERROR(FN27/FM27),"",FN27/FM27)</f>
        <v/>
      </c>
      <c r="FP27" s="134" t="s">
        <v>148</v>
      </c>
      <c r="FQ27" s="147">
        <v>0</v>
      </c>
      <c r="FR27" s="134" t="s">
        <v>148</v>
      </c>
      <c r="FS27" s="133">
        <v>0</v>
      </c>
      <c r="FT27" s="133">
        <v>0</v>
      </c>
      <c r="FU27" s="105" t="str">
        <f>IF(ISERROR(FT27/FS27),"",FT27/FS27)</f>
        <v/>
      </c>
      <c r="FV27" s="134" t="s">
        <v>148</v>
      </c>
      <c r="FW27" s="147">
        <v>0</v>
      </c>
      <c r="FX27" s="134" t="s">
        <v>148</v>
      </c>
      <c r="FY27" s="133">
        <v>24</v>
      </c>
      <c r="FZ27" s="133">
        <v>24</v>
      </c>
      <c r="GA27" s="105">
        <f>IF(ISERROR(FZ27/FY27),"",FZ27/FY27)</f>
        <v>1</v>
      </c>
      <c r="GB27" s="134" t="s">
        <v>148</v>
      </c>
      <c r="GC27" s="147">
        <v>0</v>
      </c>
      <c r="GD27" s="134" t="s">
        <v>148</v>
      </c>
      <c r="GE27" s="133">
        <v>1</v>
      </c>
      <c r="GF27" s="133">
        <v>1</v>
      </c>
      <c r="GG27" s="105">
        <f>IF(ISERROR(GF27/GE27),"",GF27/GE27)</f>
        <v>1</v>
      </c>
      <c r="GH27" s="134" t="s">
        <v>148</v>
      </c>
      <c r="GI27" s="147">
        <v>0</v>
      </c>
      <c r="GJ27" s="134" t="s">
        <v>148</v>
      </c>
      <c r="GK27" s="134" t="s">
        <v>169</v>
      </c>
      <c r="GL27" s="134" t="s">
        <v>164</v>
      </c>
      <c r="GM27" s="134" t="s">
        <v>64</v>
      </c>
      <c r="GN27" s="136" t="s">
        <v>148</v>
      </c>
      <c r="GO27" s="136" t="s">
        <v>277</v>
      </c>
      <c r="GP27" s="134" t="s">
        <v>63</v>
      </c>
      <c r="GQ27" s="134" t="s">
        <v>64</v>
      </c>
      <c r="GR27" s="158" t="s">
        <v>62</v>
      </c>
      <c r="GS27" s="158" t="s">
        <v>62</v>
      </c>
      <c r="GT27" s="158" t="s">
        <v>62</v>
      </c>
      <c r="GU27" s="158" t="s">
        <v>148</v>
      </c>
      <c r="GV27" s="134" t="s">
        <v>148</v>
      </c>
      <c r="GW27" s="158" t="s">
        <v>62</v>
      </c>
      <c r="GX27" s="158" t="s">
        <v>148</v>
      </c>
      <c r="GY27" s="158" t="s">
        <v>62</v>
      </c>
      <c r="GZ27" s="158" t="s">
        <v>148</v>
      </c>
      <c r="HA27" s="158" t="s">
        <v>148</v>
      </c>
      <c r="HB27" s="158" t="s">
        <v>148</v>
      </c>
      <c r="HC27" s="135" t="s">
        <v>62</v>
      </c>
      <c r="HD27" s="135"/>
      <c r="HE27" s="169" t="s">
        <v>62</v>
      </c>
      <c r="HF27" s="169" t="s">
        <v>164</v>
      </c>
      <c r="HG27" s="169" t="s">
        <v>164</v>
      </c>
      <c r="HH27" s="169" t="s">
        <v>62</v>
      </c>
      <c r="HI27" s="169" t="s">
        <v>164</v>
      </c>
      <c r="HJ27" s="169"/>
    </row>
    <row r="28" spans="1:218" s="591" customFormat="1" ht="170" customHeight="1" thickBot="1">
      <c r="A28" s="104" t="s">
        <v>276</v>
      </c>
      <c r="B28" s="127" t="s">
        <v>254</v>
      </c>
      <c r="C28" s="127" t="s">
        <v>255</v>
      </c>
      <c r="D28" s="142" t="s">
        <v>62</v>
      </c>
      <c r="E28" s="142" t="s">
        <v>148</v>
      </c>
      <c r="F28" s="143" t="s">
        <v>148</v>
      </c>
      <c r="G28" s="142" t="s">
        <v>277</v>
      </c>
      <c r="H28" s="142" t="s">
        <v>62</v>
      </c>
      <c r="I28" s="143" t="s">
        <v>256</v>
      </c>
      <c r="J28" s="142" t="s">
        <v>277</v>
      </c>
      <c r="K28" s="142" t="s">
        <v>148</v>
      </c>
      <c r="L28" s="143" t="s">
        <v>148</v>
      </c>
      <c r="M28" s="142" t="s">
        <v>62</v>
      </c>
      <c r="N28" s="142"/>
      <c r="O28" s="143" t="s">
        <v>148</v>
      </c>
      <c r="P28" s="142" t="s">
        <v>277</v>
      </c>
      <c r="Q28" s="142" t="s">
        <v>62</v>
      </c>
      <c r="R28" s="143" t="s">
        <v>256</v>
      </c>
      <c r="S28" s="142" t="s">
        <v>277</v>
      </c>
      <c r="T28" s="142" t="s">
        <v>148</v>
      </c>
      <c r="U28" s="143" t="s">
        <v>148</v>
      </c>
      <c r="V28" s="142" t="s">
        <v>62</v>
      </c>
      <c r="W28" s="142" t="s">
        <v>148</v>
      </c>
      <c r="X28" s="143" t="s">
        <v>148</v>
      </c>
      <c r="Y28" s="142" t="s">
        <v>62</v>
      </c>
      <c r="Z28" s="142" t="s">
        <v>148</v>
      </c>
      <c r="AA28" s="143" t="s">
        <v>148</v>
      </c>
      <c r="AB28" s="142" t="s">
        <v>62</v>
      </c>
      <c r="AC28" s="142" t="s">
        <v>148</v>
      </c>
      <c r="AD28" s="143" t="s">
        <v>148</v>
      </c>
      <c r="AE28" s="164" t="s">
        <v>354</v>
      </c>
      <c r="AF28" s="164" t="s">
        <v>62</v>
      </c>
      <c r="AG28" s="144" t="s">
        <v>256</v>
      </c>
      <c r="AH28" s="142" t="s">
        <v>62</v>
      </c>
      <c r="AI28" s="142" t="s">
        <v>148</v>
      </c>
      <c r="AJ28" s="143" t="s">
        <v>148</v>
      </c>
      <c r="AK28" s="142" t="s">
        <v>62</v>
      </c>
      <c r="AL28" s="142" t="s">
        <v>148</v>
      </c>
      <c r="AM28" s="143" t="s">
        <v>148</v>
      </c>
      <c r="AN28" s="142" t="s">
        <v>277</v>
      </c>
      <c r="AO28" s="142" t="s">
        <v>148</v>
      </c>
      <c r="AP28" s="143" t="s">
        <v>148</v>
      </c>
      <c r="AQ28" s="142" t="s">
        <v>277</v>
      </c>
      <c r="AR28" s="142" t="s">
        <v>148</v>
      </c>
      <c r="AS28" s="143" t="s">
        <v>148</v>
      </c>
      <c r="AT28" s="142" t="s">
        <v>62</v>
      </c>
      <c r="AU28" s="142" t="s">
        <v>148</v>
      </c>
      <c r="AV28" s="143" t="s">
        <v>148</v>
      </c>
      <c r="AW28" s="142" t="s">
        <v>62</v>
      </c>
      <c r="AX28" s="142" t="s">
        <v>148</v>
      </c>
      <c r="AY28" s="143" t="s">
        <v>148</v>
      </c>
      <c r="AZ28" s="142" t="s">
        <v>62</v>
      </c>
      <c r="BA28" s="142" t="s">
        <v>148</v>
      </c>
      <c r="BB28" s="143" t="s">
        <v>148</v>
      </c>
      <c r="BC28" s="146">
        <v>14</v>
      </c>
      <c r="BD28" s="146">
        <v>6</v>
      </c>
      <c r="BE28" s="598">
        <f>IF(ISERROR(BD28/BC28),"",BD28/BC28)</f>
        <v>0.42857142857142855</v>
      </c>
      <c r="BF28" s="143" t="s">
        <v>257</v>
      </c>
      <c r="BG28" s="149">
        <v>6</v>
      </c>
      <c r="BH28" s="143" t="s">
        <v>340</v>
      </c>
      <c r="BI28" s="146">
        <v>31</v>
      </c>
      <c r="BJ28" s="146">
        <v>8</v>
      </c>
      <c r="BK28" s="598">
        <f t="shared" ref="BK28" si="89">IF(ISERROR(BJ28/BI28),"",BJ28/BI28)</f>
        <v>0.25806451612903225</v>
      </c>
      <c r="BL28" s="143" t="s">
        <v>257</v>
      </c>
      <c r="BM28" s="149">
        <v>19</v>
      </c>
      <c r="BN28" s="143" t="s">
        <v>464</v>
      </c>
      <c r="BO28" s="146">
        <v>5</v>
      </c>
      <c r="BP28" s="146">
        <v>4</v>
      </c>
      <c r="BQ28" s="598">
        <f t="shared" ref="BQ28" si="90">IF(ISERROR(BP28/BO28),"",BP28/BO28)</f>
        <v>0.8</v>
      </c>
      <c r="BR28" s="143" t="s">
        <v>257</v>
      </c>
      <c r="BS28" s="149">
        <v>1</v>
      </c>
      <c r="BT28" s="143" t="s">
        <v>340</v>
      </c>
      <c r="BU28" s="146">
        <v>0</v>
      </c>
      <c r="BV28" s="146">
        <v>0</v>
      </c>
      <c r="BW28" s="598" t="str">
        <f t="shared" ref="BW28" si="91">IF(ISERROR(BV28/BU28),"",BV28/BU28)</f>
        <v/>
      </c>
      <c r="BX28" s="143" t="s">
        <v>148</v>
      </c>
      <c r="BY28" s="149">
        <v>0</v>
      </c>
      <c r="BZ28" s="143" t="s">
        <v>148</v>
      </c>
      <c r="CA28" s="146">
        <v>0</v>
      </c>
      <c r="CB28" s="146">
        <v>0</v>
      </c>
      <c r="CC28" s="598" t="str">
        <f t="shared" ref="CC28" si="92">IF(ISERROR(CB28/CA28),"",CB28/CA28)</f>
        <v/>
      </c>
      <c r="CD28" s="143" t="s">
        <v>148</v>
      </c>
      <c r="CE28" s="149">
        <v>0</v>
      </c>
      <c r="CF28" s="143" t="s">
        <v>148</v>
      </c>
      <c r="CG28" s="146">
        <v>0</v>
      </c>
      <c r="CH28" s="146">
        <v>0</v>
      </c>
      <c r="CI28" s="598" t="str">
        <f t="shared" ref="CI28" si="93">IF(ISERROR(CH28/CG28),"",CH28/CG28)</f>
        <v/>
      </c>
      <c r="CJ28" s="143" t="s">
        <v>148</v>
      </c>
      <c r="CK28" s="149">
        <v>0</v>
      </c>
      <c r="CL28" s="143" t="s">
        <v>148</v>
      </c>
      <c r="CM28" s="146">
        <v>0</v>
      </c>
      <c r="CN28" s="146">
        <v>0</v>
      </c>
      <c r="CO28" s="598" t="str">
        <f t="shared" ref="CO28" si="94">IF(ISERROR(CN28/CM28),"",CN28/CM28)</f>
        <v/>
      </c>
      <c r="CP28" s="143" t="s">
        <v>148</v>
      </c>
      <c r="CQ28" s="149">
        <v>0</v>
      </c>
      <c r="CR28" s="143" t="s">
        <v>148</v>
      </c>
      <c r="CS28" s="146">
        <v>2</v>
      </c>
      <c r="CT28" s="146">
        <v>2</v>
      </c>
      <c r="CU28" s="598">
        <f t="shared" ref="CU28" si="95">IF(ISERROR(CT28/CS28),"",CT28/CS28)</f>
        <v>1</v>
      </c>
      <c r="CV28" s="143" t="s">
        <v>448</v>
      </c>
      <c r="CW28" s="149">
        <v>0</v>
      </c>
      <c r="CX28" s="143" t="s">
        <v>148</v>
      </c>
      <c r="CY28" s="146">
        <v>1</v>
      </c>
      <c r="CZ28" s="146">
        <v>1</v>
      </c>
      <c r="DA28" s="598">
        <f t="shared" ref="DA28" si="96">IF(ISERROR(CZ28/CY28),"",CZ28/CY28)</f>
        <v>1</v>
      </c>
      <c r="DB28" s="143" t="s">
        <v>148</v>
      </c>
      <c r="DC28" s="149">
        <v>0</v>
      </c>
      <c r="DD28" s="143" t="s">
        <v>148</v>
      </c>
      <c r="DE28" s="146">
        <v>2</v>
      </c>
      <c r="DF28" s="146">
        <v>0</v>
      </c>
      <c r="DG28" s="598">
        <f t="shared" ref="DG28" si="97">IF(ISERROR(DF28/DE28),"",DF28/DE28)</f>
        <v>0</v>
      </c>
      <c r="DH28" s="143" t="s">
        <v>341</v>
      </c>
      <c r="DI28" s="149">
        <v>2</v>
      </c>
      <c r="DJ28" s="143" t="s">
        <v>340</v>
      </c>
      <c r="DK28" s="146">
        <v>11</v>
      </c>
      <c r="DL28" s="146">
        <v>4</v>
      </c>
      <c r="DM28" s="598">
        <f t="shared" ref="DM28" si="98">IF(ISERROR(DL28/DK28),"",DL28/DK28)</f>
        <v>0.36363636363636365</v>
      </c>
      <c r="DN28" s="143" t="s">
        <v>257</v>
      </c>
      <c r="DO28" s="149">
        <v>7</v>
      </c>
      <c r="DP28" s="143" t="s">
        <v>340</v>
      </c>
      <c r="DQ28" s="146">
        <v>133</v>
      </c>
      <c r="DR28" s="146">
        <v>133</v>
      </c>
      <c r="DS28" s="598">
        <f t="shared" ref="DS28" si="99">IF(ISERROR(DR28/DQ28),"",DR28/DQ28)</f>
        <v>1</v>
      </c>
      <c r="DT28" s="143" t="s">
        <v>148</v>
      </c>
      <c r="DU28" s="149">
        <v>0</v>
      </c>
      <c r="DV28" s="143" t="s">
        <v>148</v>
      </c>
      <c r="DW28" s="146">
        <v>7</v>
      </c>
      <c r="DX28" s="146">
        <v>2</v>
      </c>
      <c r="DY28" s="598">
        <f t="shared" ref="DY28" si="100">IF(ISERROR(DX28/DW28),"",DX28/DW28)</f>
        <v>0.2857142857142857</v>
      </c>
      <c r="DZ28" s="143" t="s">
        <v>258</v>
      </c>
      <c r="EA28" s="149">
        <v>0</v>
      </c>
      <c r="EB28" s="143"/>
      <c r="EC28" s="146">
        <v>8</v>
      </c>
      <c r="ED28" s="146">
        <v>1</v>
      </c>
      <c r="EE28" s="598">
        <f t="shared" ref="EE28" si="101">IF(ISERROR(ED28/EC28),"",ED28/EC28)</f>
        <v>0.125</v>
      </c>
      <c r="EF28" s="143" t="s">
        <v>258</v>
      </c>
      <c r="EG28" s="149">
        <v>0</v>
      </c>
      <c r="EH28" s="143" t="s">
        <v>148</v>
      </c>
      <c r="EI28" s="146">
        <v>5</v>
      </c>
      <c r="EJ28" s="146">
        <v>2</v>
      </c>
      <c r="EK28" s="598">
        <f t="shared" ref="EK28" si="102">IF(ISERROR(EJ28/EI28),"",EJ28/EI28)</f>
        <v>0.4</v>
      </c>
      <c r="EL28" s="143" t="s">
        <v>342</v>
      </c>
      <c r="EM28" s="149">
        <v>3</v>
      </c>
      <c r="EN28" s="143" t="s">
        <v>340</v>
      </c>
      <c r="EO28" s="146">
        <v>17</v>
      </c>
      <c r="EP28" s="146">
        <v>2</v>
      </c>
      <c r="EQ28" s="598">
        <f t="shared" ref="EQ28" si="103">IF(ISERROR(EP28/EO28),"",EP28/EO28)</f>
        <v>0.11764705882352941</v>
      </c>
      <c r="ER28" s="143" t="s">
        <v>257</v>
      </c>
      <c r="ES28" s="149">
        <v>12</v>
      </c>
      <c r="ET28" s="143" t="s">
        <v>340</v>
      </c>
      <c r="EU28" s="146">
        <v>139</v>
      </c>
      <c r="EV28" s="146">
        <v>78</v>
      </c>
      <c r="EW28" s="598">
        <f t="shared" ref="EW28" si="104">IF(ISERROR(EV28/EU28),"",EV28/EU28)</f>
        <v>0.5611510791366906</v>
      </c>
      <c r="EX28" s="143" t="s">
        <v>148</v>
      </c>
      <c r="EY28" s="149">
        <v>22</v>
      </c>
      <c r="EZ28" s="143" t="s">
        <v>340</v>
      </c>
      <c r="FA28" s="146">
        <v>9</v>
      </c>
      <c r="FB28" s="146">
        <v>5</v>
      </c>
      <c r="FC28" s="598">
        <f t="shared" ref="FC28" si="105">IF(ISERROR(FB28/FA28),"",FB28/FA28)</f>
        <v>0.55555555555555558</v>
      </c>
      <c r="FD28" s="143" t="s">
        <v>341</v>
      </c>
      <c r="FE28" s="149">
        <v>4</v>
      </c>
      <c r="FF28" s="143" t="s">
        <v>340</v>
      </c>
      <c r="FG28" s="146">
        <v>1</v>
      </c>
      <c r="FH28" s="146">
        <v>0</v>
      </c>
      <c r="FI28" s="598">
        <f t="shared" ref="FI28" si="106">IF(ISERROR(FH28/FG28),"",FH28/FG28)</f>
        <v>0</v>
      </c>
      <c r="FJ28" s="143" t="s">
        <v>341</v>
      </c>
      <c r="FK28" s="149">
        <v>2</v>
      </c>
      <c r="FL28" s="143" t="s">
        <v>340</v>
      </c>
      <c r="FM28" s="146">
        <v>0</v>
      </c>
      <c r="FN28" s="146">
        <v>0</v>
      </c>
      <c r="FO28" s="598" t="str">
        <f t="shared" ref="FO28" si="107">IF(ISERROR(FN28/FM28),"",FN28/FM28)</f>
        <v/>
      </c>
      <c r="FP28" s="143" t="s">
        <v>148</v>
      </c>
      <c r="FQ28" s="149">
        <v>0</v>
      </c>
      <c r="FR28" s="143" t="s">
        <v>148</v>
      </c>
      <c r="FS28" s="146">
        <v>0</v>
      </c>
      <c r="FT28" s="146">
        <v>0</v>
      </c>
      <c r="FU28" s="598" t="str">
        <f t="shared" ref="FU28" si="108">IF(ISERROR(FT28/FS28),"",FT28/FS28)</f>
        <v/>
      </c>
      <c r="FV28" s="143" t="s">
        <v>148</v>
      </c>
      <c r="FW28" s="149">
        <v>0</v>
      </c>
      <c r="FX28" s="143" t="s">
        <v>148</v>
      </c>
      <c r="FY28" s="146">
        <v>15</v>
      </c>
      <c r="FZ28" s="146">
        <v>12</v>
      </c>
      <c r="GA28" s="598">
        <f t="shared" ref="GA28" si="109">IF(ISERROR(FZ28/FY28),"",FZ28/FY28)</f>
        <v>0.8</v>
      </c>
      <c r="GB28" s="143" t="s">
        <v>341</v>
      </c>
      <c r="GC28" s="149">
        <v>0</v>
      </c>
      <c r="GD28" s="143" t="s">
        <v>148</v>
      </c>
      <c r="GE28" s="146">
        <v>70</v>
      </c>
      <c r="GF28" s="146">
        <v>1</v>
      </c>
      <c r="GG28" s="598">
        <f t="shared" ref="GG28" si="110">IF(ISERROR(GF28/GE28),"",GF28/GE28)</f>
        <v>1.4285714285714285E-2</v>
      </c>
      <c r="GH28" s="143" t="s">
        <v>343</v>
      </c>
      <c r="GI28" s="149">
        <v>65</v>
      </c>
      <c r="GJ28" s="143" t="s">
        <v>340</v>
      </c>
      <c r="GK28" s="143" t="s">
        <v>67</v>
      </c>
      <c r="GL28" s="143" t="s">
        <v>284</v>
      </c>
      <c r="GM28" s="143" t="s">
        <v>64</v>
      </c>
      <c r="GN28" s="142" t="s">
        <v>62</v>
      </c>
      <c r="GO28" s="142" t="s">
        <v>277</v>
      </c>
      <c r="GP28" s="143" t="s">
        <v>63</v>
      </c>
      <c r="GQ28" s="143" t="s">
        <v>64</v>
      </c>
      <c r="GR28" s="108" t="s">
        <v>62</v>
      </c>
      <c r="GS28" s="108" t="s">
        <v>62</v>
      </c>
      <c r="GT28" s="108" t="s">
        <v>62</v>
      </c>
      <c r="GU28" s="108" t="s">
        <v>62</v>
      </c>
      <c r="GV28" s="143" t="s">
        <v>148</v>
      </c>
      <c r="GW28" s="108" t="s">
        <v>62</v>
      </c>
      <c r="GX28" s="108" t="s">
        <v>62</v>
      </c>
      <c r="GY28" s="108" t="s">
        <v>62</v>
      </c>
      <c r="GZ28" s="108" t="s">
        <v>148</v>
      </c>
      <c r="HA28" s="108" t="s">
        <v>148</v>
      </c>
      <c r="HB28" s="108" t="s">
        <v>148</v>
      </c>
      <c r="HC28" s="128" t="s">
        <v>354</v>
      </c>
      <c r="HD28" s="127"/>
      <c r="HE28" s="132" t="s">
        <v>62</v>
      </c>
      <c r="HF28" s="132" t="s">
        <v>164</v>
      </c>
      <c r="HG28" s="132" t="s">
        <v>164</v>
      </c>
      <c r="HH28" s="132" t="s">
        <v>62</v>
      </c>
      <c r="HI28" s="132" t="s">
        <v>164</v>
      </c>
      <c r="HJ28" s="132"/>
    </row>
    <row r="29" spans="1:218" s="107" customFormat="1" ht="34.9" customHeight="1">
      <c r="A29" s="517" t="s">
        <v>262</v>
      </c>
      <c r="B29" s="518"/>
      <c r="C29" s="519"/>
      <c r="D29" s="520">
        <f>COUNTIF(D9:D28,"○")</f>
        <v>20</v>
      </c>
      <c r="E29" s="521">
        <f>COUNTIF(E9:E28,"○")</f>
        <v>0</v>
      </c>
      <c r="F29" s="521"/>
      <c r="G29" s="521">
        <f>COUNTIF(G9:G28,"○")</f>
        <v>19</v>
      </c>
      <c r="H29" s="521">
        <f>COUNTIF(H9:H28,"○")</f>
        <v>1</v>
      </c>
      <c r="I29" s="521"/>
      <c r="J29" s="521">
        <f>COUNTIF(J9:J28,"○")</f>
        <v>19</v>
      </c>
      <c r="K29" s="521">
        <f>COUNTIF(K9:K28,"○")</f>
        <v>0</v>
      </c>
      <c r="L29" s="521"/>
      <c r="M29" s="521">
        <f>COUNTIF(M9:M28,"○")</f>
        <v>19</v>
      </c>
      <c r="N29" s="521">
        <f>COUNTIF(N9:N28,"○")</f>
        <v>1</v>
      </c>
      <c r="O29" s="521"/>
      <c r="P29" s="521">
        <f>COUNTIF(P9:P28,"○")</f>
        <v>17</v>
      </c>
      <c r="Q29" s="521">
        <f>COUNTIF(Q9:Q28,"○")</f>
        <v>3</v>
      </c>
      <c r="R29" s="521"/>
      <c r="S29" s="521">
        <f>COUNTIF(S9:S28,"○")</f>
        <v>16</v>
      </c>
      <c r="T29" s="521">
        <f>COUNTIF(T9:T28,"○")</f>
        <v>2</v>
      </c>
      <c r="U29" s="521"/>
      <c r="V29" s="521">
        <f>COUNTIF(V9:V28,"○")</f>
        <v>20</v>
      </c>
      <c r="W29" s="521">
        <f>COUNTIF(W9:W28,"○")</f>
        <v>0</v>
      </c>
      <c r="X29" s="521"/>
      <c r="Y29" s="521">
        <f>COUNTIF(Y9:Y28,"○")</f>
        <v>20</v>
      </c>
      <c r="Z29" s="521">
        <f>COUNTIF(Z9:Z28,"○")</f>
        <v>0</v>
      </c>
      <c r="AA29" s="521"/>
      <c r="AB29" s="521">
        <f>COUNTIF(AB9:AB28,"○")</f>
        <v>20</v>
      </c>
      <c r="AC29" s="521">
        <f>COUNTIF(AC9:AC28,"○")</f>
        <v>0</v>
      </c>
      <c r="AD29" s="521"/>
      <c r="AE29" s="522">
        <f t="shared" ref="AE29:AG29" si="111">COUNTIF(AE9:AE28,"○")</f>
        <v>9</v>
      </c>
      <c r="AF29" s="522">
        <f t="shared" si="111"/>
        <v>11</v>
      </c>
      <c r="AG29" s="523">
        <f t="shared" si="111"/>
        <v>0</v>
      </c>
      <c r="AH29" s="521">
        <f>COUNTIF(AH9:AH28,"○")</f>
        <v>19</v>
      </c>
      <c r="AI29" s="521">
        <f>COUNTIF(AI9:AI28,"○")</f>
        <v>1</v>
      </c>
      <c r="AJ29" s="521"/>
      <c r="AK29" s="521">
        <f>COUNTIF(AK9:AK28,"○")</f>
        <v>20</v>
      </c>
      <c r="AL29" s="521">
        <f>COUNTIF(AL9:AL28,"○")</f>
        <v>0</v>
      </c>
      <c r="AM29" s="521"/>
      <c r="AN29" s="521">
        <f>COUNTIF(AN9:AN28,"○")</f>
        <v>10</v>
      </c>
      <c r="AO29" s="521">
        <f>COUNTIF(AO9:AO28,"○")</f>
        <v>0</v>
      </c>
      <c r="AP29" s="521"/>
      <c r="AQ29" s="521">
        <f>COUNTIF(AQ9:AQ28,"○")</f>
        <v>15</v>
      </c>
      <c r="AR29" s="521">
        <f>COUNTIF(AR9:AR28,"○")</f>
        <v>0</v>
      </c>
      <c r="AS29" s="521"/>
      <c r="AT29" s="521">
        <f>COUNTIF(AT9:AT28,"○")</f>
        <v>20</v>
      </c>
      <c r="AU29" s="521">
        <f>COUNTIF(AU9:AU28,"○")</f>
        <v>0</v>
      </c>
      <c r="AV29" s="521"/>
      <c r="AW29" s="521">
        <f>COUNTIF(AW9:AW28,"○")</f>
        <v>20</v>
      </c>
      <c r="AX29" s="521">
        <f>COUNTIF(AX9:AX28,"○")</f>
        <v>0</v>
      </c>
      <c r="AY29" s="521"/>
      <c r="AZ29" s="521">
        <f>COUNTIF(AZ9:AZ28,"○")</f>
        <v>19</v>
      </c>
      <c r="BA29" s="521">
        <f>COUNTIF(BA9:BA28,"○")</f>
        <v>1</v>
      </c>
      <c r="BB29" s="521"/>
      <c r="BC29" s="524">
        <f>SUM(BC9:BC28)</f>
        <v>281</v>
      </c>
      <c r="BD29" s="525">
        <f>SUM(BD9:BD28)</f>
        <v>259</v>
      </c>
      <c r="BE29" s="526">
        <f>BD29/BC29</f>
        <v>0.92170818505338081</v>
      </c>
      <c r="BF29" s="527"/>
      <c r="BG29" s="528">
        <f>SUM(BG9:BG28)</f>
        <v>8</v>
      </c>
      <c r="BH29" s="529"/>
      <c r="BI29" s="530">
        <f>SUM(BI9:BI28)</f>
        <v>726</v>
      </c>
      <c r="BJ29" s="531">
        <f>SUM(BJ9:BJ28)</f>
        <v>465</v>
      </c>
      <c r="BK29" s="532">
        <f>BJ29/BI29</f>
        <v>0.64049586776859502</v>
      </c>
      <c r="BL29" s="533"/>
      <c r="BM29" s="533">
        <f>SUM(BM9:BM28)</f>
        <v>23</v>
      </c>
      <c r="BN29" s="531"/>
      <c r="BO29" s="530">
        <f>SUM(BO9:BO28)</f>
        <v>182</v>
      </c>
      <c r="BP29" s="534">
        <f>SUM(BP9:BP28)</f>
        <v>169</v>
      </c>
      <c r="BQ29" s="526">
        <f>BP29/BO29</f>
        <v>0.9285714285714286</v>
      </c>
      <c r="BR29" s="189"/>
      <c r="BS29" s="533">
        <f>SUM(BS9:BS28)</f>
        <v>3</v>
      </c>
      <c r="BT29" s="535"/>
      <c r="BU29" s="531">
        <f>SUM(BU9:BU28)</f>
        <v>3</v>
      </c>
      <c r="BV29" s="534">
        <f>SUM(BV9:BV28)</f>
        <v>1</v>
      </c>
      <c r="BW29" s="532">
        <f>BV29/BU29</f>
        <v>0.33333333333333331</v>
      </c>
      <c r="BX29" s="533"/>
      <c r="BY29" s="533">
        <f>SUM(BY9:BY28)</f>
        <v>1</v>
      </c>
      <c r="BZ29" s="536"/>
      <c r="CA29" s="537">
        <f>SUM(CA9:CA28)</f>
        <v>13</v>
      </c>
      <c r="CB29" s="537">
        <f>SUM(CB9:CB28)</f>
        <v>13</v>
      </c>
      <c r="CC29" s="538">
        <f>CB29/CA29</f>
        <v>1</v>
      </c>
      <c r="CD29" s="539"/>
      <c r="CE29" s="539">
        <f>SUM(CE9:CE28)</f>
        <v>0</v>
      </c>
      <c r="CF29" s="536"/>
      <c r="CG29" s="534">
        <f>SUM(CG9:CG28)</f>
        <v>36</v>
      </c>
      <c r="CH29" s="531">
        <f>SUM(CH9:CH28)</f>
        <v>34</v>
      </c>
      <c r="CI29" s="532">
        <f>CH29/CG29</f>
        <v>0.94444444444444442</v>
      </c>
      <c r="CJ29" s="533"/>
      <c r="CK29" s="540">
        <f>SUM(CK9:CK28)</f>
        <v>0</v>
      </c>
      <c r="CL29" s="536"/>
      <c r="CM29" s="536">
        <f>SUM(CM9:CM28)</f>
        <v>22</v>
      </c>
      <c r="CN29" s="536">
        <f>SUM(CN9:CN28)</f>
        <v>18</v>
      </c>
      <c r="CO29" s="541">
        <f>CN29/CM29</f>
        <v>0.81818181818181823</v>
      </c>
      <c r="CP29" s="542"/>
      <c r="CQ29" s="540">
        <f>SUM(CQ9:CQ28)</f>
        <v>0</v>
      </c>
      <c r="CR29" s="189"/>
      <c r="CS29" s="536">
        <f>SUM(CS9:CS28)</f>
        <v>62</v>
      </c>
      <c r="CT29" s="536">
        <f>SUM(CT9:CT28)</f>
        <v>52</v>
      </c>
      <c r="CU29" s="541">
        <f>CT29/CS29</f>
        <v>0.83870967741935487</v>
      </c>
      <c r="CV29" s="542"/>
      <c r="CW29" s="540">
        <f>SUM(CW9:CW28)</f>
        <v>7</v>
      </c>
      <c r="CX29" s="536"/>
      <c r="CY29" s="536">
        <f>SUM(CY9:CY28)</f>
        <v>26</v>
      </c>
      <c r="CZ29" s="536">
        <f>SUM(CZ9:CZ28)</f>
        <v>24</v>
      </c>
      <c r="DA29" s="541">
        <f>CZ29/CY29</f>
        <v>0.92307692307692313</v>
      </c>
      <c r="DB29" s="542"/>
      <c r="DC29" s="542">
        <f>SUM(DC9:DC28)</f>
        <v>2</v>
      </c>
      <c r="DD29" s="536"/>
      <c r="DE29" s="536">
        <f>SUM(DE9:DE28)</f>
        <v>17</v>
      </c>
      <c r="DF29" s="536">
        <f>SUM(DF9:DF28)</f>
        <v>14</v>
      </c>
      <c r="DG29" s="543">
        <f>DF29/DE29</f>
        <v>0.82352941176470584</v>
      </c>
      <c r="DH29" s="189"/>
      <c r="DI29" s="540">
        <f>SUM(DI9:DI28)</f>
        <v>3</v>
      </c>
      <c r="DJ29" s="536"/>
      <c r="DK29" s="534">
        <f>SUM(DK9:DK28)</f>
        <v>230</v>
      </c>
      <c r="DL29" s="534">
        <f>SUM(DL9:DL28)</f>
        <v>126</v>
      </c>
      <c r="DM29" s="526">
        <f>DL29/DK29</f>
        <v>0.54782608695652169</v>
      </c>
      <c r="DN29" s="540"/>
      <c r="DO29" s="540">
        <f>SUM(DO9:DO28)</f>
        <v>14</v>
      </c>
      <c r="DP29" s="536"/>
      <c r="DQ29" s="534">
        <f>SUM(DQ9:DQ28)</f>
        <v>2847</v>
      </c>
      <c r="DR29" s="534">
        <f>SUM(DR9:DR28)</f>
        <v>2311</v>
      </c>
      <c r="DS29" s="532">
        <f>DR29/DQ29</f>
        <v>0.81173164734808567</v>
      </c>
      <c r="DT29" s="542"/>
      <c r="DU29" s="540">
        <f>SUM(DU9:DU28)</f>
        <v>3</v>
      </c>
      <c r="DV29" s="536"/>
      <c r="DW29" s="534">
        <f>SUM(DW9:DW28)</f>
        <v>338</v>
      </c>
      <c r="DX29" s="534">
        <f>SUM(DX9:DX28)</f>
        <v>286</v>
      </c>
      <c r="DY29" s="526">
        <f>DX29/DW29</f>
        <v>0.84615384615384615</v>
      </c>
      <c r="DZ29" s="540"/>
      <c r="EA29" s="540">
        <f>SUM(EA9:EA28)</f>
        <v>0</v>
      </c>
      <c r="EB29" s="536"/>
      <c r="EC29" s="536">
        <f>SUM(EC9:EC28)</f>
        <v>168</v>
      </c>
      <c r="ED29" s="536">
        <f>SUM(ED9:ED28)</f>
        <v>54</v>
      </c>
      <c r="EE29" s="543">
        <f>ED29/EC29</f>
        <v>0.32142857142857145</v>
      </c>
      <c r="EF29" s="542"/>
      <c r="EG29" s="540">
        <f>SUM(EG9:EG28)</f>
        <v>45</v>
      </c>
      <c r="EH29" s="536"/>
      <c r="EI29" s="544">
        <f>SUM(EI9:EI28)</f>
        <v>278</v>
      </c>
      <c r="EJ29" s="544">
        <f>SUM(EJ9:EJ28)</f>
        <v>68</v>
      </c>
      <c r="EK29" s="545">
        <f>EJ29/EI29</f>
        <v>0.2446043165467626</v>
      </c>
      <c r="EL29" s="546"/>
      <c r="EM29" s="546">
        <f>SUM(EM9:EM28)</f>
        <v>191</v>
      </c>
      <c r="EN29" s="536"/>
      <c r="EO29" s="534">
        <f>SUM(EO9:EO28)</f>
        <v>216</v>
      </c>
      <c r="EP29" s="534">
        <f>SUM(EP9:EP28)</f>
        <v>101</v>
      </c>
      <c r="EQ29" s="526">
        <f>EP29/EO29</f>
        <v>0.46759259259259262</v>
      </c>
      <c r="ER29" s="540"/>
      <c r="ES29" s="540">
        <f>SUM(ES9:ES28)</f>
        <v>95</v>
      </c>
      <c r="ET29" s="531"/>
      <c r="EU29" s="534">
        <f>SUM(EU9:EU28)</f>
        <v>1423</v>
      </c>
      <c r="EV29" s="534">
        <f>SUM(EV9:EV28)</f>
        <v>776</v>
      </c>
      <c r="EW29" s="526">
        <f>EV29/EU29</f>
        <v>0.54532677442023891</v>
      </c>
      <c r="EX29" s="542"/>
      <c r="EY29" s="540">
        <f>SUM(EY9:EY28)</f>
        <v>577</v>
      </c>
      <c r="EZ29" s="547"/>
      <c r="FA29" s="534">
        <f>SUM(FA9:FA28)</f>
        <v>160</v>
      </c>
      <c r="FB29" s="534">
        <f>SUM(FB9:FB28)</f>
        <v>141</v>
      </c>
      <c r="FC29" s="526">
        <f>FB29/FA29</f>
        <v>0.88124999999999998</v>
      </c>
      <c r="FD29" s="540"/>
      <c r="FE29" s="540">
        <f>SUM(FE9:FE28)</f>
        <v>14</v>
      </c>
      <c r="FF29" s="536"/>
      <c r="FG29" s="534">
        <f>SUM(FG9:FG28)</f>
        <v>67</v>
      </c>
      <c r="FH29" s="534">
        <f>SUM(FH9:FH28)</f>
        <v>44</v>
      </c>
      <c r="FI29" s="526">
        <f>FH29/FG29</f>
        <v>0.65671641791044777</v>
      </c>
      <c r="FJ29" s="542"/>
      <c r="FK29" s="540">
        <f>SUM(FK9:FK28)</f>
        <v>18</v>
      </c>
      <c r="FL29" s="536"/>
      <c r="FM29" s="534">
        <f>SUM(FM9:FM28)</f>
        <v>19</v>
      </c>
      <c r="FN29" s="534">
        <f>SUM(FN9:FN28)</f>
        <v>16</v>
      </c>
      <c r="FO29" s="526">
        <f>FN29/FM29</f>
        <v>0.84210526315789469</v>
      </c>
      <c r="FP29" s="542"/>
      <c r="FQ29" s="540">
        <f>SUM(FQ9:FQ28)</f>
        <v>2</v>
      </c>
      <c r="FR29" s="547"/>
      <c r="FS29" s="534">
        <f>SUM(FS9:FS28)</f>
        <v>30</v>
      </c>
      <c r="FT29" s="534">
        <f>SUM(FT9:FT28)</f>
        <v>30</v>
      </c>
      <c r="FU29" s="541">
        <f>FT29/FS29</f>
        <v>1</v>
      </c>
      <c r="FV29" s="542"/>
      <c r="FW29" s="540">
        <f>SUM(FW9:FW28)</f>
        <v>0</v>
      </c>
      <c r="FX29" s="536"/>
      <c r="FY29" s="534">
        <f>SUM(FY9:FY28)</f>
        <v>578</v>
      </c>
      <c r="FZ29" s="534">
        <f>SUM(FZ9:FZ28)</f>
        <v>503</v>
      </c>
      <c r="GA29" s="526">
        <f>FZ29/FY29</f>
        <v>0.87024221453287198</v>
      </c>
      <c r="GB29" s="189"/>
      <c r="GC29" s="540">
        <f>SUM(GC9:GC28)</f>
        <v>62</v>
      </c>
      <c r="GD29" s="547"/>
      <c r="GE29" s="534">
        <f>SUM(GE9:GE28)</f>
        <v>1123</v>
      </c>
      <c r="GF29" s="534">
        <f>SUM(GF9:GF28)</f>
        <v>765</v>
      </c>
      <c r="GG29" s="532">
        <f>GF29/GE29</f>
        <v>0.68121104185218162</v>
      </c>
      <c r="GH29" s="542"/>
      <c r="GI29" s="540">
        <f>SUM(GI9:GI28)</f>
        <v>299</v>
      </c>
      <c r="GJ29" s="547"/>
      <c r="GK29" s="548">
        <f>COUNTIF(GK9:GK28,"設置済 ")</f>
        <v>9</v>
      </c>
      <c r="GL29" s="533"/>
      <c r="GM29" s="548">
        <f>COUNTIF(GM9:GM28,"委託有")</f>
        <v>18</v>
      </c>
      <c r="GN29" s="548">
        <f>COUNTIF(GN9:GN28,"○")</f>
        <v>6</v>
      </c>
      <c r="GO29" s="548">
        <f>COUNTIF(GO9:GO28,"○")</f>
        <v>4</v>
      </c>
      <c r="GP29" s="548">
        <f>COUNTIF(GP9:GP28,"実施済")</f>
        <v>17</v>
      </c>
      <c r="GQ29" s="548">
        <f>COUNTIF(GQ9:GQ28,"委託有")</f>
        <v>13</v>
      </c>
      <c r="GR29" s="540">
        <f>COUNTIF(GR9:GR28,"○")</f>
        <v>17</v>
      </c>
      <c r="GS29" s="540">
        <f>COUNTIF(GS9:GS28,"○")</f>
        <v>13</v>
      </c>
      <c r="GT29" s="540">
        <f>COUNTIF(GT9:GT28,"○")</f>
        <v>16</v>
      </c>
      <c r="GU29" s="540">
        <f>COUNTIF(GU9:GU28,"○")</f>
        <v>8</v>
      </c>
      <c r="GV29" s="540"/>
      <c r="GW29" s="540">
        <f>COUNTIF(GW9:GW28,"○")</f>
        <v>17</v>
      </c>
      <c r="GX29" s="540">
        <f>COUNTIF(GX9:GX28,"○")</f>
        <v>9</v>
      </c>
      <c r="GY29" s="540">
        <f>COUNTIF(GY9:GY28,"○")</f>
        <v>14</v>
      </c>
      <c r="GZ29" s="540">
        <f>COUNTIF(GZ9:GZ28,"○")</f>
        <v>6</v>
      </c>
      <c r="HA29" s="549">
        <f t="shared" ref="HA29:HC29" si="112">COUNTIF(HA9:HA28,"○")</f>
        <v>9</v>
      </c>
      <c r="HB29" s="549">
        <f t="shared" si="112"/>
        <v>7</v>
      </c>
      <c r="HC29" s="549">
        <f t="shared" si="112"/>
        <v>9</v>
      </c>
      <c r="HD29" s="550">
        <f>COUNTIF(HD9:HD28,"○")</f>
        <v>0</v>
      </c>
      <c r="HE29" s="551">
        <f t="shared" ref="HE29:HJ29" si="113">COUNTIF(HE9:HE28,"○")</f>
        <v>20</v>
      </c>
      <c r="HF29" s="551">
        <f t="shared" si="113"/>
        <v>0</v>
      </c>
      <c r="HG29" s="551">
        <f t="shared" si="113"/>
        <v>0</v>
      </c>
      <c r="HH29" s="551">
        <f t="shared" si="113"/>
        <v>20</v>
      </c>
      <c r="HI29" s="551">
        <f t="shared" si="113"/>
        <v>0</v>
      </c>
      <c r="HJ29" s="552">
        <f t="shared" si="113"/>
        <v>0</v>
      </c>
    </row>
    <row r="30" spans="1:218" s="91" customFormat="1" ht="32.5" customHeight="1" thickBot="1">
      <c r="A30" s="553"/>
      <c r="B30" s="554"/>
      <c r="C30" s="555"/>
      <c r="D30" s="556">
        <f>D29/(D29+E29)</f>
        <v>1</v>
      </c>
      <c r="E30" s="557"/>
      <c r="F30" s="557"/>
      <c r="G30" s="557">
        <f>G29/(G29+H29)</f>
        <v>0.95</v>
      </c>
      <c r="H30" s="557"/>
      <c r="I30" s="557"/>
      <c r="J30" s="557">
        <f>J29/(J29+K29)</f>
        <v>1</v>
      </c>
      <c r="K30" s="557"/>
      <c r="L30" s="557"/>
      <c r="M30" s="557">
        <f>M29/(M29+N29)</f>
        <v>0.95</v>
      </c>
      <c r="N30" s="557"/>
      <c r="O30" s="557"/>
      <c r="P30" s="557">
        <f>P29/(P29+Q29)</f>
        <v>0.85</v>
      </c>
      <c r="Q30" s="557"/>
      <c r="R30" s="557"/>
      <c r="S30" s="557">
        <f>S29/(S29+T29)</f>
        <v>0.88888888888888884</v>
      </c>
      <c r="T30" s="557"/>
      <c r="U30" s="557"/>
      <c r="V30" s="557">
        <f>V29/(V29+W29)</f>
        <v>1</v>
      </c>
      <c r="W30" s="557"/>
      <c r="X30" s="557"/>
      <c r="Y30" s="557">
        <f>Y29/(Y29+Z29)</f>
        <v>1</v>
      </c>
      <c r="Z30" s="557"/>
      <c r="AA30" s="557"/>
      <c r="AB30" s="557">
        <f>AB29/(AB29+AC29)</f>
        <v>1</v>
      </c>
      <c r="AC30" s="557"/>
      <c r="AD30" s="557"/>
      <c r="AE30" s="557">
        <f>AE29/(AE29+AF29)</f>
        <v>0.45</v>
      </c>
      <c r="AF30" s="557"/>
      <c r="AG30" s="557"/>
      <c r="AH30" s="557">
        <f>AH29/(AH29+AI29)</f>
        <v>0.95</v>
      </c>
      <c r="AI30" s="557"/>
      <c r="AJ30" s="557"/>
      <c r="AK30" s="557">
        <f>AK29/(AK29+AL29)</f>
        <v>1</v>
      </c>
      <c r="AL30" s="557"/>
      <c r="AM30" s="557"/>
      <c r="AN30" s="557">
        <f>AN29/(AN29+AO29)</f>
        <v>1</v>
      </c>
      <c r="AO30" s="557"/>
      <c r="AP30" s="557"/>
      <c r="AQ30" s="557">
        <f>AQ29/(AQ29+AR29)</f>
        <v>1</v>
      </c>
      <c r="AR30" s="557"/>
      <c r="AS30" s="557"/>
      <c r="AT30" s="557">
        <f>AT29/(AT29+AU29)</f>
        <v>1</v>
      </c>
      <c r="AU30" s="557"/>
      <c r="AV30" s="557"/>
      <c r="AW30" s="557">
        <f>AW29/(AW29+AX29)</f>
        <v>1</v>
      </c>
      <c r="AX30" s="557"/>
      <c r="AY30" s="557"/>
      <c r="AZ30" s="557">
        <f>AZ29/(AZ29+BA29)</f>
        <v>0.95</v>
      </c>
      <c r="BA30" s="557"/>
      <c r="BB30" s="557"/>
      <c r="BC30" s="558"/>
      <c r="BD30" s="559"/>
      <c r="BE30" s="560"/>
      <c r="BF30" s="561"/>
      <c r="BG30" s="562"/>
      <c r="BH30" s="563"/>
      <c r="BI30" s="564"/>
      <c r="BJ30" s="565"/>
      <c r="BK30" s="566"/>
      <c r="BL30" s="567"/>
      <c r="BM30" s="567"/>
      <c r="BN30" s="565"/>
      <c r="BO30" s="564"/>
      <c r="BP30" s="568"/>
      <c r="BQ30" s="560"/>
      <c r="BR30" s="190"/>
      <c r="BS30" s="567"/>
      <c r="BT30" s="569"/>
      <c r="BU30" s="565"/>
      <c r="BV30" s="568"/>
      <c r="BW30" s="566"/>
      <c r="BX30" s="567"/>
      <c r="BY30" s="567"/>
      <c r="BZ30" s="570"/>
      <c r="CA30" s="571"/>
      <c r="CB30" s="571"/>
      <c r="CC30" s="572"/>
      <c r="CD30" s="573"/>
      <c r="CE30" s="573"/>
      <c r="CF30" s="570"/>
      <c r="CG30" s="568"/>
      <c r="CH30" s="565"/>
      <c r="CI30" s="566"/>
      <c r="CJ30" s="567"/>
      <c r="CK30" s="574"/>
      <c r="CL30" s="570"/>
      <c r="CM30" s="570"/>
      <c r="CN30" s="570"/>
      <c r="CO30" s="575"/>
      <c r="CP30" s="576"/>
      <c r="CQ30" s="574"/>
      <c r="CR30" s="190"/>
      <c r="CS30" s="570"/>
      <c r="CT30" s="570"/>
      <c r="CU30" s="575"/>
      <c r="CV30" s="576"/>
      <c r="CW30" s="574"/>
      <c r="CX30" s="570"/>
      <c r="CY30" s="570"/>
      <c r="CZ30" s="570"/>
      <c r="DA30" s="575"/>
      <c r="DB30" s="576"/>
      <c r="DC30" s="576"/>
      <c r="DD30" s="570"/>
      <c r="DE30" s="570"/>
      <c r="DF30" s="570"/>
      <c r="DG30" s="577"/>
      <c r="DH30" s="190"/>
      <c r="DI30" s="574"/>
      <c r="DJ30" s="570"/>
      <c r="DK30" s="568"/>
      <c r="DL30" s="568"/>
      <c r="DM30" s="560"/>
      <c r="DN30" s="574"/>
      <c r="DO30" s="574"/>
      <c r="DP30" s="570"/>
      <c r="DQ30" s="568"/>
      <c r="DR30" s="568"/>
      <c r="DS30" s="566"/>
      <c r="DT30" s="576"/>
      <c r="DU30" s="574"/>
      <c r="DV30" s="570"/>
      <c r="DW30" s="568"/>
      <c r="DX30" s="568"/>
      <c r="DY30" s="560"/>
      <c r="DZ30" s="574"/>
      <c r="EA30" s="574"/>
      <c r="EB30" s="570"/>
      <c r="EC30" s="570"/>
      <c r="ED30" s="570"/>
      <c r="EE30" s="577"/>
      <c r="EF30" s="576"/>
      <c r="EG30" s="574"/>
      <c r="EH30" s="570"/>
      <c r="EI30" s="578"/>
      <c r="EJ30" s="578"/>
      <c r="EK30" s="579"/>
      <c r="EL30" s="580"/>
      <c r="EM30" s="580"/>
      <c r="EN30" s="570"/>
      <c r="EO30" s="568"/>
      <c r="EP30" s="568"/>
      <c r="EQ30" s="560"/>
      <c r="ER30" s="574"/>
      <c r="ES30" s="574"/>
      <c r="ET30" s="565"/>
      <c r="EU30" s="568"/>
      <c r="EV30" s="568"/>
      <c r="EW30" s="560"/>
      <c r="EX30" s="576"/>
      <c r="EY30" s="574"/>
      <c r="EZ30" s="581"/>
      <c r="FA30" s="568"/>
      <c r="FB30" s="568"/>
      <c r="FC30" s="560"/>
      <c r="FD30" s="574"/>
      <c r="FE30" s="574"/>
      <c r="FF30" s="570"/>
      <c r="FG30" s="568"/>
      <c r="FH30" s="568"/>
      <c r="FI30" s="560"/>
      <c r="FJ30" s="576"/>
      <c r="FK30" s="574"/>
      <c r="FL30" s="570"/>
      <c r="FM30" s="568"/>
      <c r="FN30" s="568"/>
      <c r="FO30" s="560"/>
      <c r="FP30" s="576"/>
      <c r="FQ30" s="574"/>
      <c r="FR30" s="581"/>
      <c r="FS30" s="568"/>
      <c r="FT30" s="568"/>
      <c r="FU30" s="575"/>
      <c r="FV30" s="576"/>
      <c r="FW30" s="574"/>
      <c r="FX30" s="570"/>
      <c r="FY30" s="568"/>
      <c r="FZ30" s="568"/>
      <c r="GA30" s="560"/>
      <c r="GB30" s="190"/>
      <c r="GC30" s="574"/>
      <c r="GD30" s="581"/>
      <c r="GE30" s="568"/>
      <c r="GF30" s="568"/>
      <c r="GG30" s="566"/>
      <c r="GH30" s="576"/>
      <c r="GI30" s="574"/>
      <c r="GJ30" s="581"/>
      <c r="GK30" s="582">
        <f>GK29/20</f>
        <v>0.45</v>
      </c>
      <c r="GL30" s="567"/>
      <c r="GM30" s="582">
        <f>GM29/20</f>
        <v>0.9</v>
      </c>
      <c r="GN30" s="582">
        <f>GN29/20</f>
        <v>0.3</v>
      </c>
      <c r="GO30" s="582">
        <f>GO29/20</f>
        <v>0.2</v>
      </c>
      <c r="GP30" s="582">
        <f>GP29/20</f>
        <v>0.85</v>
      </c>
      <c r="GQ30" s="582">
        <f>GQ29/20</f>
        <v>0.65</v>
      </c>
      <c r="GR30" s="574"/>
      <c r="GS30" s="574"/>
      <c r="GT30" s="574"/>
      <c r="GU30" s="574"/>
      <c r="GV30" s="574"/>
      <c r="GW30" s="574"/>
      <c r="GX30" s="574"/>
      <c r="GY30" s="574"/>
      <c r="GZ30" s="574"/>
      <c r="HA30" s="583">
        <f>HA29/20</f>
        <v>0.45</v>
      </c>
      <c r="HB30" s="584">
        <f>HB29/20</f>
        <v>0.35</v>
      </c>
      <c r="HC30" s="585">
        <f>COUNTIF(HC9:HC28,"○")/20</f>
        <v>0.45</v>
      </c>
      <c r="HD30" s="586">
        <f>HD29/20</f>
        <v>0</v>
      </c>
      <c r="HE30" s="587">
        <f>COUNTIF(HE9:HE28,"○")/20</f>
        <v>1</v>
      </c>
      <c r="HF30" s="587">
        <f t="shared" ref="HF30:HJ30" si="114">COUNTIF(HF9:HF28,"○")/20</f>
        <v>0</v>
      </c>
      <c r="HG30" s="587">
        <f t="shared" si="114"/>
        <v>0</v>
      </c>
      <c r="HH30" s="587">
        <f t="shared" si="114"/>
        <v>1</v>
      </c>
      <c r="HI30" s="587">
        <f t="shared" si="114"/>
        <v>0</v>
      </c>
      <c r="HJ30" s="588">
        <f t="shared" si="114"/>
        <v>0</v>
      </c>
    </row>
    <row r="31" spans="1:218">
      <c r="A31" s="93"/>
      <c r="B31" s="93"/>
      <c r="C31" s="93"/>
      <c r="D31" s="94"/>
      <c r="E31" s="95"/>
      <c r="F31" s="94"/>
      <c r="G31" s="94"/>
      <c r="H31" s="95"/>
      <c r="I31" s="94"/>
      <c r="J31" s="94"/>
      <c r="K31" s="95"/>
      <c r="L31" s="94"/>
      <c r="M31" s="94"/>
      <c r="N31" s="95"/>
      <c r="O31" s="94"/>
      <c r="P31" s="94"/>
      <c r="Q31" s="95"/>
      <c r="R31" s="94"/>
      <c r="S31" s="94"/>
      <c r="T31" s="95"/>
      <c r="U31" s="94"/>
      <c r="V31" s="94"/>
      <c r="W31" s="95"/>
      <c r="X31" s="94"/>
      <c r="Y31" s="94"/>
      <c r="Z31" s="95"/>
      <c r="AA31" s="94"/>
      <c r="AB31" s="94"/>
      <c r="AC31" s="95"/>
      <c r="AD31" s="94"/>
      <c r="AE31" s="96"/>
      <c r="AF31" s="96"/>
      <c r="AG31" s="97"/>
      <c r="AH31" s="94"/>
      <c r="AI31" s="95"/>
      <c r="AJ31" s="94"/>
      <c r="AK31" s="94"/>
      <c r="AL31" s="95"/>
      <c r="AM31" s="94"/>
      <c r="AN31" s="94"/>
      <c r="AO31" s="95"/>
      <c r="AP31" s="94"/>
      <c r="AQ31" s="94"/>
      <c r="AR31" s="95"/>
      <c r="AS31" s="94"/>
      <c r="AT31" s="94"/>
      <c r="AU31" s="95"/>
      <c r="AV31" s="94"/>
      <c r="AW31" s="94"/>
      <c r="AX31" s="95"/>
      <c r="AY31" s="94"/>
      <c r="AZ31" s="94"/>
      <c r="BA31" s="95"/>
      <c r="BB31" s="94"/>
      <c r="BC31" s="94"/>
      <c r="BD31" s="94"/>
      <c r="BE31" s="98"/>
      <c r="BF31" s="94"/>
      <c r="BG31" s="94"/>
      <c r="BH31" s="94"/>
      <c r="BI31" s="94"/>
      <c r="BJ31" s="94"/>
      <c r="BK31" s="98"/>
      <c r="BL31" s="94"/>
      <c r="BM31" s="94"/>
      <c r="BN31" s="94"/>
      <c r="BO31" s="94"/>
      <c r="BP31" s="94"/>
      <c r="BQ31" s="98"/>
      <c r="BR31" s="94"/>
      <c r="BS31" s="94"/>
      <c r="BT31" s="94"/>
      <c r="BU31" s="94"/>
      <c r="BV31" s="94"/>
      <c r="BW31" s="95"/>
      <c r="BX31" s="94"/>
      <c r="BY31" s="94"/>
      <c r="BZ31" s="94"/>
      <c r="CA31" s="94"/>
      <c r="CB31" s="94"/>
      <c r="CC31" s="98"/>
      <c r="CD31" s="94"/>
      <c r="CE31" s="94"/>
      <c r="CF31" s="94"/>
      <c r="CG31" s="94"/>
      <c r="CH31" s="94"/>
      <c r="CI31" s="99"/>
      <c r="CJ31" s="94"/>
      <c r="CK31" s="94"/>
      <c r="CL31" s="94"/>
      <c r="CM31" s="94"/>
      <c r="CN31" s="94"/>
      <c r="CO31" s="98"/>
      <c r="CP31" s="94"/>
      <c r="CQ31" s="94"/>
      <c r="CR31" s="94"/>
      <c r="CS31" s="94"/>
      <c r="CT31" s="94"/>
      <c r="CU31" s="98"/>
      <c r="CV31" s="94"/>
      <c r="CW31" s="94"/>
      <c r="CX31" s="94"/>
      <c r="CY31" s="94"/>
      <c r="CZ31" s="94"/>
      <c r="DA31" s="98"/>
      <c r="DB31" s="94"/>
      <c r="DC31" s="94"/>
      <c r="DD31" s="94"/>
      <c r="DE31" s="94"/>
      <c r="DF31" s="94"/>
      <c r="DG31" s="98"/>
      <c r="DH31" s="94"/>
      <c r="DI31" s="94"/>
      <c r="DJ31" s="94"/>
      <c r="DK31" s="94"/>
      <c r="DL31" s="94"/>
      <c r="DM31" s="98"/>
      <c r="DN31" s="94"/>
      <c r="DO31" s="100"/>
      <c r="DP31" s="94"/>
      <c r="DQ31" s="94"/>
      <c r="DR31" s="94"/>
      <c r="DS31" s="98"/>
      <c r="DT31" s="94"/>
      <c r="DU31" s="94"/>
      <c r="DV31" s="94"/>
      <c r="DW31" s="94"/>
      <c r="DX31" s="94"/>
      <c r="DY31" s="98"/>
      <c r="DZ31" s="94"/>
      <c r="EA31" s="94"/>
      <c r="EB31" s="94"/>
      <c r="EC31" s="94"/>
      <c r="ED31" s="94"/>
      <c r="EE31" s="98"/>
      <c r="EF31" s="94"/>
      <c r="EG31" s="94"/>
      <c r="EH31" s="94"/>
      <c r="EI31" s="94"/>
      <c r="EJ31" s="94"/>
      <c r="EK31" s="98"/>
      <c r="EL31" s="94"/>
      <c r="EM31" s="94"/>
      <c r="EN31" s="94"/>
      <c r="EO31" s="94"/>
      <c r="EP31" s="94"/>
      <c r="EQ31" s="98"/>
      <c r="ER31" s="94"/>
      <c r="ES31" s="94"/>
      <c r="ET31" s="94"/>
      <c r="EU31" s="94"/>
      <c r="EV31" s="94"/>
      <c r="EW31" s="98"/>
      <c r="EX31" s="94"/>
      <c r="EY31" s="94"/>
      <c r="EZ31" s="94"/>
      <c r="FA31" s="94"/>
      <c r="FB31" s="94"/>
      <c r="FC31" s="98"/>
      <c r="FD31" s="94"/>
      <c r="FE31" s="94"/>
      <c r="FF31" s="94"/>
      <c r="FG31" s="94"/>
      <c r="FH31" s="94"/>
      <c r="FI31" s="98"/>
      <c r="FJ31" s="94"/>
      <c r="FK31" s="94"/>
      <c r="FL31" s="94"/>
      <c r="FM31" s="94"/>
      <c r="FN31" s="94"/>
      <c r="FO31" s="95"/>
      <c r="FP31" s="94"/>
      <c r="FQ31" s="94"/>
      <c r="FR31" s="94"/>
      <c r="FS31" s="94"/>
      <c r="FT31" s="94"/>
      <c r="FU31" s="98"/>
      <c r="FV31" s="94"/>
      <c r="FW31" s="94"/>
      <c r="FX31" s="94"/>
      <c r="FY31" s="94"/>
      <c r="FZ31" s="94"/>
      <c r="GA31" s="98"/>
      <c r="GB31" s="94"/>
      <c r="GC31" s="94"/>
      <c r="GD31" s="94"/>
      <c r="GE31" s="94"/>
      <c r="GF31" s="94"/>
      <c r="GG31" s="98"/>
      <c r="GH31" s="94"/>
      <c r="GI31" s="94"/>
      <c r="GJ31" s="94"/>
      <c r="GK31" s="94"/>
      <c r="GL31" s="94"/>
      <c r="GM31" s="101"/>
      <c r="GN31" s="101"/>
      <c r="GO31" s="101"/>
      <c r="GP31" s="94"/>
      <c r="GQ31" s="94"/>
      <c r="GR31" s="94"/>
      <c r="GS31" s="94"/>
      <c r="GT31" s="94"/>
      <c r="GU31" s="94"/>
      <c r="GV31" s="94"/>
      <c r="GW31" s="94"/>
      <c r="GX31" s="94"/>
      <c r="GY31" s="94"/>
      <c r="GZ31" s="94"/>
      <c r="HA31" s="94"/>
      <c r="HB31" s="94"/>
    </row>
    <row r="32" spans="1:218">
      <c r="A32" s="93"/>
      <c r="B32" s="93"/>
      <c r="C32" s="93"/>
      <c r="D32" s="94"/>
      <c r="E32" s="95"/>
      <c r="F32" s="94"/>
      <c r="G32" s="94"/>
      <c r="H32" s="95"/>
      <c r="I32" s="94"/>
      <c r="J32" s="94"/>
      <c r="K32" s="95"/>
      <c r="L32" s="94"/>
      <c r="M32" s="94"/>
      <c r="N32" s="95"/>
      <c r="O32" s="94"/>
      <c r="P32" s="94"/>
      <c r="Q32" s="95"/>
      <c r="R32" s="94"/>
      <c r="S32" s="94"/>
      <c r="T32" s="95"/>
      <c r="U32" s="94"/>
      <c r="V32" s="94"/>
      <c r="W32" s="95"/>
      <c r="X32" s="94"/>
      <c r="Y32" s="94"/>
      <c r="Z32" s="95"/>
      <c r="AA32" s="94"/>
      <c r="AB32" s="94"/>
      <c r="AC32" s="95"/>
      <c r="AD32" s="94"/>
      <c r="AE32" s="96"/>
      <c r="AF32" s="96"/>
      <c r="AG32" s="97"/>
      <c r="AH32" s="94"/>
      <c r="AI32" s="95"/>
      <c r="AJ32" s="94"/>
      <c r="AK32" s="94"/>
      <c r="AL32" s="95"/>
      <c r="AM32" s="94"/>
      <c r="AN32" s="94"/>
      <c r="AO32" s="95"/>
      <c r="AP32" s="94"/>
      <c r="AQ32" s="94"/>
      <c r="AR32" s="95"/>
      <c r="AS32" s="94"/>
      <c r="AT32" s="94"/>
      <c r="AU32" s="95"/>
      <c r="AV32" s="94"/>
      <c r="AW32" s="94"/>
      <c r="AX32" s="95"/>
      <c r="AY32" s="94"/>
      <c r="AZ32" s="94"/>
      <c r="BA32" s="95"/>
      <c r="BB32" s="94"/>
      <c r="BC32" s="94"/>
      <c r="BD32" s="94"/>
      <c r="BE32" s="98"/>
      <c r="BF32" s="94"/>
      <c r="BG32" s="94"/>
      <c r="BH32" s="94"/>
      <c r="BI32" s="94"/>
      <c r="BJ32" s="94"/>
      <c r="BK32" s="98"/>
      <c r="BL32" s="94"/>
      <c r="BM32" s="94"/>
      <c r="BN32" s="94"/>
      <c r="BO32" s="94"/>
      <c r="BP32" s="94"/>
      <c r="BQ32" s="98"/>
      <c r="BR32" s="94"/>
      <c r="BS32" s="94"/>
      <c r="BT32" s="94"/>
      <c r="BU32" s="94"/>
      <c r="BV32" s="94"/>
      <c r="BW32" s="95"/>
      <c r="BX32" s="94"/>
      <c r="BY32" s="94"/>
      <c r="BZ32" s="94"/>
      <c r="CA32" s="94"/>
      <c r="CB32" s="94"/>
      <c r="CC32" s="98"/>
      <c r="CD32" s="94"/>
      <c r="CE32" s="94"/>
      <c r="CF32" s="94"/>
      <c r="CG32" s="94"/>
      <c r="CH32" s="94"/>
      <c r="CI32" s="99"/>
      <c r="CJ32" s="94"/>
      <c r="CK32" s="94"/>
      <c r="CL32" s="94"/>
      <c r="CM32" s="94"/>
      <c r="CN32" s="94"/>
      <c r="CO32" s="98"/>
      <c r="CP32" s="94"/>
      <c r="CQ32" s="94"/>
      <c r="CR32" s="94"/>
      <c r="CS32" s="94"/>
      <c r="CT32" s="94"/>
      <c r="CU32" s="98"/>
      <c r="CV32" s="94"/>
      <c r="CW32" s="94"/>
      <c r="CX32" s="94"/>
      <c r="CY32" s="94"/>
      <c r="CZ32" s="94"/>
      <c r="DA32" s="98"/>
      <c r="DB32" s="94"/>
      <c r="DC32" s="94"/>
      <c r="DD32" s="94"/>
      <c r="DE32" s="94"/>
      <c r="DF32" s="94"/>
      <c r="DG32" s="98"/>
      <c r="DH32" s="94"/>
      <c r="DI32" s="94"/>
      <c r="DJ32" s="94"/>
      <c r="DK32" s="94"/>
      <c r="DL32" s="94"/>
      <c r="DM32" s="98"/>
      <c r="DN32" s="94"/>
      <c r="DO32" s="100"/>
      <c r="DP32" s="94"/>
      <c r="DQ32" s="94"/>
      <c r="DR32" s="94"/>
      <c r="DS32" s="98"/>
      <c r="DT32" s="94"/>
      <c r="DU32" s="94"/>
      <c r="DV32" s="94"/>
      <c r="DW32" s="94"/>
      <c r="DX32" s="94"/>
      <c r="DY32" s="98"/>
      <c r="DZ32" s="94"/>
      <c r="EA32" s="94"/>
      <c r="EB32" s="94"/>
      <c r="EC32" s="94"/>
      <c r="ED32" s="94"/>
      <c r="EE32" s="98"/>
      <c r="EF32" s="94"/>
      <c r="EG32" s="94"/>
      <c r="EH32" s="94"/>
      <c r="EI32" s="94"/>
      <c r="EJ32" s="94"/>
      <c r="EK32" s="98"/>
      <c r="EL32" s="94"/>
      <c r="EM32" s="94"/>
      <c r="EN32" s="94"/>
      <c r="EO32" s="94"/>
      <c r="EP32" s="94"/>
      <c r="EQ32" s="98"/>
      <c r="ER32" s="94"/>
      <c r="ES32" s="94"/>
      <c r="ET32" s="94"/>
      <c r="EU32" s="94"/>
      <c r="EV32" s="94"/>
      <c r="EW32" s="98"/>
      <c r="EX32" s="94"/>
      <c r="EY32" s="94"/>
      <c r="EZ32" s="94"/>
      <c r="FA32" s="94"/>
      <c r="FB32" s="94"/>
      <c r="FC32" s="98"/>
      <c r="FD32" s="94"/>
      <c r="FE32" s="94"/>
      <c r="FF32" s="94"/>
      <c r="FG32" s="94"/>
      <c r="FH32" s="94"/>
      <c r="FI32" s="98"/>
      <c r="FJ32" s="94"/>
      <c r="FK32" s="94"/>
      <c r="FL32" s="94"/>
      <c r="FM32" s="94"/>
      <c r="FN32" s="94"/>
      <c r="FO32" s="95"/>
      <c r="FP32" s="94"/>
      <c r="FQ32" s="94"/>
      <c r="FR32" s="94"/>
      <c r="FS32" s="94"/>
      <c r="FT32" s="94"/>
      <c r="FU32" s="98"/>
      <c r="FV32" s="94"/>
      <c r="FW32" s="94"/>
      <c r="FX32" s="94"/>
      <c r="FY32" s="94"/>
      <c r="FZ32" s="94"/>
      <c r="GA32" s="98"/>
      <c r="GB32" s="94"/>
      <c r="GC32" s="94"/>
      <c r="GD32" s="94"/>
      <c r="GE32" s="94"/>
      <c r="GF32" s="94"/>
      <c r="GG32" s="98"/>
      <c r="GH32" s="94"/>
      <c r="GI32" s="94"/>
      <c r="GJ32" s="94"/>
      <c r="GK32" s="94"/>
      <c r="GL32" s="94"/>
      <c r="GM32" s="101"/>
      <c r="GN32" s="101"/>
      <c r="GO32" s="101"/>
      <c r="GP32" s="94"/>
      <c r="GQ32" s="94"/>
      <c r="GR32" s="94"/>
      <c r="GS32" s="94"/>
      <c r="GT32" s="94"/>
      <c r="GU32" s="94"/>
      <c r="GV32" s="94"/>
      <c r="GW32" s="94"/>
      <c r="GX32" s="94"/>
      <c r="GY32" s="94"/>
      <c r="GZ32" s="94"/>
      <c r="HA32" s="94"/>
      <c r="HB32" s="94"/>
    </row>
    <row r="33" spans="1:219">
      <c r="A33" s="93">
        <v>1</v>
      </c>
      <c r="B33" s="93">
        <v>2</v>
      </c>
      <c r="C33" s="93">
        <v>3</v>
      </c>
      <c r="D33" s="93">
        <v>4</v>
      </c>
      <c r="E33" s="93">
        <v>5</v>
      </c>
      <c r="F33" s="93">
        <v>6</v>
      </c>
      <c r="G33" s="93">
        <v>7</v>
      </c>
      <c r="H33" s="93">
        <v>8</v>
      </c>
      <c r="I33" s="93">
        <v>9</v>
      </c>
      <c r="J33" s="93">
        <v>10</v>
      </c>
      <c r="K33" s="93">
        <v>11</v>
      </c>
      <c r="L33" s="93">
        <v>12</v>
      </c>
      <c r="M33" s="93">
        <v>13</v>
      </c>
      <c r="N33" s="93">
        <v>14</v>
      </c>
      <c r="O33" s="93">
        <v>15</v>
      </c>
      <c r="P33" s="93">
        <v>16</v>
      </c>
      <c r="Q33" s="93">
        <v>17</v>
      </c>
      <c r="R33" s="93">
        <v>18</v>
      </c>
      <c r="S33" s="93">
        <v>19</v>
      </c>
      <c r="T33" s="93">
        <v>20</v>
      </c>
      <c r="U33" s="93">
        <v>21</v>
      </c>
      <c r="V33" s="93">
        <v>22</v>
      </c>
      <c r="W33" s="93">
        <v>23</v>
      </c>
      <c r="X33" s="93">
        <v>24</v>
      </c>
      <c r="Y33" s="93">
        <v>25</v>
      </c>
      <c r="Z33" s="93">
        <v>26</v>
      </c>
      <c r="AA33" s="93">
        <v>27</v>
      </c>
      <c r="AB33" s="93">
        <v>28</v>
      </c>
      <c r="AC33" s="93">
        <v>29</v>
      </c>
      <c r="AD33" s="93">
        <v>30</v>
      </c>
      <c r="AE33" s="93">
        <v>31</v>
      </c>
      <c r="AF33" s="93">
        <v>32</v>
      </c>
      <c r="AG33" s="93">
        <v>33</v>
      </c>
      <c r="AH33" s="93">
        <v>34</v>
      </c>
      <c r="AI33" s="93">
        <v>35</v>
      </c>
      <c r="AJ33" s="93">
        <v>36</v>
      </c>
      <c r="AK33" s="93">
        <v>37</v>
      </c>
      <c r="AL33" s="93">
        <v>38</v>
      </c>
      <c r="AM33" s="93">
        <v>39</v>
      </c>
      <c r="AN33" s="93">
        <v>40</v>
      </c>
      <c r="AO33" s="93">
        <v>41</v>
      </c>
      <c r="AP33" s="93">
        <v>42</v>
      </c>
      <c r="AQ33" s="93">
        <v>43</v>
      </c>
      <c r="AR33" s="93">
        <v>44</v>
      </c>
      <c r="AS33" s="93">
        <v>45</v>
      </c>
      <c r="AT33" s="93">
        <v>46</v>
      </c>
      <c r="AU33" s="93">
        <v>47</v>
      </c>
      <c r="AV33" s="93">
        <v>48</v>
      </c>
      <c r="AW33" s="93">
        <v>49</v>
      </c>
      <c r="AX33" s="93">
        <v>50</v>
      </c>
      <c r="AY33" s="93">
        <v>51</v>
      </c>
      <c r="AZ33" s="93">
        <v>52</v>
      </c>
      <c r="BA33" s="93">
        <v>53</v>
      </c>
      <c r="BB33" s="93">
        <v>54</v>
      </c>
      <c r="BC33" s="93">
        <v>55</v>
      </c>
      <c r="BD33" s="93">
        <v>56</v>
      </c>
      <c r="BE33" s="93">
        <v>57</v>
      </c>
      <c r="BF33" s="93">
        <v>58</v>
      </c>
      <c r="BG33" s="93">
        <v>59</v>
      </c>
      <c r="BH33" s="93">
        <v>60</v>
      </c>
      <c r="BI33" s="93">
        <v>61</v>
      </c>
      <c r="BJ33" s="93">
        <v>62</v>
      </c>
      <c r="BK33" s="93">
        <v>63</v>
      </c>
      <c r="BL33" s="93">
        <v>64</v>
      </c>
      <c r="BM33" s="93">
        <v>65</v>
      </c>
      <c r="BN33" s="93">
        <v>66</v>
      </c>
      <c r="BO33" s="93">
        <v>67</v>
      </c>
      <c r="BP33" s="93">
        <v>68</v>
      </c>
      <c r="BQ33" s="93">
        <v>69</v>
      </c>
      <c r="BR33" s="93">
        <v>70</v>
      </c>
      <c r="BS33" s="93">
        <v>71</v>
      </c>
      <c r="BT33" s="93">
        <v>72</v>
      </c>
      <c r="BU33" s="93">
        <v>73</v>
      </c>
      <c r="BV33" s="93">
        <v>74</v>
      </c>
      <c r="BW33" s="93">
        <v>75</v>
      </c>
      <c r="BX33" s="93">
        <v>76</v>
      </c>
      <c r="BY33" s="93">
        <v>77</v>
      </c>
      <c r="BZ33" s="93">
        <v>78</v>
      </c>
      <c r="CA33" s="93">
        <v>79</v>
      </c>
      <c r="CB33" s="93">
        <v>80</v>
      </c>
      <c r="CC33" s="93">
        <v>81</v>
      </c>
      <c r="CD33" s="93">
        <v>82</v>
      </c>
      <c r="CE33" s="93">
        <v>83</v>
      </c>
      <c r="CF33" s="93">
        <v>84</v>
      </c>
      <c r="CG33" s="93">
        <v>85</v>
      </c>
      <c r="CH33" s="93">
        <v>86</v>
      </c>
      <c r="CI33" s="93">
        <v>87</v>
      </c>
      <c r="CJ33" s="93">
        <v>88</v>
      </c>
      <c r="CK33" s="93">
        <v>89</v>
      </c>
      <c r="CL33" s="93">
        <v>90</v>
      </c>
      <c r="CM33" s="93">
        <v>91</v>
      </c>
      <c r="CN33" s="93">
        <v>92</v>
      </c>
      <c r="CO33" s="93">
        <v>93</v>
      </c>
      <c r="CP33" s="93">
        <v>94</v>
      </c>
      <c r="CQ33" s="93">
        <v>95</v>
      </c>
      <c r="CR33" s="93">
        <v>96</v>
      </c>
      <c r="CS33" s="93">
        <v>97</v>
      </c>
      <c r="CT33" s="93">
        <v>98</v>
      </c>
      <c r="CU33" s="93">
        <v>99</v>
      </c>
      <c r="CV33" s="93">
        <v>100</v>
      </c>
      <c r="CW33" s="93">
        <v>101</v>
      </c>
      <c r="CX33" s="93">
        <v>102</v>
      </c>
      <c r="CY33" s="93">
        <v>103</v>
      </c>
      <c r="CZ33" s="93">
        <v>104</v>
      </c>
      <c r="DA33" s="93">
        <v>105</v>
      </c>
      <c r="DB33" s="93">
        <v>106</v>
      </c>
      <c r="DC33" s="93">
        <v>107</v>
      </c>
      <c r="DD33" s="93">
        <v>108</v>
      </c>
      <c r="DE33" s="93">
        <v>109</v>
      </c>
      <c r="DF33" s="93">
        <v>110</v>
      </c>
      <c r="DG33" s="93">
        <v>111</v>
      </c>
      <c r="DH33" s="93">
        <v>112</v>
      </c>
      <c r="DI33" s="93">
        <v>113</v>
      </c>
      <c r="DJ33" s="93">
        <v>114</v>
      </c>
      <c r="DK33" s="93">
        <v>115</v>
      </c>
      <c r="DL33" s="93">
        <v>116</v>
      </c>
      <c r="DM33" s="93">
        <v>117</v>
      </c>
      <c r="DN33" s="93">
        <v>118</v>
      </c>
      <c r="DO33" s="93">
        <v>119</v>
      </c>
      <c r="DP33" s="93">
        <v>120</v>
      </c>
      <c r="DQ33" s="93">
        <v>121</v>
      </c>
      <c r="DR33" s="93">
        <v>122</v>
      </c>
      <c r="DS33" s="93">
        <v>123</v>
      </c>
      <c r="DT33" s="93">
        <v>124</v>
      </c>
      <c r="DU33" s="93">
        <v>125</v>
      </c>
      <c r="DV33" s="93">
        <v>126</v>
      </c>
      <c r="DW33" s="93">
        <v>127</v>
      </c>
      <c r="DX33" s="93">
        <v>128</v>
      </c>
      <c r="DY33" s="93">
        <v>129</v>
      </c>
      <c r="DZ33" s="93">
        <v>130</v>
      </c>
      <c r="EA33" s="93">
        <v>131</v>
      </c>
      <c r="EB33" s="93">
        <v>132</v>
      </c>
      <c r="EC33" s="93">
        <v>133</v>
      </c>
      <c r="ED33" s="93">
        <v>134</v>
      </c>
      <c r="EE33" s="93">
        <v>135</v>
      </c>
      <c r="EF33" s="93">
        <v>136</v>
      </c>
      <c r="EG33" s="93">
        <v>137</v>
      </c>
      <c r="EH33" s="93">
        <v>138</v>
      </c>
      <c r="EI33" s="93">
        <v>139</v>
      </c>
      <c r="EJ33" s="93">
        <v>140</v>
      </c>
      <c r="EK33" s="93">
        <v>141</v>
      </c>
      <c r="EL33" s="93">
        <v>142</v>
      </c>
      <c r="EM33" s="93">
        <v>143</v>
      </c>
      <c r="EN33" s="93">
        <v>144</v>
      </c>
      <c r="EO33" s="93">
        <v>145</v>
      </c>
      <c r="EP33" s="93">
        <v>146</v>
      </c>
      <c r="EQ33" s="93">
        <v>147</v>
      </c>
      <c r="ER33" s="93">
        <v>148</v>
      </c>
      <c r="ES33" s="93">
        <v>149</v>
      </c>
      <c r="ET33" s="93">
        <v>150</v>
      </c>
      <c r="EU33" s="93">
        <v>151</v>
      </c>
      <c r="EV33" s="93">
        <v>152</v>
      </c>
      <c r="EW33" s="93">
        <v>153</v>
      </c>
      <c r="EX33" s="93">
        <v>154</v>
      </c>
      <c r="EY33" s="93">
        <v>155</v>
      </c>
      <c r="EZ33" s="93">
        <v>156</v>
      </c>
      <c r="FA33" s="93">
        <v>157</v>
      </c>
      <c r="FB33" s="93">
        <v>158</v>
      </c>
      <c r="FC33" s="93">
        <v>159</v>
      </c>
      <c r="FD33" s="93">
        <v>160</v>
      </c>
      <c r="FE33" s="93">
        <v>161</v>
      </c>
      <c r="FF33" s="93">
        <v>162</v>
      </c>
      <c r="FG33" s="93">
        <v>163</v>
      </c>
      <c r="FH33" s="93">
        <v>164</v>
      </c>
      <c r="FI33" s="93">
        <v>165</v>
      </c>
      <c r="FJ33" s="93">
        <v>166</v>
      </c>
      <c r="FK33" s="93">
        <v>167</v>
      </c>
      <c r="FL33" s="93">
        <v>168</v>
      </c>
      <c r="FM33" s="93">
        <v>169</v>
      </c>
      <c r="FN33" s="93">
        <v>170</v>
      </c>
      <c r="FO33" s="93">
        <v>171</v>
      </c>
      <c r="FP33" s="93">
        <v>172</v>
      </c>
      <c r="FQ33" s="93">
        <v>173</v>
      </c>
      <c r="FR33" s="93">
        <v>174</v>
      </c>
      <c r="FS33" s="93">
        <v>175</v>
      </c>
      <c r="FT33" s="93">
        <v>176</v>
      </c>
      <c r="FU33" s="93">
        <v>177</v>
      </c>
      <c r="FV33" s="93">
        <v>178</v>
      </c>
      <c r="FW33" s="93">
        <v>179</v>
      </c>
      <c r="FX33" s="93">
        <v>180</v>
      </c>
      <c r="FY33" s="93">
        <v>181</v>
      </c>
      <c r="FZ33" s="93">
        <v>182</v>
      </c>
      <c r="GA33" s="93">
        <v>183</v>
      </c>
      <c r="GB33" s="93">
        <v>184</v>
      </c>
      <c r="GC33" s="93">
        <v>185</v>
      </c>
      <c r="GD33" s="93">
        <v>186</v>
      </c>
      <c r="GE33" s="93">
        <v>187</v>
      </c>
      <c r="GF33" s="93">
        <v>188</v>
      </c>
      <c r="GG33" s="93">
        <v>189</v>
      </c>
      <c r="GH33" s="93">
        <v>190</v>
      </c>
      <c r="GI33" s="93">
        <v>191</v>
      </c>
      <c r="GJ33" s="93">
        <v>192</v>
      </c>
      <c r="GK33" s="93">
        <v>193</v>
      </c>
      <c r="GL33" s="93">
        <v>194</v>
      </c>
      <c r="GM33" s="93">
        <v>195</v>
      </c>
      <c r="GN33" s="93">
        <v>196</v>
      </c>
      <c r="GO33" s="93">
        <v>197</v>
      </c>
      <c r="GP33" s="93">
        <v>198</v>
      </c>
      <c r="GQ33" s="93">
        <v>199</v>
      </c>
      <c r="GR33" s="93">
        <v>200</v>
      </c>
      <c r="GS33" s="93">
        <v>201</v>
      </c>
      <c r="GT33" s="93">
        <v>202</v>
      </c>
      <c r="GU33" s="93">
        <v>203</v>
      </c>
      <c r="GV33" s="93">
        <v>204</v>
      </c>
      <c r="GW33" s="93">
        <v>205</v>
      </c>
      <c r="GX33" s="93">
        <v>206</v>
      </c>
      <c r="GY33" s="93">
        <v>207</v>
      </c>
      <c r="GZ33" s="93">
        <v>208</v>
      </c>
      <c r="HA33" s="93">
        <v>209</v>
      </c>
      <c r="HB33" s="93">
        <v>210</v>
      </c>
      <c r="HC33" s="93">
        <v>211</v>
      </c>
      <c r="HD33" s="93">
        <v>212</v>
      </c>
      <c r="HE33" s="93">
        <v>213</v>
      </c>
      <c r="HF33" s="93">
        <v>214</v>
      </c>
      <c r="HG33" s="93">
        <v>215</v>
      </c>
      <c r="HH33" s="93">
        <v>216</v>
      </c>
      <c r="HI33" s="93">
        <v>217</v>
      </c>
      <c r="HJ33" s="93">
        <v>218</v>
      </c>
      <c r="HK33" s="4">
        <v>219</v>
      </c>
    </row>
  </sheetData>
  <autoFilter ref="A8:HJ8" xr:uid="{00000000-0009-0000-0000-000000000000}"/>
  <mergeCells count="432">
    <mergeCell ref="Y30:AA30"/>
    <mergeCell ref="AB30:AD30"/>
    <mergeCell ref="AZ30:BB30"/>
    <mergeCell ref="FW29:FW30"/>
    <mergeCell ref="FX29:FX30"/>
    <mergeCell ref="FY29:FY30"/>
    <mergeCell ref="FP29:FP30"/>
    <mergeCell ref="FQ29:FQ30"/>
    <mergeCell ref="AM5:AM8"/>
    <mergeCell ref="AN5:AN7"/>
    <mergeCell ref="FL5:FL8"/>
    <mergeCell ref="FM5:FM8"/>
    <mergeCell ref="FN5:FN8"/>
    <mergeCell ref="FB5:FB8"/>
    <mergeCell ref="FC5:FC8"/>
    <mergeCell ref="FD5:FD8"/>
    <mergeCell ref="FO5:FO8"/>
    <mergeCell ref="FF5:FF8"/>
    <mergeCell ref="FG5:FG8"/>
    <mergeCell ref="EV5:EV8"/>
    <mergeCell ref="EW5:EW8"/>
    <mergeCell ref="FS29:FS30"/>
    <mergeCell ref="FT29:FT30"/>
    <mergeCell ref="FU29:FU30"/>
    <mergeCell ref="AD5:AD8"/>
    <mergeCell ref="AL5:AL8"/>
    <mergeCell ref="AI5:AI8"/>
    <mergeCell ref="AF5:AF8"/>
    <mergeCell ref="AH5:AH7"/>
    <mergeCell ref="AJ5:AJ8"/>
    <mergeCell ref="AK5:AK7"/>
    <mergeCell ref="AE5:AE7"/>
    <mergeCell ref="HH3:HJ6"/>
    <mergeCell ref="AE3:AG4"/>
    <mergeCell ref="AH3:AJ4"/>
    <mergeCell ref="AK3:AM4"/>
    <mergeCell ref="AN3:AP4"/>
    <mergeCell ref="AQ3:AS4"/>
    <mergeCell ref="AT3:AV4"/>
    <mergeCell ref="AW3:AY4"/>
    <mergeCell ref="AZ3:BB4"/>
    <mergeCell ref="BC3:BH4"/>
    <mergeCell ref="BI3:BN4"/>
    <mergeCell ref="BO3:BT4"/>
    <mergeCell ref="BU3:BZ4"/>
    <mergeCell ref="CA3:CF4"/>
    <mergeCell ref="CG3:CL4"/>
    <mergeCell ref="FU5:FU8"/>
    <mergeCell ref="HI7:HJ7"/>
    <mergeCell ref="FV5:FV8"/>
    <mergeCell ref="FW5:FW8"/>
    <mergeCell ref="FX5:FX8"/>
    <mergeCell ref="FY5:FY8"/>
    <mergeCell ref="FJ5:FJ8"/>
    <mergeCell ref="FK5:FK8"/>
    <mergeCell ref="HH2:HJ2"/>
    <mergeCell ref="GR3:GV5"/>
    <mergeCell ref="GW3:GZ5"/>
    <mergeCell ref="HB3:HB8"/>
    <mergeCell ref="HC3:HD6"/>
    <mergeCell ref="HE2:HG2"/>
    <mergeCell ref="GZ6:GZ8"/>
    <mergeCell ref="GW6:GW8"/>
    <mergeCell ref="GX6:GX8"/>
    <mergeCell ref="GY6:GY8"/>
    <mergeCell ref="GR6:GR8"/>
    <mergeCell ref="HA3:HA8"/>
    <mergeCell ref="GS6:GS8"/>
    <mergeCell ref="GT6:GT8"/>
    <mergeCell ref="GU6:GU8"/>
    <mergeCell ref="GV6:GV8"/>
    <mergeCell ref="HC7:HC8"/>
    <mergeCell ref="CM3:CR4"/>
    <mergeCell ref="CS3:CX4"/>
    <mergeCell ref="CY3:DD4"/>
    <mergeCell ref="DE3:DJ4"/>
    <mergeCell ref="DK3:DP4"/>
    <mergeCell ref="DQ3:DV4"/>
    <mergeCell ref="DW3:EB4"/>
    <mergeCell ref="EC3:EH4"/>
    <mergeCell ref="EI3:EN4"/>
    <mergeCell ref="EO3:ET4"/>
    <mergeCell ref="EU3:EZ4"/>
    <mergeCell ref="FA3:FF4"/>
    <mergeCell ref="FG3:FL4"/>
    <mergeCell ref="FM3:FR4"/>
    <mergeCell ref="FS3:FX4"/>
    <mergeCell ref="FY3:GD4"/>
    <mergeCell ref="GE3:GJ4"/>
    <mergeCell ref="GQ3:GQ8"/>
    <mergeCell ref="FT5:FT8"/>
    <mergeCell ref="GJ5:GJ8"/>
    <mergeCell ref="GH5:GH8"/>
    <mergeCell ref="GI5:GI8"/>
    <mergeCell ref="FZ5:FZ8"/>
    <mergeCell ref="GA5:GA8"/>
    <mergeCell ref="GB5:GB8"/>
    <mergeCell ref="GC5:GC8"/>
    <mergeCell ref="GD5:GD8"/>
    <mergeCell ref="GE5:GE8"/>
    <mergeCell ref="FP5:FP8"/>
    <mergeCell ref="FQ5:FQ8"/>
    <mergeCell ref="FR5:FR8"/>
    <mergeCell ref="FS5:FS8"/>
    <mergeCell ref="FH5:FH8"/>
    <mergeCell ref="HD7:HD8"/>
    <mergeCell ref="HE3:HG6"/>
    <mergeCell ref="GP3:GP8"/>
    <mergeCell ref="GK3:GK8"/>
    <mergeCell ref="GL3:GL8"/>
    <mergeCell ref="GM3:GM8"/>
    <mergeCell ref="GN3:GN8"/>
    <mergeCell ref="GO3:GO8"/>
    <mergeCell ref="HF7:HG7"/>
    <mergeCell ref="D2:BB2"/>
    <mergeCell ref="BC2:GJ2"/>
    <mergeCell ref="GK2:GO2"/>
    <mergeCell ref="GP2:HB2"/>
    <mergeCell ref="HC2:HD2"/>
    <mergeCell ref="GF5:GF8"/>
    <mergeCell ref="GG5:GG8"/>
    <mergeCell ref="D3:F4"/>
    <mergeCell ref="G3:I4"/>
    <mergeCell ref="J3:L4"/>
    <mergeCell ref="M3:O4"/>
    <mergeCell ref="P3:R4"/>
    <mergeCell ref="S3:U4"/>
    <mergeCell ref="V3:X4"/>
    <mergeCell ref="Y3:AA4"/>
    <mergeCell ref="AB3:AD4"/>
    <mergeCell ref="R5:R8"/>
    <mergeCell ref="S5:S7"/>
    <mergeCell ref="U5:U8"/>
    <mergeCell ref="V5:V7"/>
    <mergeCell ref="AO5:AO8"/>
    <mergeCell ref="AG5:AG8"/>
    <mergeCell ref="D5:D7"/>
    <mergeCell ref="FE5:FE8"/>
    <mergeCell ref="GZ29:GZ30"/>
    <mergeCell ref="GT29:GT30"/>
    <mergeCell ref="GU29:GU30"/>
    <mergeCell ref="GV29:GV30"/>
    <mergeCell ref="GW29:GW30"/>
    <mergeCell ref="GX29:GX30"/>
    <mergeCell ref="GY29:GY30"/>
    <mergeCell ref="GH29:GH30"/>
    <mergeCell ref="GI29:GI30"/>
    <mergeCell ref="GR29:GR30"/>
    <mergeCell ref="GJ29:GJ30"/>
    <mergeCell ref="GL29:GL30"/>
    <mergeCell ref="GS29:GS30"/>
    <mergeCell ref="GB29:GB30"/>
    <mergeCell ref="GC29:GC30"/>
    <mergeCell ref="GD29:GD30"/>
    <mergeCell ref="GE29:GE30"/>
    <mergeCell ref="GF29:GF30"/>
    <mergeCell ref="GG29:GG30"/>
    <mergeCell ref="FV29:FV30"/>
    <mergeCell ref="FZ29:FZ30"/>
    <mergeCell ref="GA29:GA30"/>
    <mergeCell ref="FL29:FL30"/>
    <mergeCell ref="FM29:FM30"/>
    <mergeCell ref="FN29:FN30"/>
    <mergeCell ref="FO29:FO30"/>
    <mergeCell ref="FR29:FR30"/>
    <mergeCell ref="FD29:FD30"/>
    <mergeCell ref="FE29:FE30"/>
    <mergeCell ref="FF29:FF30"/>
    <mergeCell ref="FG29:FG30"/>
    <mergeCell ref="FH29:FH30"/>
    <mergeCell ref="FI29:FI30"/>
    <mergeCell ref="FJ29:FJ30"/>
    <mergeCell ref="FK29:FK30"/>
    <mergeCell ref="EX29:EX30"/>
    <mergeCell ref="EY29:EY30"/>
    <mergeCell ref="EZ29:EZ30"/>
    <mergeCell ref="FA29:FA30"/>
    <mergeCell ref="FB29:FB30"/>
    <mergeCell ref="FC29:FC30"/>
    <mergeCell ref="ER29:ER30"/>
    <mergeCell ref="ES29:ES30"/>
    <mergeCell ref="ET29:ET30"/>
    <mergeCell ref="EU29:EU30"/>
    <mergeCell ref="EV29:EV30"/>
    <mergeCell ref="EW29:EW30"/>
    <mergeCell ref="EL29:EL30"/>
    <mergeCell ref="EM29:EM30"/>
    <mergeCell ref="EN29:EN30"/>
    <mergeCell ref="EO29:EO30"/>
    <mergeCell ref="EP29:EP30"/>
    <mergeCell ref="EQ29:EQ30"/>
    <mergeCell ref="EF29:EF30"/>
    <mergeCell ref="EG29:EG30"/>
    <mergeCell ref="EH29:EH30"/>
    <mergeCell ref="EI29:EI30"/>
    <mergeCell ref="EJ29:EJ30"/>
    <mergeCell ref="EK29:EK30"/>
    <mergeCell ref="DZ29:DZ30"/>
    <mergeCell ref="EA29:EA30"/>
    <mergeCell ref="EB29:EB30"/>
    <mergeCell ref="EC29:EC30"/>
    <mergeCell ref="ED29:ED30"/>
    <mergeCell ref="EE29:EE30"/>
    <mergeCell ref="DT29:DT30"/>
    <mergeCell ref="DU29:DU30"/>
    <mergeCell ref="DV29:DV30"/>
    <mergeCell ref="DW29:DW30"/>
    <mergeCell ref="DX29:DX30"/>
    <mergeCell ref="DY29:DY30"/>
    <mergeCell ref="DN29:DN30"/>
    <mergeCell ref="DO29:DO30"/>
    <mergeCell ref="DP29:DP30"/>
    <mergeCell ref="DQ29:DQ30"/>
    <mergeCell ref="DR29:DR30"/>
    <mergeCell ref="DS29:DS30"/>
    <mergeCell ref="DH29:DH30"/>
    <mergeCell ref="DI29:DI30"/>
    <mergeCell ref="DJ29:DJ30"/>
    <mergeCell ref="DK29:DK30"/>
    <mergeCell ref="DL29:DL30"/>
    <mergeCell ref="DM29:DM30"/>
    <mergeCell ref="DB29:DB30"/>
    <mergeCell ref="DC29:DC30"/>
    <mergeCell ref="DD29:DD30"/>
    <mergeCell ref="DE29:DE30"/>
    <mergeCell ref="DF29:DF30"/>
    <mergeCell ref="DG29:DG30"/>
    <mergeCell ref="CV29:CV30"/>
    <mergeCell ref="CW29:CW30"/>
    <mergeCell ref="CX29:CX30"/>
    <mergeCell ref="CY29:CY30"/>
    <mergeCell ref="CZ29:CZ30"/>
    <mergeCell ref="DA29:DA30"/>
    <mergeCell ref="CP29:CP30"/>
    <mergeCell ref="CQ29:CQ30"/>
    <mergeCell ref="CR29:CR30"/>
    <mergeCell ref="CS29:CS30"/>
    <mergeCell ref="CT29:CT30"/>
    <mergeCell ref="CU29:CU30"/>
    <mergeCell ref="CJ29:CJ30"/>
    <mergeCell ref="CK29:CK30"/>
    <mergeCell ref="CL29:CL30"/>
    <mergeCell ref="CM29:CM30"/>
    <mergeCell ref="CN29:CN30"/>
    <mergeCell ref="CO29:CO30"/>
    <mergeCell ref="CD29:CD30"/>
    <mergeCell ref="CE29:CE30"/>
    <mergeCell ref="CF29:CF30"/>
    <mergeCell ref="CG29:CG30"/>
    <mergeCell ref="CH29:CH30"/>
    <mergeCell ref="CI29:CI30"/>
    <mergeCell ref="BX29:BX30"/>
    <mergeCell ref="BY29:BY30"/>
    <mergeCell ref="BZ29:BZ30"/>
    <mergeCell ref="CA29:CA30"/>
    <mergeCell ref="CB29:CB30"/>
    <mergeCell ref="CC29:CC30"/>
    <mergeCell ref="BR29:BR30"/>
    <mergeCell ref="BS29:BS30"/>
    <mergeCell ref="BT29:BT30"/>
    <mergeCell ref="BU29:BU30"/>
    <mergeCell ref="BV29:BV30"/>
    <mergeCell ref="BW29:BW30"/>
    <mergeCell ref="BL29:BL30"/>
    <mergeCell ref="BM29:BM30"/>
    <mergeCell ref="BN29:BN30"/>
    <mergeCell ref="BO29:BO30"/>
    <mergeCell ref="BP29:BP30"/>
    <mergeCell ref="BQ29:BQ30"/>
    <mergeCell ref="BF29:BF30"/>
    <mergeCell ref="BG29:BG30"/>
    <mergeCell ref="BH29:BH30"/>
    <mergeCell ref="BI29:BI30"/>
    <mergeCell ref="BJ29:BJ30"/>
    <mergeCell ref="BK29:BK30"/>
    <mergeCell ref="A29:C30"/>
    <mergeCell ref="BC29:BC30"/>
    <mergeCell ref="BD29:BD30"/>
    <mergeCell ref="BE29:BE30"/>
    <mergeCell ref="AE30:AG30"/>
    <mergeCell ref="AH30:AJ30"/>
    <mergeCell ref="AK30:AM30"/>
    <mergeCell ref="AN30:AP30"/>
    <mergeCell ref="AQ30:AS30"/>
    <mergeCell ref="AT30:AV30"/>
    <mergeCell ref="AW30:AY30"/>
    <mergeCell ref="D30:F30"/>
    <mergeCell ref="G30:I30"/>
    <mergeCell ref="J30:L30"/>
    <mergeCell ref="M30:O30"/>
    <mergeCell ref="P30:R30"/>
    <mergeCell ref="S30:U30"/>
    <mergeCell ref="V30:X30"/>
    <mergeCell ref="FI5:FI8"/>
    <mergeCell ref="EZ5:EZ8"/>
    <mergeCell ref="FA5:FA8"/>
    <mergeCell ref="EP5:EP8"/>
    <mergeCell ref="EQ5:EQ8"/>
    <mergeCell ref="ER5:ER8"/>
    <mergeCell ref="ES5:ES8"/>
    <mergeCell ref="ET5:ET8"/>
    <mergeCell ref="EU5:EU8"/>
    <mergeCell ref="EX5:EX8"/>
    <mergeCell ref="EY5:EY8"/>
    <mergeCell ref="EJ5:EJ8"/>
    <mergeCell ref="EK5:EK8"/>
    <mergeCell ref="EL5:EL8"/>
    <mergeCell ref="EM5:EM8"/>
    <mergeCell ref="EN5:EN8"/>
    <mergeCell ref="EO5:EO8"/>
    <mergeCell ref="ED5:ED8"/>
    <mergeCell ref="EE5:EE8"/>
    <mergeCell ref="EF5:EF8"/>
    <mergeCell ref="EG5:EG8"/>
    <mergeCell ref="EH5:EH8"/>
    <mergeCell ref="EI5:EI8"/>
    <mergeCell ref="DX5:DX8"/>
    <mergeCell ref="DY5:DY8"/>
    <mergeCell ref="DZ5:DZ8"/>
    <mergeCell ref="EA5:EA8"/>
    <mergeCell ref="EB5:EB8"/>
    <mergeCell ref="EC5:EC8"/>
    <mergeCell ref="DR5:DR8"/>
    <mergeCell ref="DS5:DS8"/>
    <mergeCell ref="DT5:DT8"/>
    <mergeCell ref="DU5:DU8"/>
    <mergeCell ref="DV5:DV8"/>
    <mergeCell ref="DW5:DW8"/>
    <mergeCell ref="DL5:DL8"/>
    <mergeCell ref="DM5:DM8"/>
    <mergeCell ref="DN5:DN8"/>
    <mergeCell ref="DO5:DO8"/>
    <mergeCell ref="DP5:DP8"/>
    <mergeCell ref="DQ5:DQ8"/>
    <mergeCell ref="DF5:DF8"/>
    <mergeCell ref="DG5:DG8"/>
    <mergeCell ref="DH5:DH8"/>
    <mergeCell ref="DI5:DI8"/>
    <mergeCell ref="DJ5:DJ8"/>
    <mergeCell ref="DK5:DK8"/>
    <mergeCell ref="CZ5:CZ8"/>
    <mergeCell ref="DA5:DA8"/>
    <mergeCell ref="DB5:DB8"/>
    <mergeCell ref="DC5:DC8"/>
    <mergeCell ref="DD5:DD8"/>
    <mergeCell ref="DE5:DE8"/>
    <mergeCell ref="CT5:CT8"/>
    <mergeCell ref="CU5:CU8"/>
    <mergeCell ref="CV5:CV8"/>
    <mergeCell ref="CW5:CW8"/>
    <mergeCell ref="CX5:CX8"/>
    <mergeCell ref="CY5:CY8"/>
    <mergeCell ref="CN5:CN8"/>
    <mergeCell ref="CO5:CO8"/>
    <mergeCell ref="CP5:CP8"/>
    <mergeCell ref="CQ5:CQ8"/>
    <mergeCell ref="CR5:CR8"/>
    <mergeCell ref="CS5:CS8"/>
    <mergeCell ref="CI5:CI8"/>
    <mergeCell ref="CJ5:CJ8"/>
    <mergeCell ref="CK5:CK8"/>
    <mergeCell ref="CL5:CL8"/>
    <mergeCell ref="CM5:CM8"/>
    <mergeCell ref="CB5:CB8"/>
    <mergeCell ref="CC5:CC8"/>
    <mergeCell ref="CD5:CD8"/>
    <mergeCell ref="CE5:CE8"/>
    <mergeCell ref="CF5:CF8"/>
    <mergeCell ref="CG5:CG8"/>
    <mergeCell ref="AP5:AP8"/>
    <mergeCell ref="AQ5:AQ7"/>
    <mergeCell ref="AS5:AS8"/>
    <mergeCell ref="AT5:AT7"/>
    <mergeCell ref="AV5:AV8"/>
    <mergeCell ref="AW5:AW7"/>
    <mergeCell ref="AY5:AY8"/>
    <mergeCell ref="AZ5:AZ7"/>
    <mergeCell ref="BB5:BB8"/>
    <mergeCell ref="AR5:AR8"/>
    <mergeCell ref="AU5:AU8"/>
    <mergeCell ref="BM5:BM8"/>
    <mergeCell ref="BN5:BN8"/>
    <mergeCell ref="BO5:BO8"/>
    <mergeCell ref="BQ5:BQ8"/>
    <mergeCell ref="CH5:CH8"/>
    <mergeCell ref="AX5:AX8"/>
    <mergeCell ref="BA5:BA8"/>
    <mergeCell ref="BD5:BD8"/>
    <mergeCell ref="BE5:BE8"/>
    <mergeCell ref="BF5:BF8"/>
    <mergeCell ref="BV5:BV8"/>
    <mergeCell ref="BW5:BW8"/>
    <mergeCell ref="BX5:BX8"/>
    <mergeCell ref="BY5:BY8"/>
    <mergeCell ref="BZ5:BZ8"/>
    <mergeCell ref="CA5:CA8"/>
    <mergeCell ref="BJ5:BJ8"/>
    <mergeCell ref="BG5:BG8"/>
    <mergeCell ref="BH5:BH8"/>
    <mergeCell ref="BI5:BI8"/>
    <mergeCell ref="BC5:BC8"/>
    <mergeCell ref="BP5:BP8"/>
    <mergeCell ref="BR5:BR8"/>
    <mergeCell ref="BS5:BS8"/>
    <mergeCell ref="BT5:BT8"/>
    <mergeCell ref="BU5:BU8"/>
    <mergeCell ref="BK5:BK8"/>
    <mergeCell ref="BL5:BL8"/>
    <mergeCell ref="A2:A8"/>
    <mergeCell ref="B2:B8"/>
    <mergeCell ref="C2:C8"/>
    <mergeCell ref="Q5:Q8"/>
    <mergeCell ref="H5:H8"/>
    <mergeCell ref="K5:K8"/>
    <mergeCell ref="Z5:Z8"/>
    <mergeCell ref="AC5:AC8"/>
    <mergeCell ref="T5:T8"/>
    <mergeCell ref="W5:W8"/>
    <mergeCell ref="E5:E8"/>
    <mergeCell ref="F5:F8"/>
    <mergeCell ref="G5:G7"/>
    <mergeCell ref="I5:I8"/>
    <mergeCell ref="J5:J7"/>
    <mergeCell ref="L5:L8"/>
    <mergeCell ref="M5:M7"/>
    <mergeCell ref="O5:O8"/>
    <mergeCell ref="P5:P7"/>
    <mergeCell ref="N5:N8"/>
    <mergeCell ref="X5:X8"/>
    <mergeCell ref="Y5:Y7"/>
    <mergeCell ref="AA5:AA8"/>
    <mergeCell ref="AB5:AB7"/>
  </mergeCells>
  <phoneticPr fontId="5"/>
  <conditionalFormatting sqref="GB23">
    <cfRule type="expression" dxfId="405" priority="3">
      <formula>GA23=1</formula>
    </cfRule>
    <cfRule type="expression" priority="4">
      <formula>"K3=1"</formula>
    </cfRule>
  </conditionalFormatting>
  <conditionalFormatting sqref="HD9">
    <cfRule type="duplicateValues" dxfId="404" priority="377"/>
  </conditionalFormatting>
  <conditionalFormatting sqref="HC9">
    <cfRule type="duplicateValues" dxfId="403" priority="378"/>
  </conditionalFormatting>
  <conditionalFormatting sqref="HD11">
    <cfRule type="duplicateValues" dxfId="402" priority="379"/>
  </conditionalFormatting>
  <conditionalFormatting sqref="HC11">
    <cfRule type="duplicateValues" dxfId="401" priority="380"/>
  </conditionalFormatting>
  <conditionalFormatting sqref="HD12">
    <cfRule type="duplicateValues" dxfId="400" priority="381"/>
  </conditionalFormatting>
  <conditionalFormatting sqref="HD14">
    <cfRule type="duplicateValues" dxfId="399" priority="382"/>
  </conditionalFormatting>
  <conditionalFormatting sqref="HC14">
    <cfRule type="duplicateValues" dxfId="398" priority="383"/>
  </conditionalFormatting>
  <conditionalFormatting sqref="HD15">
    <cfRule type="duplicateValues" dxfId="397" priority="384"/>
  </conditionalFormatting>
  <conditionalFormatting sqref="HD17">
    <cfRule type="duplicateValues" dxfId="396" priority="385"/>
  </conditionalFormatting>
  <conditionalFormatting sqref="HC17">
    <cfRule type="duplicateValues" dxfId="395" priority="386"/>
  </conditionalFormatting>
  <conditionalFormatting sqref="HD18">
    <cfRule type="duplicateValues" dxfId="394" priority="387"/>
  </conditionalFormatting>
  <conditionalFormatting sqref="HC18">
    <cfRule type="duplicateValues" dxfId="393" priority="388"/>
  </conditionalFormatting>
  <conditionalFormatting sqref="HD21">
    <cfRule type="duplicateValues" dxfId="392" priority="389"/>
  </conditionalFormatting>
  <conditionalFormatting sqref="HC21">
    <cfRule type="duplicateValues" dxfId="391" priority="390"/>
  </conditionalFormatting>
  <conditionalFormatting sqref="HD23">
    <cfRule type="duplicateValues" dxfId="390" priority="391"/>
  </conditionalFormatting>
  <conditionalFormatting sqref="HC23">
    <cfRule type="duplicateValues" dxfId="389" priority="392"/>
  </conditionalFormatting>
  <conditionalFormatting sqref="HD24">
    <cfRule type="duplicateValues" dxfId="388" priority="393"/>
  </conditionalFormatting>
  <conditionalFormatting sqref="HC24">
    <cfRule type="duplicateValues" dxfId="387" priority="394"/>
  </conditionalFormatting>
  <conditionalFormatting sqref="HD25">
    <cfRule type="duplicateValues" dxfId="386" priority="395"/>
  </conditionalFormatting>
  <conditionalFormatting sqref="HC27">
    <cfRule type="duplicateValues" dxfId="385" priority="397"/>
  </conditionalFormatting>
  <conditionalFormatting sqref="HD19">
    <cfRule type="duplicateValues" dxfId="384" priority="398"/>
  </conditionalFormatting>
  <conditionalFormatting sqref="HC19">
    <cfRule type="duplicateValues" dxfId="383" priority="399"/>
  </conditionalFormatting>
  <conditionalFormatting sqref="HD26">
    <cfRule type="duplicateValues" dxfId="382" priority="400"/>
  </conditionalFormatting>
  <conditionalFormatting sqref="HC26">
    <cfRule type="duplicateValues" dxfId="381" priority="401"/>
  </conditionalFormatting>
  <conditionalFormatting sqref="HD10">
    <cfRule type="duplicateValues" dxfId="380" priority="402"/>
  </conditionalFormatting>
  <conditionalFormatting sqref="HC10">
    <cfRule type="duplicateValues" dxfId="379" priority="403"/>
  </conditionalFormatting>
  <conditionalFormatting sqref="HD13">
    <cfRule type="duplicateValues" dxfId="378" priority="404"/>
  </conditionalFormatting>
  <conditionalFormatting sqref="HC13">
    <cfRule type="duplicateValues" dxfId="377" priority="405"/>
  </conditionalFormatting>
  <conditionalFormatting sqref="HD16">
    <cfRule type="duplicateValues" dxfId="376" priority="406"/>
  </conditionalFormatting>
  <conditionalFormatting sqref="HC16">
    <cfRule type="duplicateValues" dxfId="375" priority="407"/>
  </conditionalFormatting>
  <conditionalFormatting sqref="HD20">
    <cfRule type="duplicateValues" dxfId="374" priority="408"/>
  </conditionalFormatting>
  <conditionalFormatting sqref="HC20">
    <cfRule type="duplicateValues" dxfId="373" priority="409"/>
  </conditionalFormatting>
  <conditionalFormatting sqref="HD22">
    <cfRule type="duplicateValues" dxfId="372" priority="410"/>
  </conditionalFormatting>
  <conditionalFormatting sqref="HC22">
    <cfRule type="duplicateValues" dxfId="371" priority="411"/>
  </conditionalFormatting>
  <conditionalFormatting sqref="HD28">
    <cfRule type="duplicateValues" dxfId="370" priority="412"/>
  </conditionalFormatting>
  <conditionalFormatting sqref="HC28">
    <cfRule type="duplicateValues" dxfId="369" priority="413"/>
  </conditionalFormatting>
  <conditionalFormatting sqref="HD27">
    <cfRule type="duplicateValues" dxfId="368" priority="1"/>
  </conditionalFormatting>
  <dataValidations count="4">
    <dataValidation type="list" allowBlank="1" showInputMessage="1" showErrorMessage="1" sqref="P9:Q28 G9:H17 D9:E28 GR9:GU28 GN9:GO28 GW9:HB28 AZ9:BA28 AW9:AX28 AT9:AU28 AQ9:AR28 AN9:AO28 AK9:AL28 AH9:AI28 AB9:AC28 Y9:Z28 V9:W28 S9:T28 M9:N28 J9:K28 H18:H28 HD9:HD26 HD28" xr:uid="{00000000-0002-0000-0000-000000000000}">
      <formula1>"○"</formula1>
    </dataValidation>
    <dataValidation type="list" allowBlank="1" showInputMessage="1" showErrorMessage="1" sqref="GK9:GK28" xr:uid="{00000000-0002-0000-0000-000002000000}">
      <formula1>"設置済,設置予定,設置予定無し"</formula1>
    </dataValidation>
    <dataValidation type="list" allowBlank="1" showInputMessage="1" showErrorMessage="1" sqref="GQ9:GQ28 GM9:GM28" xr:uid="{00000000-0002-0000-0000-000003000000}">
      <formula1>"委託有,委託予定,委託予定無し"</formula1>
    </dataValidation>
    <dataValidation type="list" allowBlank="1" showInputMessage="1" showErrorMessage="1" sqref="GP9:GP28" xr:uid="{00000000-0002-0000-0000-000004000000}">
      <formula1>"実施済,実施予定,実施予定無し"</formula1>
    </dataValidation>
  </dataValidations>
  <pageMargins left="0.70866141732283472" right="0.70866141732283472" top="0.74803149606299213" bottom="0.74803149606299213" header="0.31496062992125984" footer="0.31496062992125984"/>
  <pageSetup paperSize="8" scale="41" fitToWidth="10" fitToHeight="0" orientation="landscape" r:id="rId1"/>
  <colBreaks count="2" manualBreakCount="2">
    <brk id="54" max="29" man="1"/>
    <brk id="199" max="29"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A4525-6775-4AFD-9DC5-5FC4CF3B6585}">
  <sheetPr>
    <pageSetUpPr fitToPage="1"/>
  </sheetPr>
  <dimension ref="A2:EY120"/>
  <sheetViews>
    <sheetView tabSelected="1" view="pageBreakPreview" zoomScale="50" zoomScaleNormal="40" zoomScaleSheetLayoutView="50" zoomScalePageLayoutView="80" workbookViewId="0">
      <selection activeCell="D11" sqref="D11:M13"/>
    </sheetView>
  </sheetViews>
  <sheetFormatPr defaultColWidth="2.81640625" defaultRowHeight="12.65" customHeight="1"/>
  <cols>
    <col min="1" max="16" width="2.81640625" style="1"/>
    <col min="17" max="17" width="2.81640625" style="1" customWidth="1"/>
    <col min="18" max="20" width="2.81640625" style="1"/>
    <col min="21" max="33" width="3.81640625" style="1" customWidth="1"/>
    <col min="34" max="34" width="6.54296875" style="1" customWidth="1"/>
    <col min="35" max="38" width="3.81640625" style="1" customWidth="1"/>
    <col min="39" max="52" width="2.81640625" style="1"/>
    <col min="53" max="53" width="2.453125" style="1" customWidth="1"/>
    <col min="54" max="63" width="2.81640625" style="1"/>
    <col min="64" max="64" width="2.81640625" style="1" customWidth="1"/>
    <col min="65" max="66" width="2.81640625" style="1"/>
    <col min="67" max="70" width="3.1796875" style="1" customWidth="1"/>
    <col min="71" max="74" width="2.81640625" style="1"/>
    <col min="75" max="78" width="2.81640625" style="1" customWidth="1"/>
    <col min="79" max="16384" width="2.81640625" style="1"/>
  </cols>
  <sheetData>
    <row r="2" spans="3:143" ht="12.65" customHeight="1">
      <c r="C2" s="35"/>
      <c r="D2" s="34"/>
      <c r="E2" s="34"/>
      <c r="F2" s="33"/>
      <c r="S2" s="2"/>
      <c r="T2" s="2"/>
      <c r="U2" s="2"/>
      <c r="V2" s="2"/>
      <c r="X2" s="35"/>
      <c r="Y2" s="34"/>
      <c r="Z2" s="34"/>
      <c r="AA2" s="33"/>
      <c r="AN2" s="2"/>
      <c r="AO2" s="2"/>
      <c r="AP2" s="2"/>
      <c r="AQ2" s="515"/>
      <c r="AR2" s="515"/>
      <c r="AS2" s="515"/>
      <c r="AT2" s="515"/>
      <c r="AU2" s="515"/>
      <c r="AV2" s="515"/>
      <c r="AW2" s="515"/>
      <c r="AX2" s="515"/>
      <c r="AY2" s="515"/>
      <c r="AZ2" s="515"/>
      <c r="BA2" s="515"/>
      <c r="BB2" s="515"/>
      <c r="BC2" s="515"/>
      <c r="BD2" s="515"/>
      <c r="BE2" s="515"/>
      <c r="BF2" s="515"/>
      <c r="BG2" s="515"/>
      <c r="BH2" s="515"/>
      <c r="BI2" s="515"/>
      <c r="BJ2" s="515"/>
      <c r="BK2" s="515"/>
      <c r="BL2" s="515"/>
      <c r="BM2" s="515"/>
      <c r="BN2" s="515"/>
      <c r="BO2" s="515"/>
      <c r="BP2" s="515"/>
      <c r="BQ2" s="515"/>
      <c r="BR2" s="515"/>
      <c r="BS2" s="515"/>
      <c r="BT2" s="515"/>
      <c r="BU2" s="515"/>
      <c r="BV2" s="515"/>
      <c r="BW2" s="515"/>
      <c r="BX2" s="515"/>
      <c r="BY2" s="515"/>
      <c r="BZ2" s="515"/>
      <c r="CA2" s="515"/>
      <c r="CB2" s="515"/>
      <c r="CC2" s="515"/>
      <c r="CD2" s="515"/>
      <c r="CE2" s="515"/>
      <c r="CF2" s="515"/>
      <c r="CG2" s="515"/>
      <c r="CH2" s="515"/>
      <c r="CI2" s="515"/>
      <c r="CJ2" s="515"/>
      <c r="CK2" s="515"/>
      <c r="CL2" s="515"/>
      <c r="CM2" s="515"/>
      <c r="CN2" s="515"/>
      <c r="CO2" s="515"/>
      <c r="CP2" s="515"/>
      <c r="CQ2" s="515"/>
      <c r="CR2" s="515"/>
      <c r="CS2" s="515"/>
      <c r="CT2" s="515"/>
      <c r="CU2" s="515"/>
      <c r="CV2" s="515"/>
      <c r="CW2" s="515"/>
      <c r="CX2" s="515"/>
      <c r="CY2" s="515"/>
      <c r="CZ2" s="515"/>
      <c r="DA2" s="515"/>
      <c r="DB2" s="515"/>
      <c r="DC2" s="515"/>
      <c r="DD2" s="515"/>
      <c r="DE2" s="515"/>
      <c r="DF2" s="515"/>
      <c r="DG2" s="515"/>
      <c r="DH2" s="515"/>
      <c r="DI2" s="515"/>
      <c r="DJ2" s="515"/>
      <c r="DK2" s="515"/>
      <c r="DL2" s="515"/>
      <c r="DM2" s="515"/>
      <c r="DN2" s="515"/>
      <c r="DO2" s="515"/>
      <c r="DP2" s="515"/>
      <c r="DQ2" s="515"/>
      <c r="DR2" s="515"/>
      <c r="DS2" s="515"/>
      <c r="DT2" s="515"/>
      <c r="DU2" s="515"/>
      <c r="DV2" s="515"/>
      <c r="DW2" s="515"/>
      <c r="DX2" s="515"/>
      <c r="DY2" s="515"/>
      <c r="DZ2" s="515"/>
      <c r="EA2" s="515"/>
      <c r="EB2" s="515"/>
      <c r="EC2" s="515"/>
      <c r="ED2" s="515"/>
      <c r="EE2" s="515"/>
      <c r="EF2" s="515"/>
      <c r="EG2" s="515"/>
      <c r="EH2" s="515"/>
      <c r="EI2" s="515"/>
    </row>
    <row r="3" spans="3:143" ht="12.65" customHeight="1">
      <c r="C3" s="2"/>
      <c r="D3" s="2"/>
      <c r="E3" s="2"/>
      <c r="S3" s="2"/>
      <c r="T3" s="2"/>
      <c r="U3" s="2"/>
      <c r="V3" s="2"/>
      <c r="X3" s="2"/>
      <c r="Y3" s="2"/>
      <c r="Z3" s="2"/>
      <c r="AN3" s="2"/>
      <c r="AO3" s="2"/>
      <c r="AP3" s="2"/>
      <c r="AQ3" s="515"/>
      <c r="AR3" s="515"/>
      <c r="AS3" s="515"/>
      <c r="AT3" s="515"/>
      <c r="AU3" s="515"/>
      <c r="AV3" s="515"/>
      <c r="AW3" s="515"/>
      <c r="AX3" s="515"/>
      <c r="AY3" s="515"/>
      <c r="AZ3" s="515"/>
      <c r="BA3" s="515"/>
      <c r="BB3" s="515"/>
      <c r="BC3" s="515"/>
      <c r="BD3" s="515"/>
      <c r="BE3" s="515"/>
      <c r="BF3" s="515"/>
      <c r="BG3" s="515"/>
      <c r="BH3" s="515"/>
      <c r="BI3" s="515"/>
      <c r="BJ3" s="515"/>
      <c r="BK3" s="515"/>
      <c r="BL3" s="515"/>
      <c r="BM3" s="515"/>
      <c r="BN3" s="515"/>
      <c r="BO3" s="515"/>
      <c r="BP3" s="515"/>
      <c r="BQ3" s="515"/>
      <c r="BR3" s="515"/>
      <c r="BS3" s="515"/>
      <c r="BT3" s="515"/>
      <c r="BU3" s="515"/>
      <c r="BV3" s="515"/>
      <c r="BW3" s="515"/>
      <c r="BX3" s="515"/>
      <c r="BY3" s="515"/>
      <c r="BZ3" s="515"/>
      <c r="CA3" s="515"/>
      <c r="CB3" s="515"/>
      <c r="CC3" s="515"/>
      <c r="CD3" s="515"/>
      <c r="CE3" s="515"/>
      <c r="CF3" s="515"/>
      <c r="CG3" s="515"/>
      <c r="CH3" s="515"/>
      <c r="CI3" s="515"/>
      <c r="CJ3" s="515"/>
      <c r="CK3" s="515"/>
      <c r="CL3" s="515"/>
      <c r="CM3" s="515"/>
      <c r="CN3" s="515"/>
      <c r="CO3" s="515"/>
      <c r="CP3" s="515"/>
      <c r="CQ3" s="515"/>
      <c r="CR3" s="515"/>
      <c r="CS3" s="515"/>
      <c r="CT3" s="515"/>
      <c r="CU3" s="515"/>
      <c r="CV3" s="515"/>
      <c r="CW3" s="515"/>
      <c r="CX3" s="515"/>
      <c r="CY3" s="515"/>
      <c r="CZ3" s="515"/>
      <c r="DA3" s="515"/>
      <c r="DB3" s="515"/>
      <c r="DC3" s="515"/>
      <c r="DD3" s="515"/>
      <c r="DE3" s="515"/>
      <c r="DF3" s="515"/>
      <c r="DG3" s="515"/>
      <c r="DH3" s="515"/>
      <c r="DI3" s="515"/>
      <c r="DJ3" s="515"/>
      <c r="DK3" s="515"/>
      <c r="DL3" s="515"/>
      <c r="DM3" s="515"/>
      <c r="DN3" s="515"/>
      <c r="DO3" s="515"/>
      <c r="DP3" s="515"/>
      <c r="DQ3" s="515"/>
      <c r="DR3" s="515"/>
      <c r="DS3" s="515"/>
      <c r="DT3" s="515"/>
      <c r="DU3" s="515"/>
      <c r="DV3" s="515"/>
      <c r="DW3" s="515"/>
      <c r="DX3" s="515"/>
      <c r="DY3" s="515"/>
      <c r="DZ3" s="515"/>
      <c r="EA3" s="515"/>
      <c r="EB3" s="515"/>
      <c r="EC3" s="515"/>
      <c r="ED3" s="515"/>
      <c r="EE3" s="515"/>
      <c r="EF3" s="515"/>
      <c r="EG3" s="515"/>
      <c r="EH3" s="515"/>
      <c r="EI3" s="515"/>
    </row>
    <row r="4" spans="3:143" ht="12.65" customHeight="1">
      <c r="C4" s="2"/>
      <c r="D4" s="2"/>
      <c r="E4" s="2"/>
      <c r="H4" s="3"/>
      <c r="I4" s="3"/>
      <c r="J4" s="3"/>
      <c r="K4" s="3"/>
      <c r="L4" s="3"/>
      <c r="M4" s="3"/>
      <c r="N4" s="3"/>
      <c r="O4" s="3"/>
      <c r="P4" s="3"/>
      <c r="Q4" s="3"/>
      <c r="R4" s="3"/>
      <c r="S4" s="3"/>
      <c r="T4" s="3"/>
      <c r="U4" s="3"/>
      <c r="V4" s="3"/>
      <c r="X4" s="2"/>
      <c r="Y4" s="2"/>
      <c r="Z4" s="2"/>
      <c r="AC4" s="3"/>
      <c r="AD4" s="3"/>
      <c r="AE4" s="3"/>
      <c r="AF4" s="3"/>
      <c r="AG4" s="3"/>
      <c r="AH4" s="3"/>
      <c r="AI4" s="3"/>
      <c r="AJ4" s="3"/>
      <c r="AK4" s="3"/>
      <c r="AL4" s="3"/>
      <c r="AM4" s="3"/>
      <c r="AN4" s="3"/>
      <c r="AO4" s="3"/>
      <c r="AP4" s="3"/>
      <c r="AQ4" s="515"/>
      <c r="AR4" s="515"/>
      <c r="AS4" s="515"/>
      <c r="AT4" s="515"/>
      <c r="AU4" s="515"/>
      <c r="AV4" s="515"/>
      <c r="AW4" s="515"/>
      <c r="AX4" s="515"/>
      <c r="AY4" s="515"/>
      <c r="AZ4" s="515"/>
      <c r="BA4" s="515"/>
      <c r="BB4" s="515"/>
      <c r="BC4" s="515"/>
      <c r="BD4" s="515"/>
      <c r="BE4" s="515"/>
      <c r="BF4" s="515"/>
      <c r="BG4" s="515"/>
      <c r="BH4" s="515"/>
      <c r="BI4" s="515"/>
      <c r="BJ4" s="515"/>
      <c r="BK4" s="515"/>
      <c r="BL4" s="515"/>
      <c r="BM4" s="515"/>
      <c r="BN4" s="515"/>
      <c r="BO4" s="515"/>
      <c r="BP4" s="515"/>
      <c r="BQ4" s="515"/>
      <c r="BR4" s="515"/>
      <c r="BS4" s="515"/>
      <c r="BT4" s="515"/>
      <c r="BU4" s="515"/>
      <c r="BV4" s="515"/>
      <c r="BW4" s="515"/>
      <c r="BX4" s="515"/>
      <c r="BY4" s="515"/>
      <c r="BZ4" s="515"/>
      <c r="CA4" s="515"/>
      <c r="CB4" s="515"/>
      <c r="CC4" s="515"/>
      <c r="CD4" s="515"/>
      <c r="CE4" s="515"/>
      <c r="CF4" s="515"/>
      <c r="CG4" s="515"/>
      <c r="CH4" s="515"/>
      <c r="CI4" s="515"/>
      <c r="CJ4" s="515"/>
      <c r="CK4" s="515"/>
      <c r="CL4" s="515"/>
      <c r="CM4" s="515"/>
      <c r="CN4" s="515"/>
      <c r="CO4" s="515"/>
      <c r="CP4" s="515"/>
      <c r="CQ4" s="515"/>
      <c r="CR4" s="515"/>
      <c r="CS4" s="515"/>
      <c r="CT4" s="515"/>
      <c r="CU4" s="515"/>
      <c r="CV4" s="515"/>
      <c r="CW4" s="515"/>
      <c r="CX4" s="515"/>
      <c r="CY4" s="515"/>
      <c r="CZ4" s="515"/>
      <c r="DA4" s="515"/>
      <c r="DB4" s="515"/>
      <c r="DC4" s="515"/>
      <c r="DD4" s="515"/>
      <c r="DE4" s="515"/>
      <c r="DF4" s="515"/>
      <c r="DG4" s="515"/>
      <c r="DH4" s="515"/>
      <c r="DI4" s="515"/>
      <c r="DJ4" s="515"/>
      <c r="DK4" s="515"/>
      <c r="DL4" s="515"/>
      <c r="DM4" s="515"/>
      <c r="DN4" s="515"/>
      <c r="DO4" s="515"/>
      <c r="DP4" s="515"/>
      <c r="DQ4" s="515"/>
      <c r="DR4" s="515"/>
      <c r="DS4" s="515"/>
      <c r="DT4" s="515"/>
      <c r="DU4" s="515"/>
      <c r="DV4" s="515"/>
      <c r="DW4" s="515"/>
      <c r="DX4" s="515"/>
      <c r="DY4" s="515"/>
      <c r="DZ4" s="515"/>
      <c r="EA4" s="515"/>
      <c r="EB4" s="515"/>
      <c r="EC4" s="515"/>
      <c r="ED4" s="515"/>
      <c r="EE4" s="515"/>
      <c r="EF4" s="515"/>
      <c r="EG4" s="515"/>
      <c r="EH4" s="515"/>
      <c r="EI4" s="515"/>
    </row>
    <row r="5" spans="3:143" ht="12.65" customHeight="1">
      <c r="S5" s="2"/>
      <c r="T5" s="2"/>
      <c r="U5" s="2"/>
      <c r="V5" s="2"/>
      <c r="AN5" s="2"/>
      <c r="AO5" s="2"/>
      <c r="AP5" s="2"/>
      <c r="AQ5" s="515"/>
      <c r="AR5" s="515"/>
      <c r="AS5" s="515"/>
      <c r="AT5" s="515"/>
      <c r="AU5" s="515"/>
      <c r="AV5" s="515"/>
      <c r="AW5" s="515"/>
      <c r="AX5" s="515"/>
      <c r="AY5" s="515"/>
      <c r="AZ5" s="515"/>
      <c r="BA5" s="515"/>
      <c r="BB5" s="515"/>
      <c r="BC5" s="515"/>
      <c r="BD5" s="515"/>
      <c r="BE5" s="515"/>
      <c r="BF5" s="515"/>
      <c r="BG5" s="515"/>
      <c r="BH5" s="515"/>
      <c r="BI5" s="515"/>
      <c r="BJ5" s="515"/>
      <c r="BK5" s="515"/>
      <c r="BL5" s="515"/>
      <c r="BM5" s="515"/>
      <c r="BN5" s="515"/>
      <c r="BO5" s="515"/>
      <c r="BP5" s="515"/>
      <c r="BQ5" s="515"/>
      <c r="BR5" s="515"/>
      <c r="BS5" s="515"/>
      <c r="BT5" s="515"/>
      <c r="BU5" s="515"/>
      <c r="BV5" s="515"/>
      <c r="BW5" s="515"/>
      <c r="BX5" s="515"/>
      <c r="BY5" s="515"/>
      <c r="BZ5" s="515"/>
      <c r="CA5" s="515"/>
      <c r="CB5" s="515"/>
      <c r="CC5" s="515"/>
      <c r="CD5" s="515"/>
      <c r="CE5" s="515"/>
      <c r="CF5" s="515"/>
      <c r="CG5" s="515"/>
      <c r="CH5" s="515"/>
      <c r="CI5" s="515"/>
      <c r="CJ5" s="515"/>
      <c r="CK5" s="515"/>
      <c r="CL5" s="515"/>
      <c r="CM5" s="515"/>
      <c r="CN5" s="515"/>
      <c r="CO5" s="515"/>
      <c r="CP5" s="515"/>
      <c r="CQ5" s="515"/>
      <c r="CR5" s="515"/>
      <c r="CS5" s="515"/>
      <c r="CT5" s="515"/>
      <c r="CU5" s="515"/>
      <c r="CV5" s="515"/>
      <c r="CW5" s="515"/>
      <c r="CX5" s="515"/>
      <c r="CY5" s="515"/>
      <c r="CZ5" s="515"/>
      <c r="DA5" s="515"/>
      <c r="DB5" s="515"/>
      <c r="DC5" s="515"/>
      <c r="DD5" s="515"/>
      <c r="DE5" s="515"/>
      <c r="DF5" s="515"/>
      <c r="DG5" s="515"/>
      <c r="DH5" s="515"/>
      <c r="DI5" s="515"/>
      <c r="DJ5" s="515"/>
      <c r="DK5" s="515"/>
      <c r="DL5" s="515"/>
      <c r="DM5" s="515"/>
      <c r="DN5" s="515"/>
      <c r="DO5" s="515"/>
      <c r="DP5" s="515"/>
      <c r="DQ5" s="515"/>
      <c r="DR5" s="515"/>
      <c r="DS5" s="515"/>
      <c r="DT5" s="515"/>
      <c r="DU5" s="515"/>
      <c r="DV5" s="515"/>
      <c r="DW5" s="515"/>
      <c r="DX5" s="515"/>
      <c r="DY5" s="515"/>
      <c r="DZ5" s="515"/>
      <c r="EA5" s="515"/>
      <c r="EB5" s="515"/>
      <c r="EC5" s="515"/>
      <c r="ED5" s="515"/>
      <c r="EE5" s="515"/>
      <c r="EF5" s="515"/>
      <c r="EG5" s="515"/>
      <c r="EH5" s="515"/>
      <c r="EI5" s="515"/>
    </row>
    <row r="6" spans="3:143" ht="12.65" customHeight="1">
      <c r="AN6" s="36"/>
      <c r="AO6" s="36"/>
      <c r="AP6" s="36"/>
      <c r="AQ6" s="515"/>
      <c r="AR6" s="515"/>
      <c r="AS6" s="515"/>
      <c r="AT6" s="515"/>
      <c r="AU6" s="515"/>
      <c r="AV6" s="515"/>
      <c r="AW6" s="515"/>
      <c r="AX6" s="515"/>
      <c r="AY6" s="515"/>
      <c r="AZ6" s="515"/>
      <c r="BA6" s="515"/>
      <c r="BB6" s="515"/>
      <c r="BC6" s="515"/>
      <c r="BD6" s="515"/>
      <c r="BE6" s="515"/>
      <c r="BF6" s="515"/>
      <c r="BG6" s="515"/>
      <c r="BH6" s="515"/>
      <c r="BI6" s="515"/>
      <c r="BJ6" s="515"/>
      <c r="BK6" s="515"/>
      <c r="BL6" s="515"/>
      <c r="BM6" s="515"/>
      <c r="BN6" s="515"/>
      <c r="BO6" s="515"/>
      <c r="BP6" s="515"/>
      <c r="BQ6" s="515"/>
      <c r="BR6" s="515"/>
      <c r="BS6" s="515"/>
      <c r="BT6" s="515"/>
      <c r="BU6" s="515"/>
      <c r="BV6" s="515"/>
      <c r="BW6" s="515"/>
      <c r="BX6" s="515"/>
      <c r="BY6" s="515"/>
      <c r="BZ6" s="515"/>
      <c r="CA6" s="515"/>
      <c r="CB6" s="515"/>
      <c r="CC6" s="515"/>
      <c r="CD6" s="515"/>
      <c r="CE6" s="515"/>
      <c r="CF6" s="515"/>
      <c r="CG6" s="515"/>
      <c r="CH6" s="515"/>
      <c r="CI6" s="515"/>
      <c r="CJ6" s="515"/>
      <c r="CK6" s="515"/>
      <c r="CL6" s="515"/>
      <c r="CM6" s="515"/>
      <c r="CN6" s="515"/>
      <c r="CO6" s="515"/>
      <c r="CP6" s="515"/>
      <c r="CQ6" s="515"/>
      <c r="CR6" s="515"/>
      <c r="CS6" s="515"/>
      <c r="CT6" s="515"/>
      <c r="CU6" s="515"/>
      <c r="CV6" s="515"/>
      <c r="CW6" s="515"/>
      <c r="CX6" s="515"/>
      <c r="CY6" s="515"/>
      <c r="CZ6" s="515"/>
      <c r="DA6" s="515"/>
      <c r="DB6" s="515"/>
      <c r="DC6" s="515"/>
      <c r="DD6" s="515"/>
      <c r="DE6" s="515"/>
      <c r="DF6" s="515"/>
      <c r="DG6" s="515"/>
      <c r="DH6" s="515"/>
      <c r="DI6" s="515"/>
      <c r="DJ6" s="515"/>
      <c r="DK6" s="515"/>
      <c r="DL6" s="515"/>
      <c r="DM6" s="515"/>
      <c r="DN6" s="515"/>
      <c r="DO6" s="515"/>
      <c r="DP6" s="515"/>
      <c r="DQ6" s="515"/>
      <c r="DR6" s="515"/>
      <c r="DS6" s="515"/>
      <c r="DT6" s="515"/>
      <c r="DU6" s="515"/>
      <c r="DV6" s="515"/>
      <c r="DW6" s="515"/>
      <c r="DX6" s="515"/>
      <c r="DY6" s="515"/>
      <c r="DZ6" s="515"/>
      <c r="EA6" s="515"/>
      <c r="EB6" s="515"/>
      <c r="EC6" s="515"/>
      <c r="ED6" s="515"/>
      <c r="EE6" s="515"/>
      <c r="EF6" s="515"/>
      <c r="EG6" s="515"/>
      <c r="EH6" s="515"/>
      <c r="EI6" s="515"/>
    </row>
    <row r="7" spans="3:143" ht="12.65" customHeight="1">
      <c r="AN7" s="36"/>
      <c r="AO7" s="36"/>
      <c r="AP7" s="36"/>
      <c r="AQ7" s="36"/>
      <c r="AR7" s="36"/>
      <c r="AS7" s="36"/>
      <c r="AT7" s="36"/>
      <c r="AU7" s="36"/>
    </row>
    <row r="8" spans="3:143" ht="12.65" customHeight="1">
      <c r="D8" s="308" t="s">
        <v>3</v>
      </c>
      <c r="E8" s="308"/>
      <c r="F8" s="308"/>
      <c r="G8" s="308"/>
      <c r="H8" s="308"/>
      <c r="I8" s="308"/>
      <c r="J8" s="308"/>
      <c r="K8" s="308"/>
      <c r="L8" s="308"/>
      <c r="M8" s="308"/>
      <c r="N8" s="308" t="s">
        <v>6</v>
      </c>
      <c r="O8" s="308"/>
      <c r="P8" s="308"/>
      <c r="Q8" s="308"/>
      <c r="R8" s="308"/>
      <c r="S8" s="308"/>
      <c r="T8" s="308"/>
      <c r="U8" s="308"/>
      <c r="V8" s="308"/>
      <c r="W8" s="308"/>
      <c r="X8" s="308"/>
      <c r="Y8" s="308"/>
      <c r="Z8" s="308"/>
      <c r="AA8" s="308" t="s">
        <v>53</v>
      </c>
      <c r="AB8" s="308"/>
      <c r="AC8" s="308"/>
      <c r="AD8" s="308"/>
      <c r="AE8" s="308"/>
      <c r="AF8" s="308"/>
      <c r="AG8" s="308"/>
      <c r="AH8" s="308"/>
      <c r="AI8" s="308"/>
      <c r="AJ8" s="308"/>
      <c r="AK8" s="40"/>
      <c r="AL8" s="40"/>
      <c r="AM8" s="40"/>
      <c r="AN8" s="40"/>
      <c r="AO8" s="40"/>
      <c r="AP8" s="40"/>
      <c r="AQ8" s="40"/>
      <c r="AU8" s="36"/>
      <c r="AX8" s="36"/>
      <c r="AY8" s="36"/>
      <c r="AZ8" s="36"/>
      <c r="BA8" s="36"/>
      <c r="BB8" s="36"/>
      <c r="BC8" s="36"/>
      <c r="BD8" s="36"/>
      <c r="EK8" s="2"/>
    </row>
    <row r="9" spans="3:143" ht="12.65" customHeight="1">
      <c r="D9" s="308"/>
      <c r="E9" s="308"/>
      <c r="F9" s="308"/>
      <c r="G9" s="308"/>
      <c r="H9" s="308"/>
      <c r="I9" s="308"/>
      <c r="J9" s="308"/>
      <c r="K9" s="308"/>
      <c r="L9" s="308"/>
      <c r="M9" s="308"/>
      <c r="N9" s="308"/>
      <c r="O9" s="308"/>
      <c r="P9" s="308"/>
      <c r="Q9" s="308"/>
      <c r="R9" s="308"/>
      <c r="S9" s="308"/>
      <c r="T9" s="308"/>
      <c r="U9" s="308"/>
      <c r="V9" s="308"/>
      <c r="W9" s="308"/>
      <c r="X9" s="308"/>
      <c r="Y9" s="308"/>
      <c r="Z9" s="308"/>
      <c r="AA9" s="308"/>
      <c r="AB9" s="308"/>
      <c r="AC9" s="308"/>
      <c r="AD9" s="308"/>
      <c r="AE9" s="308"/>
      <c r="AF9" s="308"/>
      <c r="AG9" s="308"/>
      <c r="AH9" s="308"/>
      <c r="AI9" s="308"/>
      <c r="AJ9" s="308"/>
      <c r="AK9" s="40"/>
      <c r="AL9" s="40"/>
      <c r="AM9" s="40"/>
      <c r="AN9" s="40"/>
      <c r="AO9" s="40"/>
      <c r="AP9" s="40"/>
      <c r="AQ9" s="40"/>
      <c r="AW9" s="36"/>
      <c r="AX9" s="36"/>
      <c r="AY9" s="36"/>
      <c r="AZ9" s="36"/>
      <c r="BA9" s="36"/>
      <c r="BB9" s="36"/>
      <c r="BC9" s="36"/>
      <c r="BD9" s="36"/>
    </row>
    <row r="10" spans="3:143" ht="12.65" customHeight="1">
      <c r="D10" s="308"/>
      <c r="E10" s="308"/>
      <c r="F10" s="308"/>
      <c r="G10" s="308"/>
      <c r="H10" s="308"/>
      <c r="I10" s="308"/>
      <c r="J10" s="308"/>
      <c r="K10" s="308"/>
      <c r="L10" s="308"/>
      <c r="M10" s="308"/>
      <c r="N10" s="308"/>
      <c r="O10" s="308"/>
      <c r="P10" s="308"/>
      <c r="Q10" s="308"/>
      <c r="R10" s="308"/>
      <c r="S10" s="308"/>
      <c r="T10" s="308"/>
      <c r="U10" s="308"/>
      <c r="V10" s="308"/>
      <c r="W10" s="308"/>
      <c r="X10" s="308"/>
      <c r="Y10" s="308"/>
      <c r="Z10" s="308"/>
      <c r="AA10" s="308"/>
      <c r="AB10" s="308"/>
      <c r="AC10" s="308"/>
      <c r="AD10" s="308"/>
      <c r="AE10" s="308"/>
      <c r="AF10" s="308"/>
      <c r="AG10" s="308"/>
      <c r="AH10" s="308"/>
      <c r="AI10" s="308"/>
      <c r="AJ10" s="308"/>
      <c r="AK10" s="40"/>
      <c r="AL10" s="40"/>
      <c r="AM10" s="40"/>
      <c r="AN10" s="40"/>
      <c r="AO10" s="40"/>
      <c r="AP10" s="40"/>
      <c r="AQ10" s="40"/>
      <c r="AR10" s="36"/>
      <c r="AS10" s="36"/>
      <c r="AT10" s="36"/>
      <c r="AW10" s="36"/>
      <c r="AX10" s="36"/>
      <c r="AY10" s="36"/>
      <c r="AZ10" s="36"/>
      <c r="BA10" s="36"/>
      <c r="BB10" s="36"/>
      <c r="BC10" s="36"/>
      <c r="BD10" s="36"/>
      <c r="EK10" s="2"/>
    </row>
    <row r="11" spans="3:143" ht="12.65" customHeight="1">
      <c r="D11" s="309" t="s">
        <v>565</v>
      </c>
      <c r="E11" s="310"/>
      <c r="F11" s="310"/>
      <c r="G11" s="310"/>
      <c r="H11" s="310"/>
      <c r="I11" s="310"/>
      <c r="J11" s="310"/>
      <c r="K11" s="310"/>
      <c r="L11" s="310"/>
      <c r="M11" s="310"/>
      <c r="N11" s="308" t="str">
        <f>VLOOKUP($D$11,調査票①!$A$9:$HJ$30,2,FALSE)</f>
        <v>北海道</v>
      </c>
      <c r="O11" s="308"/>
      <c r="P11" s="308"/>
      <c r="Q11" s="308"/>
      <c r="R11" s="308"/>
      <c r="S11" s="308"/>
      <c r="T11" s="308"/>
      <c r="U11" s="308"/>
      <c r="V11" s="308"/>
      <c r="W11" s="308"/>
      <c r="X11" s="308"/>
      <c r="Y11" s="308"/>
      <c r="Z11" s="308"/>
      <c r="AA11" s="308" t="str">
        <f>VLOOKUP($D$11,調査票①!$A$9:$HJ$30,3,FALSE)</f>
        <v>札幌市</v>
      </c>
      <c r="AB11" s="308"/>
      <c r="AC11" s="308"/>
      <c r="AD11" s="308"/>
      <c r="AE11" s="308"/>
      <c r="AF11" s="308"/>
      <c r="AG11" s="308"/>
      <c r="AH11" s="308"/>
      <c r="AI11" s="308"/>
      <c r="AJ11" s="308"/>
      <c r="AK11" s="40"/>
      <c r="AL11" s="40"/>
      <c r="AM11" s="40"/>
      <c r="AN11" s="40"/>
      <c r="AO11" s="40"/>
      <c r="AP11" s="40"/>
      <c r="AQ11" s="40"/>
      <c r="AR11" s="36"/>
      <c r="AS11" s="36"/>
      <c r="AT11" s="36"/>
      <c r="AW11" s="36"/>
      <c r="AX11" s="36"/>
      <c r="AY11" s="36"/>
      <c r="AZ11" s="36"/>
      <c r="BA11" s="36"/>
      <c r="BB11" s="36"/>
      <c r="BC11" s="36"/>
      <c r="BD11" s="36"/>
      <c r="CC11" s="2"/>
    </row>
    <row r="12" spans="3:143" ht="12.65" customHeight="1">
      <c r="D12" s="310"/>
      <c r="E12" s="310"/>
      <c r="F12" s="310"/>
      <c r="G12" s="310"/>
      <c r="H12" s="310"/>
      <c r="I12" s="310"/>
      <c r="J12" s="310"/>
      <c r="K12" s="310"/>
      <c r="L12" s="310"/>
      <c r="M12" s="310"/>
      <c r="N12" s="308"/>
      <c r="O12" s="308"/>
      <c r="P12" s="308"/>
      <c r="Q12" s="308"/>
      <c r="R12" s="308"/>
      <c r="S12" s="308"/>
      <c r="T12" s="308"/>
      <c r="U12" s="308"/>
      <c r="V12" s="308"/>
      <c r="W12" s="308"/>
      <c r="X12" s="308"/>
      <c r="Y12" s="308"/>
      <c r="Z12" s="308"/>
      <c r="AA12" s="308"/>
      <c r="AB12" s="308"/>
      <c r="AC12" s="308"/>
      <c r="AD12" s="308"/>
      <c r="AE12" s="308"/>
      <c r="AF12" s="308"/>
      <c r="AG12" s="308"/>
      <c r="AH12" s="308"/>
      <c r="AI12" s="308"/>
      <c r="AJ12" s="308"/>
      <c r="AK12" s="40"/>
      <c r="AL12" s="40"/>
      <c r="AM12" s="40"/>
      <c r="AN12" s="40"/>
      <c r="AO12" s="40"/>
      <c r="AP12" s="40"/>
      <c r="AQ12" s="40"/>
      <c r="AR12" s="36"/>
      <c r="AS12" s="36"/>
      <c r="AT12" s="36"/>
      <c r="AW12" s="36"/>
      <c r="AX12" s="36"/>
      <c r="AY12" s="36"/>
      <c r="AZ12" s="36"/>
      <c r="BA12" s="36"/>
      <c r="BB12" s="36"/>
      <c r="BC12" s="36"/>
      <c r="BD12" s="36"/>
      <c r="CC12" s="2"/>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B12" s="41"/>
      <c r="DC12" s="41"/>
      <c r="DD12" s="41"/>
      <c r="DE12" s="41"/>
    </row>
    <row r="13" spans="3:143" ht="12.65" customHeight="1">
      <c r="D13" s="310"/>
      <c r="E13" s="310"/>
      <c r="F13" s="310"/>
      <c r="G13" s="310"/>
      <c r="H13" s="310"/>
      <c r="I13" s="310"/>
      <c r="J13" s="310"/>
      <c r="K13" s="310"/>
      <c r="L13" s="310"/>
      <c r="M13" s="310"/>
      <c r="N13" s="308"/>
      <c r="O13" s="308"/>
      <c r="P13" s="308"/>
      <c r="Q13" s="308"/>
      <c r="R13" s="308"/>
      <c r="S13" s="308"/>
      <c r="T13" s="308"/>
      <c r="U13" s="308"/>
      <c r="V13" s="308"/>
      <c r="W13" s="308"/>
      <c r="X13" s="308"/>
      <c r="Y13" s="308"/>
      <c r="Z13" s="308"/>
      <c r="AA13" s="308"/>
      <c r="AB13" s="308"/>
      <c r="AC13" s="308"/>
      <c r="AD13" s="308"/>
      <c r="AE13" s="308"/>
      <c r="AF13" s="308"/>
      <c r="AG13" s="308"/>
      <c r="AH13" s="308"/>
      <c r="AI13" s="308"/>
      <c r="AJ13" s="308"/>
      <c r="AK13" s="40"/>
      <c r="AL13" s="40"/>
      <c r="AM13" s="40"/>
      <c r="AN13" s="40"/>
      <c r="AO13" s="40"/>
      <c r="AP13" s="40"/>
      <c r="AQ13" s="40"/>
      <c r="AR13" s="36"/>
      <c r="AS13" s="36"/>
      <c r="AT13" s="36"/>
      <c r="AW13" s="36"/>
      <c r="AX13" s="36"/>
      <c r="AY13" s="36"/>
      <c r="AZ13" s="36"/>
      <c r="BA13" s="36"/>
      <c r="BB13" s="36"/>
      <c r="BC13" s="36"/>
      <c r="BD13" s="36"/>
      <c r="CC13" s="2"/>
      <c r="CD13" s="2"/>
      <c r="CE13" s="2"/>
      <c r="CF13" s="2"/>
      <c r="CG13" s="2"/>
      <c r="CH13" s="2"/>
      <c r="CI13" s="2"/>
      <c r="CJ13" s="2"/>
      <c r="CK13" s="2"/>
      <c r="CL13" s="2"/>
      <c r="CM13" s="2"/>
      <c r="CN13" s="2"/>
      <c r="CO13" s="2"/>
      <c r="CP13" s="2"/>
      <c r="CQ13" s="2"/>
      <c r="CR13" s="2"/>
      <c r="CS13" s="2"/>
      <c r="CT13" s="41"/>
      <c r="CU13" s="41"/>
      <c r="CV13" s="41"/>
      <c r="CW13" s="41"/>
      <c r="CX13" s="41"/>
      <c r="CY13" s="41"/>
      <c r="CZ13" s="41"/>
      <c r="DA13" s="41"/>
      <c r="DB13" s="41"/>
      <c r="DC13" s="41"/>
      <c r="DD13" s="41"/>
      <c r="DE13" s="41"/>
      <c r="DF13" s="2"/>
      <c r="DG13" s="2"/>
      <c r="DH13" s="2"/>
      <c r="DI13" s="2"/>
    </row>
    <row r="14" spans="3:143" ht="12.65" customHeight="1">
      <c r="C14" s="19"/>
      <c r="D14" s="75"/>
      <c r="E14" s="75"/>
      <c r="F14" s="75"/>
      <c r="G14" s="75"/>
      <c r="H14" s="75"/>
      <c r="I14" s="75"/>
      <c r="J14" s="75"/>
      <c r="K14" s="75"/>
      <c r="L14" s="75"/>
      <c r="M14" s="75"/>
      <c r="N14" s="76"/>
      <c r="O14" s="36"/>
      <c r="P14" s="36"/>
      <c r="Q14" s="36"/>
      <c r="R14" s="36"/>
      <c r="S14" s="36"/>
      <c r="T14" s="36"/>
      <c r="U14" s="36"/>
      <c r="V14" s="36"/>
      <c r="W14" s="36"/>
      <c r="X14" s="36"/>
      <c r="Y14" s="36"/>
      <c r="Z14" s="36"/>
      <c r="AA14" s="36"/>
      <c r="AB14" s="36"/>
      <c r="AC14" s="36"/>
      <c r="AD14" s="36"/>
      <c r="AE14" s="36"/>
      <c r="AF14" s="36"/>
      <c r="AG14" s="36"/>
      <c r="AH14" s="36"/>
      <c r="AI14" s="36"/>
      <c r="AJ14" s="36"/>
      <c r="AK14" s="40"/>
      <c r="AL14" s="40"/>
      <c r="AM14" s="40"/>
      <c r="AN14" s="40"/>
      <c r="AO14" s="40"/>
      <c r="AP14" s="40"/>
      <c r="AQ14" s="40"/>
      <c r="AR14" s="36"/>
      <c r="AS14" s="36"/>
      <c r="AT14" s="36"/>
      <c r="AW14" s="36"/>
      <c r="AX14" s="36"/>
      <c r="AY14" s="36"/>
      <c r="AZ14" s="36"/>
      <c r="BA14" s="36"/>
      <c r="BB14" s="36"/>
      <c r="BC14" s="36"/>
      <c r="BD14" s="36"/>
      <c r="CC14" s="2"/>
      <c r="CD14" s="2"/>
      <c r="CE14" s="2"/>
      <c r="CF14" s="2"/>
      <c r="CG14" s="2"/>
      <c r="CH14" s="2"/>
      <c r="CI14" s="2"/>
      <c r="CJ14" s="2"/>
      <c r="CK14" s="2"/>
      <c r="CL14" s="2"/>
      <c r="CM14" s="2"/>
      <c r="CN14" s="2"/>
      <c r="CO14" s="2"/>
      <c r="CP14" s="2"/>
      <c r="CQ14" s="2"/>
      <c r="CR14" s="2"/>
      <c r="CS14" s="2"/>
      <c r="CT14" s="41"/>
      <c r="CU14" s="41"/>
      <c r="CV14" s="41"/>
      <c r="CW14" s="41"/>
      <c r="CX14" s="41"/>
      <c r="CY14" s="41"/>
      <c r="CZ14" s="41"/>
      <c r="DA14" s="41"/>
      <c r="DB14" s="41"/>
      <c r="DC14" s="41"/>
      <c r="DD14" s="41"/>
      <c r="DE14" s="41"/>
      <c r="DF14" s="2"/>
      <c r="DG14" s="2"/>
      <c r="DH14" s="2"/>
      <c r="DI14" s="2"/>
    </row>
    <row r="15" spans="3:143" ht="12.65" customHeight="1">
      <c r="CS15" s="2"/>
      <c r="CT15" s="2"/>
      <c r="CU15" s="2"/>
      <c r="CV15" s="2"/>
      <c r="CW15" s="2"/>
      <c r="CX15" s="2"/>
      <c r="CY15" s="2"/>
      <c r="CZ15" s="2"/>
      <c r="DA15" s="2"/>
      <c r="DB15" s="2"/>
      <c r="DC15" s="2"/>
      <c r="DD15" s="2"/>
      <c r="DE15" s="2"/>
      <c r="DF15" s="2"/>
      <c r="DG15" s="2"/>
      <c r="DH15" s="2"/>
      <c r="DI15" s="2"/>
    </row>
    <row r="16" spans="3:143" ht="12.65" customHeight="1">
      <c r="C16" s="19"/>
      <c r="D16" s="16"/>
      <c r="E16" s="16"/>
      <c r="F16" s="16"/>
      <c r="G16" s="16"/>
      <c r="H16" s="16"/>
      <c r="I16" s="16"/>
      <c r="J16" s="16"/>
      <c r="K16" s="16"/>
      <c r="L16" s="16"/>
      <c r="M16" s="16"/>
      <c r="N16" s="16"/>
      <c r="O16" s="16"/>
      <c r="P16" s="16"/>
      <c r="Q16" s="16"/>
      <c r="R16" s="16"/>
      <c r="S16" s="16"/>
      <c r="T16" s="16"/>
      <c r="U16" s="16"/>
      <c r="V16" s="16"/>
      <c r="W16" s="16"/>
      <c r="X16" s="16"/>
      <c r="Y16" s="16"/>
      <c r="Z16" s="16"/>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CB16" s="2"/>
      <c r="CC16" s="16"/>
      <c r="CD16" s="16"/>
      <c r="CE16" s="16"/>
      <c r="CF16" s="16"/>
      <c r="CG16" s="16"/>
      <c r="CH16" s="16"/>
      <c r="CI16" s="16"/>
      <c r="CJ16" s="16"/>
      <c r="CK16" s="16"/>
      <c r="CL16" s="16"/>
      <c r="CM16" s="16"/>
      <c r="CN16" s="16"/>
      <c r="CO16" s="16"/>
      <c r="CP16" s="16"/>
      <c r="CQ16" s="16"/>
      <c r="CR16" s="16"/>
      <c r="CS16" s="16"/>
      <c r="CT16" s="16"/>
      <c r="CU16" s="16"/>
      <c r="CV16" s="16"/>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row>
    <row r="17" spans="3:149" ht="12.65" customHeight="1">
      <c r="C17" s="23"/>
      <c r="D17" s="15"/>
      <c r="E17" s="15"/>
      <c r="F17" s="15"/>
      <c r="G17" s="15"/>
      <c r="H17" s="15"/>
      <c r="I17" s="15"/>
      <c r="J17" s="15"/>
      <c r="K17" s="15"/>
      <c r="L17" s="15"/>
      <c r="M17" s="15"/>
      <c r="N17" s="15"/>
      <c r="O17" s="15"/>
      <c r="P17" s="15"/>
      <c r="Q17" s="15"/>
      <c r="R17" s="15"/>
      <c r="S17" s="15"/>
      <c r="T17" s="15"/>
      <c r="U17" s="15"/>
      <c r="V17" s="15"/>
      <c r="W17" s="15"/>
      <c r="X17" s="15"/>
      <c r="Y17" s="15"/>
      <c r="Z17" s="15"/>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3"/>
      <c r="CB17" s="23"/>
      <c r="CC17" s="14"/>
      <c r="CD17" s="14"/>
      <c r="CE17" s="15"/>
      <c r="CF17" s="15"/>
      <c r="CG17" s="15"/>
      <c r="CH17" s="15"/>
      <c r="CI17" s="15"/>
      <c r="CJ17" s="15"/>
      <c r="CK17" s="15"/>
      <c r="CL17" s="15"/>
      <c r="CM17" s="15"/>
      <c r="CN17" s="15"/>
      <c r="CO17" s="15"/>
      <c r="CP17" s="15"/>
      <c r="CQ17" s="15"/>
      <c r="CR17" s="15"/>
      <c r="CS17" s="15"/>
      <c r="CT17" s="15"/>
      <c r="CU17" s="15"/>
      <c r="CV17" s="15"/>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c r="EQ17" s="14"/>
      <c r="ER17" s="14"/>
      <c r="ES17" s="13"/>
    </row>
    <row r="18" spans="3:149" ht="12.65" customHeight="1">
      <c r="C18" s="21"/>
      <c r="D18" s="12"/>
      <c r="E18" s="12"/>
      <c r="F18" s="12"/>
      <c r="G18" s="12"/>
      <c r="H18" s="12"/>
      <c r="I18" s="12"/>
      <c r="J18" s="12"/>
      <c r="K18" s="12"/>
      <c r="L18" s="12"/>
      <c r="M18" s="12"/>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22"/>
      <c r="BN18" s="11"/>
      <c r="BO18" s="11"/>
      <c r="BP18" s="11"/>
      <c r="BQ18" s="11"/>
      <c r="BR18" s="11"/>
      <c r="BS18" s="11"/>
      <c r="BT18" s="10"/>
      <c r="CB18" s="21"/>
      <c r="CC18" s="276" t="s">
        <v>74</v>
      </c>
      <c r="CD18" s="276"/>
      <c r="CE18" s="276"/>
      <c r="CF18" s="276"/>
      <c r="CG18" s="276"/>
      <c r="CH18" s="276"/>
      <c r="CI18" s="276"/>
      <c r="CJ18" s="276"/>
      <c r="CK18" s="276"/>
      <c r="CL18" s="276"/>
      <c r="CM18" s="42"/>
      <c r="CN18" s="42"/>
      <c r="CO18" s="42"/>
      <c r="CP18" s="42"/>
      <c r="CQ18" s="42"/>
      <c r="CR18" s="42"/>
      <c r="CS18" s="42"/>
      <c r="CT18" s="42"/>
      <c r="CU18" s="42"/>
      <c r="CV18" s="42"/>
      <c r="CW18" s="11"/>
      <c r="CX18" s="11"/>
      <c r="CY18" s="11"/>
      <c r="CZ18" s="31"/>
      <c r="DA18" s="31"/>
      <c r="DB18" s="31"/>
      <c r="DC18" s="31"/>
      <c r="DD18" s="31"/>
      <c r="DE18" s="31"/>
      <c r="DF18" s="31"/>
      <c r="DG18" s="31"/>
      <c r="DH18" s="31"/>
      <c r="DI18" s="31"/>
      <c r="DJ18" s="31"/>
      <c r="DK18" s="31"/>
      <c r="DL18" s="31"/>
      <c r="DM18" s="31"/>
      <c r="DN18" s="31"/>
      <c r="DO18" s="31"/>
      <c r="DP18" s="31"/>
      <c r="DQ18" s="31"/>
      <c r="DR18" s="31"/>
      <c r="DS18" s="31"/>
      <c r="DT18" s="31"/>
      <c r="DU18" s="31"/>
      <c r="DV18" s="31"/>
      <c r="DW18" s="278" t="s">
        <v>42</v>
      </c>
      <c r="DX18" s="278"/>
      <c r="DY18" s="278"/>
      <c r="DZ18" s="278"/>
      <c r="EA18" s="278"/>
      <c r="EB18" s="278"/>
      <c r="EC18" s="278"/>
      <c r="ED18" s="278"/>
      <c r="EE18" s="278"/>
      <c r="EF18" s="278"/>
      <c r="EG18" s="42"/>
      <c r="EH18" s="42"/>
      <c r="EI18" s="42"/>
      <c r="EJ18" s="42"/>
      <c r="EK18" s="42"/>
      <c r="EL18" s="42"/>
      <c r="EM18" s="11"/>
      <c r="EN18" s="11"/>
      <c r="EO18" s="11"/>
      <c r="EP18" s="11"/>
      <c r="EQ18" s="11"/>
      <c r="ER18" s="11"/>
      <c r="ES18" s="10"/>
    </row>
    <row r="19" spans="3:149" ht="12.65" customHeight="1">
      <c r="C19" s="2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22"/>
      <c r="BN19" s="11"/>
      <c r="BO19" s="280" t="s">
        <v>82</v>
      </c>
      <c r="BP19" s="281"/>
      <c r="BQ19" s="281"/>
      <c r="BR19" s="281"/>
      <c r="BS19" s="11"/>
      <c r="BT19" s="10"/>
      <c r="CB19" s="21"/>
      <c r="CC19" s="277"/>
      <c r="CD19" s="277"/>
      <c r="CE19" s="277"/>
      <c r="CF19" s="277"/>
      <c r="CG19" s="277"/>
      <c r="CH19" s="277"/>
      <c r="CI19" s="277"/>
      <c r="CJ19" s="277"/>
      <c r="CK19" s="277"/>
      <c r="CL19" s="277"/>
      <c r="CM19" s="43"/>
      <c r="CN19" s="43"/>
      <c r="CO19" s="43"/>
      <c r="CP19" s="43"/>
      <c r="CQ19" s="43"/>
      <c r="CR19" s="43"/>
      <c r="CS19" s="43"/>
      <c r="CT19" s="43"/>
      <c r="CU19" s="43"/>
      <c r="CV19" s="43"/>
      <c r="CW19" s="11"/>
      <c r="CX19" s="11"/>
      <c r="CY19" s="11"/>
      <c r="CZ19" s="31"/>
      <c r="DA19" s="31"/>
      <c r="DB19" s="31"/>
      <c r="DC19" s="31"/>
      <c r="DD19" s="31"/>
      <c r="DE19" s="31"/>
      <c r="DF19" s="31"/>
      <c r="DG19" s="31"/>
      <c r="DH19" s="31"/>
      <c r="DI19" s="31"/>
      <c r="DJ19" s="31"/>
      <c r="DK19" s="31"/>
      <c r="DL19" s="31"/>
      <c r="DM19" s="31"/>
      <c r="DN19" s="31"/>
      <c r="DO19" s="31"/>
      <c r="DP19" s="31"/>
      <c r="DQ19" s="31"/>
      <c r="DR19" s="31"/>
      <c r="DS19" s="31"/>
      <c r="DT19" s="31"/>
      <c r="DU19" s="31"/>
      <c r="DV19" s="31"/>
      <c r="DW19" s="279"/>
      <c r="DX19" s="279"/>
      <c r="DY19" s="279"/>
      <c r="DZ19" s="279"/>
      <c r="EA19" s="279"/>
      <c r="EB19" s="279"/>
      <c r="EC19" s="279"/>
      <c r="ED19" s="279"/>
      <c r="EE19" s="279"/>
      <c r="EF19" s="279"/>
      <c r="EG19" s="44"/>
      <c r="EH19" s="44"/>
      <c r="EI19" s="44"/>
      <c r="EJ19" s="44"/>
      <c r="EK19" s="44"/>
      <c r="EL19" s="44"/>
      <c r="EM19" s="11"/>
      <c r="EN19" s="11"/>
      <c r="EO19" s="11"/>
      <c r="EP19" s="11"/>
      <c r="EQ19" s="11"/>
      <c r="ER19" s="11"/>
      <c r="ES19" s="10"/>
    </row>
    <row r="20" spans="3:149" ht="16.25" customHeight="1">
      <c r="C20" s="21"/>
      <c r="D20" s="282"/>
      <c r="E20" s="283"/>
      <c r="F20" s="283"/>
      <c r="G20" s="283"/>
      <c r="H20" s="283"/>
      <c r="I20" s="283"/>
      <c r="J20" s="283"/>
      <c r="K20" s="283"/>
      <c r="L20" s="283"/>
      <c r="M20" s="284"/>
      <c r="N20" s="288" t="s">
        <v>75</v>
      </c>
      <c r="O20" s="288"/>
      <c r="P20" s="288"/>
      <c r="Q20" s="288"/>
      <c r="R20" s="289" t="s">
        <v>76</v>
      </c>
      <c r="S20" s="289"/>
      <c r="T20" s="289"/>
      <c r="U20" s="289"/>
      <c r="V20" s="289"/>
      <c r="W20" s="289"/>
      <c r="X20" s="289"/>
      <c r="Y20" s="289"/>
      <c r="Z20" s="289"/>
      <c r="AA20" s="289"/>
      <c r="AB20" s="289"/>
      <c r="AC20" s="289"/>
      <c r="AD20" s="289"/>
      <c r="AE20" s="289"/>
      <c r="AF20" s="289"/>
      <c r="AG20" s="289"/>
      <c r="AH20" s="289"/>
      <c r="AI20" s="289"/>
      <c r="AJ20" s="289"/>
      <c r="AK20" s="289"/>
      <c r="AL20" s="289"/>
      <c r="AM20" s="289"/>
      <c r="AN20" s="289"/>
      <c r="AO20" s="289"/>
      <c r="AP20" s="289"/>
      <c r="AQ20" s="289"/>
      <c r="AR20" s="289"/>
      <c r="AS20" s="289"/>
      <c r="AT20" s="289"/>
      <c r="AU20" s="289"/>
      <c r="AV20" s="289"/>
      <c r="AW20" s="289"/>
      <c r="AX20" s="289"/>
      <c r="AY20" s="289"/>
      <c r="AZ20" s="289"/>
      <c r="BA20" s="289"/>
      <c r="BB20" s="289"/>
      <c r="BC20" s="289"/>
      <c r="BD20" s="289"/>
      <c r="BE20" s="289"/>
      <c r="BF20" s="289"/>
      <c r="BG20" s="289"/>
      <c r="BH20" s="289"/>
      <c r="BI20" s="289"/>
      <c r="BJ20" s="289"/>
      <c r="BK20" s="289"/>
      <c r="BL20" s="289"/>
      <c r="BM20" s="289"/>
      <c r="BN20" s="289"/>
      <c r="BO20" s="290" t="s">
        <v>77</v>
      </c>
      <c r="BP20" s="291"/>
      <c r="BQ20" s="291"/>
      <c r="BR20" s="292"/>
      <c r="BS20" s="11"/>
      <c r="BT20" s="10"/>
      <c r="BU20" s="32"/>
      <c r="BV20" s="32"/>
      <c r="BW20" s="32"/>
      <c r="BX20" s="32"/>
      <c r="BY20" s="32"/>
      <c r="BZ20" s="32"/>
      <c r="CA20" s="32"/>
      <c r="CB20" s="45"/>
      <c r="CC20" s="296" t="s">
        <v>78</v>
      </c>
      <c r="CD20" s="297"/>
      <c r="CE20" s="297"/>
      <c r="CF20" s="297"/>
      <c r="CG20" s="297"/>
      <c r="CH20" s="297"/>
      <c r="CI20" s="297"/>
      <c r="CJ20" s="297"/>
      <c r="CK20" s="297"/>
      <c r="CL20" s="298"/>
      <c r="CM20" s="296" t="str">
        <f>VLOOKUP($D$11,調査票①!$A$9:$HJ$30,193,FALSE)&amp;""</f>
        <v>設置予定無し</v>
      </c>
      <c r="CN20" s="297"/>
      <c r="CO20" s="297"/>
      <c r="CP20" s="297"/>
      <c r="CQ20" s="297"/>
      <c r="CR20" s="297"/>
      <c r="CS20" s="297"/>
      <c r="CT20" s="297"/>
      <c r="CU20" s="297"/>
      <c r="CV20" s="298"/>
      <c r="CW20" s="17"/>
      <c r="CX20" s="17"/>
      <c r="CY20" s="17"/>
      <c r="CZ20" s="302" t="s">
        <v>79</v>
      </c>
      <c r="DA20" s="303"/>
      <c r="DB20" s="303"/>
      <c r="DC20" s="303"/>
      <c r="DD20" s="303"/>
      <c r="DE20" s="303"/>
      <c r="DF20" s="303"/>
      <c r="DG20" s="303"/>
      <c r="DH20" s="303"/>
      <c r="DI20" s="304"/>
      <c r="DJ20" s="311" t="str">
        <f>VLOOKUP($D$11,調査票①!$A$9:$HJ$30,194,FALSE)&amp;""</f>
        <v/>
      </c>
      <c r="DK20" s="312"/>
      <c r="DL20" s="312"/>
      <c r="DM20" s="312"/>
      <c r="DN20" s="312"/>
      <c r="DO20" s="312"/>
      <c r="DP20" s="312"/>
      <c r="DQ20" s="312"/>
      <c r="DR20" s="312"/>
      <c r="DS20" s="313"/>
      <c r="DT20" s="31"/>
      <c r="DU20" s="31"/>
      <c r="DV20" s="31"/>
      <c r="DW20" s="302" t="s">
        <v>80</v>
      </c>
      <c r="DX20" s="303"/>
      <c r="DY20" s="303"/>
      <c r="DZ20" s="303"/>
      <c r="EA20" s="303"/>
      <c r="EB20" s="303"/>
      <c r="EC20" s="303"/>
      <c r="ED20" s="303"/>
      <c r="EE20" s="303"/>
      <c r="EF20" s="304"/>
      <c r="EG20" s="302" t="str">
        <f>VLOOKUP($D$11,調査票①!$A$9:$HJ$30,195,FALSE)&amp;""</f>
        <v>委託有</v>
      </c>
      <c r="EH20" s="303"/>
      <c r="EI20" s="303"/>
      <c r="EJ20" s="303"/>
      <c r="EK20" s="303"/>
      <c r="EL20" s="304"/>
      <c r="EM20" s="11"/>
      <c r="EN20" s="11"/>
      <c r="EO20" s="11"/>
      <c r="EP20" s="11"/>
      <c r="EQ20" s="11"/>
      <c r="ER20" s="11"/>
      <c r="ES20" s="10"/>
    </row>
    <row r="21" spans="3:149" ht="16.25" customHeight="1">
      <c r="C21" s="21"/>
      <c r="D21" s="285"/>
      <c r="E21" s="286"/>
      <c r="F21" s="286"/>
      <c r="G21" s="286"/>
      <c r="H21" s="286"/>
      <c r="I21" s="286"/>
      <c r="J21" s="286"/>
      <c r="K21" s="286"/>
      <c r="L21" s="286"/>
      <c r="M21" s="287"/>
      <c r="N21" s="288"/>
      <c r="O21" s="288"/>
      <c r="P21" s="288"/>
      <c r="Q21" s="288"/>
      <c r="R21" s="289"/>
      <c r="S21" s="289"/>
      <c r="T21" s="289"/>
      <c r="U21" s="289"/>
      <c r="V21" s="289"/>
      <c r="W21" s="289"/>
      <c r="X21" s="289"/>
      <c r="Y21" s="289"/>
      <c r="Z21" s="289"/>
      <c r="AA21" s="289"/>
      <c r="AB21" s="289"/>
      <c r="AC21" s="289"/>
      <c r="AD21" s="289"/>
      <c r="AE21" s="289"/>
      <c r="AF21" s="289"/>
      <c r="AG21" s="289"/>
      <c r="AH21" s="289"/>
      <c r="AI21" s="289"/>
      <c r="AJ21" s="289"/>
      <c r="AK21" s="289"/>
      <c r="AL21" s="289"/>
      <c r="AM21" s="289"/>
      <c r="AN21" s="289"/>
      <c r="AO21" s="289"/>
      <c r="AP21" s="289"/>
      <c r="AQ21" s="289"/>
      <c r="AR21" s="289"/>
      <c r="AS21" s="289"/>
      <c r="AT21" s="289"/>
      <c r="AU21" s="289"/>
      <c r="AV21" s="289"/>
      <c r="AW21" s="289"/>
      <c r="AX21" s="289"/>
      <c r="AY21" s="289"/>
      <c r="AZ21" s="289"/>
      <c r="BA21" s="289"/>
      <c r="BB21" s="289"/>
      <c r="BC21" s="289"/>
      <c r="BD21" s="289"/>
      <c r="BE21" s="289"/>
      <c r="BF21" s="289"/>
      <c r="BG21" s="289"/>
      <c r="BH21" s="289"/>
      <c r="BI21" s="289"/>
      <c r="BJ21" s="289"/>
      <c r="BK21" s="289"/>
      <c r="BL21" s="289"/>
      <c r="BM21" s="289"/>
      <c r="BN21" s="289"/>
      <c r="BO21" s="293"/>
      <c r="BP21" s="294"/>
      <c r="BQ21" s="294"/>
      <c r="BR21" s="295"/>
      <c r="BS21" s="11"/>
      <c r="BT21" s="10"/>
      <c r="BU21" s="32"/>
      <c r="BV21" s="32"/>
      <c r="BW21" s="32"/>
      <c r="BX21" s="32"/>
      <c r="BY21" s="32"/>
      <c r="BZ21" s="32"/>
      <c r="CA21" s="32"/>
      <c r="CB21" s="45"/>
      <c r="CC21" s="299"/>
      <c r="CD21" s="300"/>
      <c r="CE21" s="300"/>
      <c r="CF21" s="300"/>
      <c r="CG21" s="300"/>
      <c r="CH21" s="300"/>
      <c r="CI21" s="300"/>
      <c r="CJ21" s="300"/>
      <c r="CK21" s="300"/>
      <c r="CL21" s="301"/>
      <c r="CM21" s="299"/>
      <c r="CN21" s="300"/>
      <c r="CO21" s="300"/>
      <c r="CP21" s="300"/>
      <c r="CQ21" s="300"/>
      <c r="CR21" s="300"/>
      <c r="CS21" s="300"/>
      <c r="CT21" s="300"/>
      <c r="CU21" s="300"/>
      <c r="CV21" s="301"/>
      <c r="CW21" s="17"/>
      <c r="CX21" s="17"/>
      <c r="CY21" s="17"/>
      <c r="CZ21" s="305"/>
      <c r="DA21" s="306"/>
      <c r="DB21" s="306"/>
      <c r="DC21" s="306"/>
      <c r="DD21" s="306"/>
      <c r="DE21" s="306"/>
      <c r="DF21" s="306"/>
      <c r="DG21" s="306"/>
      <c r="DH21" s="306"/>
      <c r="DI21" s="307"/>
      <c r="DJ21" s="314"/>
      <c r="DK21" s="315"/>
      <c r="DL21" s="315"/>
      <c r="DM21" s="315"/>
      <c r="DN21" s="315"/>
      <c r="DO21" s="315"/>
      <c r="DP21" s="315"/>
      <c r="DQ21" s="315"/>
      <c r="DR21" s="315"/>
      <c r="DS21" s="316"/>
      <c r="DT21" s="31"/>
      <c r="DU21" s="31"/>
      <c r="DV21" s="31"/>
      <c r="DW21" s="305"/>
      <c r="DX21" s="306"/>
      <c r="DY21" s="306"/>
      <c r="DZ21" s="306"/>
      <c r="EA21" s="306"/>
      <c r="EB21" s="306"/>
      <c r="EC21" s="306"/>
      <c r="ED21" s="306"/>
      <c r="EE21" s="306"/>
      <c r="EF21" s="307"/>
      <c r="EG21" s="305"/>
      <c r="EH21" s="306"/>
      <c r="EI21" s="306"/>
      <c r="EJ21" s="306"/>
      <c r="EK21" s="306"/>
      <c r="EL21" s="307"/>
      <c r="EM21" s="11"/>
      <c r="EN21" s="11"/>
      <c r="EO21" s="11"/>
      <c r="EP21" s="11"/>
      <c r="EQ21" s="11"/>
      <c r="ER21" s="11"/>
      <c r="ES21" s="10"/>
    </row>
    <row r="22" spans="3:149" ht="16.25" customHeight="1">
      <c r="C22" s="21"/>
      <c r="D22" s="262" t="s">
        <v>81</v>
      </c>
      <c r="E22" s="263"/>
      <c r="F22" s="263"/>
      <c r="G22" s="263"/>
      <c r="H22" s="263"/>
      <c r="I22" s="263"/>
      <c r="J22" s="263"/>
      <c r="K22" s="263"/>
      <c r="L22" s="263"/>
      <c r="M22" s="264"/>
      <c r="N22" s="268" t="str">
        <f>VLOOKUP(D11,調査票①!A9:HJ30,5,FALSE)&amp;""</f>
        <v>　</v>
      </c>
      <c r="O22" s="268"/>
      <c r="P22" s="268"/>
      <c r="Q22" s="268"/>
      <c r="R22" s="269" t="str">
        <f>VLOOKUP($D$11,調査票①!$A$9:$HJ$30,6,FALSE)&amp;""</f>
        <v>　</v>
      </c>
      <c r="S22" s="269"/>
      <c r="T22" s="269"/>
      <c r="U22" s="269"/>
      <c r="V22" s="269"/>
      <c r="W22" s="269"/>
      <c r="X22" s="269"/>
      <c r="Y22" s="269"/>
      <c r="Z22" s="269"/>
      <c r="AA22" s="269"/>
      <c r="AB22" s="269"/>
      <c r="AC22" s="269"/>
      <c r="AD22" s="269"/>
      <c r="AE22" s="269"/>
      <c r="AF22" s="269"/>
      <c r="AG22" s="269"/>
      <c r="AH22" s="269"/>
      <c r="AI22" s="269"/>
      <c r="AJ22" s="269"/>
      <c r="AK22" s="269"/>
      <c r="AL22" s="269"/>
      <c r="AM22" s="269"/>
      <c r="AN22" s="269"/>
      <c r="AO22" s="269"/>
      <c r="AP22" s="269"/>
      <c r="AQ22" s="269"/>
      <c r="AR22" s="269"/>
      <c r="AS22" s="269"/>
      <c r="AT22" s="269"/>
      <c r="AU22" s="269"/>
      <c r="AV22" s="269"/>
      <c r="AW22" s="269"/>
      <c r="AX22" s="269"/>
      <c r="AY22" s="269"/>
      <c r="AZ22" s="269"/>
      <c r="BA22" s="269"/>
      <c r="BB22" s="269"/>
      <c r="BC22" s="269"/>
      <c r="BD22" s="269"/>
      <c r="BE22" s="269"/>
      <c r="BF22" s="269"/>
      <c r="BG22" s="269"/>
      <c r="BH22" s="269"/>
      <c r="BI22" s="269"/>
      <c r="BJ22" s="269"/>
      <c r="BK22" s="269"/>
      <c r="BL22" s="269"/>
      <c r="BM22" s="269"/>
      <c r="BN22" s="269"/>
      <c r="BO22" s="270">
        <f>調査票①!D30</f>
        <v>1</v>
      </c>
      <c r="BP22" s="271"/>
      <c r="BQ22" s="271"/>
      <c r="BR22" s="272"/>
      <c r="BS22" s="11"/>
      <c r="BT22" s="10"/>
      <c r="CB22" s="45"/>
      <c r="CC22" s="11"/>
      <c r="CD22" s="11"/>
      <c r="CE22" s="1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c r="DZ22" s="11"/>
      <c r="EA22" s="11"/>
      <c r="EB22" s="11"/>
      <c r="EC22" s="11"/>
      <c r="ED22" s="11"/>
      <c r="EE22" s="11"/>
      <c r="EF22" s="11"/>
      <c r="EG22" s="11"/>
      <c r="EH22" s="11"/>
      <c r="EI22" s="11"/>
      <c r="EJ22" s="11"/>
      <c r="EK22" s="11"/>
      <c r="EL22" s="11"/>
      <c r="EM22" s="11"/>
      <c r="EN22" s="11"/>
      <c r="EO22" s="11"/>
      <c r="EP22" s="11"/>
      <c r="EQ22" s="11"/>
      <c r="ER22" s="11"/>
      <c r="ES22" s="10"/>
    </row>
    <row r="23" spans="3:149" ht="16.25" customHeight="1">
      <c r="C23" s="21"/>
      <c r="D23" s="265"/>
      <c r="E23" s="266"/>
      <c r="F23" s="266"/>
      <c r="G23" s="266"/>
      <c r="H23" s="266"/>
      <c r="I23" s="266"/>
      <c r="J23" s="266"/>
      <c r="K23" s="266"/>
      <c r="L23" s="266"/>
      <c r="M23" s="267"/>
      <c r="N23" s="268"/>
      <c r="O23" s="268"/>
      <c r="P23" s="268"/>
      <c r="Q23" s="268"/>
      <c r="R23" s="269"/>
      <c r="S23" s="269"/>
      <c r="T23" s="269"/>
      <c r="U23" s="269"/>
      <c r="V23" s="269"/>
      <c r="W23" s="269"/>
      <c r="X23" s="269"/>
      <c r="Y23" s="269"/>
      <c r="Z23" s="269"/>
      <c r="AA23" s="269"/>
      <c r="AB23" s="269"/>
      <c r="AC23" s="269"/>
      <c r="AD23" s="269"/>
      <c r="AE23" s="269"/>
      <c r="AF23" s="269"/>
      <c r="AG23" s="269"/>
      <c r="AH23" s="269"/>
      <c r="AI23" s="269"/>
      <c r="AJ23" s="269"/>
      <c r="AK23" s="269"/>
      <c r="AL23" s="269"/>
      <c r="AM23" s="269"/>
      <c r="AN23" s="269"/>
      <c r="AO23" s="269"/>
      <c r="AP23" s="269"/>
      <c r="AQ23" s="269"/>
      <c r="AR23" s="269"/>
      <c r="AS23" s="269"/>
      <c r="AT23" s="269"/>
      <c r="AU23" s="269"/>
      <c r="AV23" s="269"/>
      <c r="AW23" s="269"/>
      <c r="AX23" s="269"/>
      <c r="AY23" s="269"/>
      <c r="AZ23" s="269"/>
      <c r="BA23" s="269"/>
      <c r="BB23" s="269"/>
      <c r="BC23" s="269"/>
      <c r="BD23" s="269"/>
      <c r="BE23" s="269"/>
      <c r="BF23" s="269"/>
      <c r="BG23" s="269"/>
      <c r="BH23" s="269"/>
      <c r="BI23" s="269"/>
      <c r="BJ23" s="269"/>
      <c r="BK23" s="269"/>
      <c r="BL23" s="269"/>
      <c r="BM23" s="269"/>
      <c r="BN23" s="269"/>
      <c r="BO23" s="273"/>
      <c r="BP23" s="274"/>
      <c r="BQ23" s="274"/>
      <c r="BR23" s="275"/>
      <c r="BS23" s="11"/>
      <c r="BT23" s="10"/>
      <c r="CB23" s="21"/>
      <c r="CC23" s="11"/>
      <c r="CD23" s="11"/>
      <c r="CE23" s="11"/>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1"/>
      <c r="DV23" s="11"/>
      <c r="DW23" s="46" t="s">
        <v>82</v>
      </c>
      <c r="DX23" s="11"/>
      <c r="DY23" s="11"/>
      <c r="DZ23" s="11"/>
      <c r="EA23" s="11"/>
      <c r="EB23" s="11"/>
      <c r="EC23" s="11"/>
      <c r="ED23" s="11"/>
      <c r="EE23" s="11"/>
      <c r="EF23" s="11"/>
      <c r="EG23" s="11"/>
      <c r="EH23" s="11"/>
      <c r="EI23" s="11"/>
      <c r="EJ23" s="11"/>
      <c r="EK23" s="11"/>
      <c r="EL23" s="11"/>
      <c r="EM23" s="11"/>
      <c r="EN23" s="11"/>
      <c r="EO23" s="11"/>
      <c r="EP23" s="11"/>
      <c r="EQ23" s="11"/>
      <c r="ER23" s="11"/>
      <c r="ES23" s="10"/>
    </row>
    <row r="24" spans="3:149" ht="16.25" customHeight="1">
      <c r="C24" s="21"/>
      <c r="D24" s="262" t="s">
        <v>83</v>
      </c>
      <c r="E24" s="263"/>
      <c r="F24" s="263"/>
      <c r="G24" s="263"/>
      <c r="H24" s="263"/>
      <c r="I24" s="263"/>
      <c r="J24" s="263"/>
      <c r="K24" s="263"/>
      <c r="L24" s="263"/>
      <c r="M24" s="264"/>
      <c r="N24" s="268" t="str">
        <f>VLOOKUP($D$11,調査票①!$A$9:$HJ$30,8,FALSE)&amp;""</f>
        <v>　</v>
      </c>
      <c r="O24" s="268"/>
      <c r="P24" s="268"/>
      <c r="Q24" s="268"/>
      <c r="R24" s="317" t="str">
        <f>VLOOKUP($D$11,調査票①!$A$9:$HJ$30,9,FALSE)&amp;""</f>
        <v>　</v>
      </c>
      <c r="S24" s="317"/>
      <c r="T24" s="317"/>
      <c r="U24" s="317"/>
      <c r="V24" s="317"/>
      <c r="W24" s="317"/>
      <c r="X24" s="317"/>
      <c r="Y24" s="317"/>
      <c r="Z24" s="317"/>
      <c r="AA24" s="317"/>
      <c r="AB24" s="317"/>
      <c r="AC24" s="317"/>
      <c r="AD24" s="317"/>
      <c r="AE24" s="317"/>
      <c r="AF24" s="317"/>
      <c r="AG24" s="317"/>
      <c r="AH24" s="317"/>
      <c r="AI24" s="317"/>
      <c r="AJ24" s="317"/>
      <c r="AK24" s="317"/>
      <c r="AL24" s="317"/>
      <c r="AM24" s="317"/>
      <c r="AN24" s="317"/>
      <c r="AO24" s="317"/>
      <c r="AP24" s="317"/>
      <c r="AQ24" s="317"/>
      <c r="AR24" s="317"/>
      <c r="AS24" s="317"/>
      <c r="AT24" s="317"/>
      <c r="AU24" s="317"/>
      <c r="AV24" s="317"/>
      <c r="AW24" s="317"/>
      <c r="AX24" s="317"/>
      <c r="AY24" s="317"/>
      <c r="AZ24" s="317"/>
      <c r="BA24" s="317"/>
      <c r="BB24" s="317"/>
      <c r="BC24" s="317"/>
      <c r="BD24" s="317"/>
      <c r="BE24" s="317"/>
      <c r="BF24" s="317"/>
      <c r="BG24" s="317"/>
      <c r="BH24" s="317"/>
      <c r="BI24" s="317"/>
      <c r="BJ24" s="317"/>
      <c r="BK24" s="317"/>
      <c r="BL24" s="317"/>
      <c r="BM24" s="317"/>
      <c r="BN24" s="317"/>
      <c r="BO24" s="270">
        <f>調査票①!G30</f>
        <v>0.95</v>
      </c>
      <c r="BP24" s="271"/>
      <c r="BQ24" s="271"/>
      <c r="BR24" s="272"/>
      <c r="BS24" s="11"/>
      <c r="BT24" s="10"/>
      <c r="CB24" s="21"/>
      <c r="CC24" s="318" t="s">
        <v>56</v>
      </c>
      <c r="CD24" s="318"/>
      <c r="CE24" s="318"/>
      <c r="CF24" s="318"/>
      <c r="CG24" s="318"/>
      <c r="CH24" s="318"/>
      <c r="CI24" s="318"/>
      <c r="CJ24" s="318"/>
      <c r="CK24" s="318"/>
      <c r="CL24" s="318"/>
      <c r="CM24" s="318"/>
      <c r="CN24" s="318"/>
      <c r="CO24" s="318"/>
      <c r="CP24" s="318"/>
      <c r="CQ24" s="318"/>
      <c r="CR24" s="318"/>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1"/>
      <c r="DV24" s="11"/>
      <c r="DW24" s="320" t="s">
        <v>84</v>
      </c>
      <c r="DX24" s="321"/>
      <c r="DY24" s="321"/>
      <c r="DZ24" s="321"/>
      <c r="EA24" s="321"/>
      <c r="EB24" s="321"/>
      <c r="EC24" s="321"/>
      <c r="ED24" s="321"/>
      <c r="EE24" s="321"/>
      <c r="EF24" s="321"/>
      <c r="EG24" s="321"/>
      <c r="EH24" s="321"/>
      <c r="EI24" s="321"/>
      <c r="EJ24" s="321"/>
      <c r="EK24" s="321"/>
      <c r="EL24" s="321"/>
      <c r="EM24" s="11"/>
      <c r="EN24" s="11"/>
      <c r="EO24" s="11"/>
      <c r="EP24" s="11"/>
      <c r="EQ24" s="11"/>
      <c r="ER24" s="11"/>
      <c r="ES24" s="10"/>
    </row>
    <row r="25" spans="3:149" ht="16.25" customHeight="1">
      <c r="C25" s="21"/>
      <c r="D25" s="265"/>
      <c r="E25" s="266"/>
      <c r="F25" s="266"/>
      <c r="G25" s="266"/>
      <c r="H25" s="266"/>
      <c r="I25" s="266"/>
      <c r="J25" s="266"/>
      <c r="K25" s="266"/>
      <c r="L25" s="266"/>
      <c r="M25" s="267"/>
      <c r="N25" s="268"/>
      <c r="O25" s="268"/>
      <c r="P25" s="268"/>
      <c r="Q25" s="268"/>
      <c r="R25" s="317"/>
      <c r="S25" s="317"/>
      <c r="T25" s="317"/>
      <c r="U25" s="317"/>
      <c r="V25" s="317"/>
      <c r="W25" s="317"/>
      <c r="X25" s="317"/>
      <c r="Y25" s="317"/>
      <c r="Z25" s="317"/>
      <c r="AA25" s="317"/>
      <c r="AB25" s="317"/>
      <c r="AC25" s="317"/>
      <c r="AD25" s="317"/>
      <c r="AE25" s="317"/>
      <c r="AF25" s="317"/>
      <c r="AG25" s="317"/>
      <c r="AH25" s="317"/>
      <c r="AI25" s="317"/>
      <c r="AJ25" s="317"/>
      <c r="AK25" s="317"/>
      <c r="AL25" s="317"/>
      <c r="AM25" s="317"/>
      <c r="AN25" s="317"/>
      <c r="AO25" s="317"/>
      <c r="AP25" s="317"/>
      <c r="AQ25" s="317"/>
      <c r="AR25" s="317"/>
      <c r="AS25" s="317"/>
      <c r="AT25" s="317"/>
      <c r="AU25" s="317"/>
      <c r="AV25" s="317"/>
      <c r="AW25" s="317"/>
      <c r="AX25" s="317"/>
      <c r="AY25" s="317"/>
      <c r="AZ25" s="317"/>
      <c r="BA25" s="317"/>
      <c r="BB25" s="317"/>
      <c r="BC25" s="317"/>
      <c r="BD25" s="317"/>
      <c r="BE25" s="317"/>
      <c r="BF25" s="317"/>
      <c r="BG25" s="317"/>
      <c r="BH25" s="317"/>
      <c r="BI25" s="317"/>
      <c r="BJ25" s="317"/>
      <c r="BK25" s="317"/>
      <c r="BL25" s="317"/>
      <c r="BM25" s="317"/>
      <c r="BN25" s="317"/>
      <c r="BO25" s="273"/>
      <c r="BP25" s="274"/>
      <c r="BQ25" s="274"/>
      <c r="BR25" s="275"/>
      <c r="BS25" s="11"/>
      <c r="BT25" s="10"/>
      <c r="CA25" s="2"/>
      <c r="CB25" s="47"/>
      <c r="CC25" s="319"/>
      <c r="CD25" s="319"/>
      <c r="CE25" s="319"/>
      <c r="CF25" s="319"/>
      <c r="CG25" s="319"/>
      <c r="CH25" s="319"/>
      <c r="CI25" s="319"/>
      <c r="CJ25" s="319"/>
      <c r="CK25" s="319"/>
      <c r="CL25" s="319"/>
      <c r="CM25" s="318"/>
      <c r="CN25" s="318"/>
      <c r="CO25" s="318"/>
      <c r="CP25" s="318"/>
      <c r="CQ25" s="318"/>
      <c r="CR25" s="318"/>
      <c r="CS25" s="11"/>
      <c r="CT25" s="11"/>
      <c r="CU25" s="11"/>
      <c r="CV25" s="11"/>
      <c r="CW25" s="11"/>
      <c r="CX25" s="11"/>
      <c r="CY25" s="11"/>
      <c r="CZ25" s="11"/>
      <c r="DA25" s="11"/>
      <c r="DB25" s="11"/>
      <c r="DC25" s="11"/>
      <c r="DD25" s="11"/>
      <c r="DE25" s="11"/>
      <c r="DF25" s="30"/>
      <c r="DG25" s="30"/>
      <c r="DH25" s="30"/>
      <c r="DI25" s="30"/>
      <c r="DJ25" s="30"/>
      <c r="DK25" s="30"/>
      <c r="DL25" s="30"/>
      <c r="DM25" s="30"/>
      <c r="DN25" s="30"/>
      <c r="DO25" s="30"/>
      <c r="DP25" s="30"/>
      <c r="DQ25" s="30"/>
      <c r="DR25" s="30"/>
      <c r="DS25" s="30"/>
      <c r="DT25" s="30"/>
      <c r="DU25" s="30"/>
      <c r="DV25" s="30"/>
      <c r="DW25" s="322" t="s">
        <v>85</v>
      </c>
      <c r="DX25" s="323"/>
      <c r="DY25" s="323"/>
      <c r="DZ25" s="323"/>
      <c r="EA25" s="323"/>
      <c r="EB25" s="323"/>
      <c r="EC25" s="323"/>
      <c r="ED25" s="324"/>
      <c r="EE25" s="322">
        <f>調査票①!GK30</f>
        <v>0.45</v>
      </c>
      <c r="EF25" s="323"/>
      <c r="EG25" s="323"/>
      <c r="EH25" s="323"/>
      <c r="EI25" s="323"/>
      <c r="EJ25" s="323"/>
      <c r="EK25" s="323"/>
      <c r="EL25" s="324"/>
      <c r="EM25" s="11"/>
      <c r="EN25" s="11"/>
      <c r="EO25" s="11"/>
      <c r="EP25" s="11"/>
      <c r="EQ25" s="11"/>
      <c r="ER25" s="11"/>
      <c r="ES25" s="10"/>
    </row>
    <row r="26" spans="3:149" ht="16.25" customHeight="1">
      <c r="C26" s="21"/>
      <c r="D26" s="262" t="s">
        <v>86</v>
      </c>
      <c r="E26" s="263"/>
      <c r="F26" s="263"/>
      <c r="G26" s="263"/>
      <c r="H26" s="263"/>
      <c r="I26" s="263"/>
      <c r="J26" s="263"/>
      <c r="K26" s="263"/>
      <c r="L26" s="263"/>
      <c r="M26" s="264"/>
      <c r="N26" s="268" t="str">
        <f>VLOOKUP($D$11,調査票①!$A$9:$HJ$30,11,FALSE)&amp;""</f>
        <v/>
      </c>
      <c r="O26" s="268"/>
      <c r="P26" s="268"/>
      <c r="Q26" s="268"/>
      <c r="R26" s="269" t="str">
        <f>VLOOKUP($D$11,調査票①!$A$9:$HJ$30,12,FALSE)&amp;""</f>
        <v>　</v>
      </c>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269"/>
      <c r="AP26" s="269"/>
      <c r="AQ26" s="269"/>
      <c r="AR26" s="269"/>
      <c r="AS26" s="269"/>
      <c r="AT26" s="269"/>
      <c r="AU26" s="269"/>
      <c r="AV26" s="269"/>
      <c r="AW26" s="269"/>
      <c r="AX26" s="269"/>
      <c r="AY26" s="269"/>
      <c r="AZ26" s="269"/>
      <c r="BA26" s="269"/>
      <c r="BB26" s="269"/>
      <c r="BC26" s="269"/>
      <c r="BD26" s="269"/>
      <c r="BE26" s="269"/>
      <c r="BF26" s="269"/>
      <c r="BG26" s="269"/>
      <c r="BH26" s="269"/>
      <c r="BI26" s="269"/>
      <c r="BJ26" s="269"/>
      <c r="BK26" s="269"/>
      <c r="BL26" s="269"/>
      <c r="BM26" s="269"/>
      <c r="BN26" s="269"/>
      <c r="BO26" s="270">
        <f>調査票①!J30</f>
        <v>1</v>
      </c>
      <c r="BP26" s="271"/>
      <c r="BQ26" s="271"/>
      <c r="BR26" s="272"/>
      <c r="BS26" s="11"/>
      <c r="BT26" s="10"/>
      <c r="CB26" s="47"/>
      <c r="CC26" s="328" t="s">
        <v>57</v>
      </c>
      <c r="CD26" s="328"/>
      <c r="CE26" s="328"/>
      <c r="CF26" s="328"/>
      <c r="CG26" s="328"/>
      <c r="CH26" s="328"/>
      <c r="CI26" s="328"/>
      <c r="CJ26" s="328"/>
      <c r="CK26" s="328"/>
      <c r="CL26" s="328"/>
      <c r="CM26" s="329" t="str">
        <f>VLOOKUP($D$11,調査票①!$A$9:$HJ$30,196,FALSE)&amp;""</f>
        <v>　</v>
      </c>
      <c r="CN26" s="329"/>
      <c r="CO26" s="329"/>
      <c r="CP26" s="329"/>
      <c r="CQ26" s="329"/>
      <c r="CR26" s="329"/>
      <c r="CS26" s="329"/>
      <c r="CT26" s="329"/>
      <c r="CU26" s="329"/>
      <c r="CV26" s="329"/>
      <c r="CW26" s="30"/>
      <c r="CX26" s="30"/>
      <c r="CY26" s="30"/>
      <c r="CZ26" s="330" t="s">
        <v>61</v>
      </c>
      <c r="DA26" s="330"/>
      <c r="DB26" s="330"/>
      <c r="DC26" s="330"/>
      <c r="DD26" s="330"/>
      <c r="DE26" s="330"/>
      <c r="DF26" s="330"/>
      <c r="DG26" s="330"/>
      <c r="DH26" s="330"/>
      <c r="DI26" s="330"/>
      <c r="DJ26" s="331" t="str">
        <f>VLOOKUP($D$11,調査票①!$A$9:$HJ$30,197,FALSE)&amp;""</f>
        <v>　　</v>
      </c>
      <c r="DK26" s="331"/>
      <c r="DL26" s="331"/>
      <c r="DM26" s="331"/>
      <c r="DN26" s="331"/>
      <c r="DO26" s="331"/>
      <c r="DP26" s="331"/>
      <c r="DQ26" s="331"/>
      <c r="DR26" s="331"/>
      <c r="DS26" s="331"/>
      <c r="DT26" s="30"/>
      <c r="DU26" s="30"/>
      <c r="DV26" s="30"/>
      <c r="DW26" s="325"/>
      <c r="DX26" s="326"/>
      <c r="DY26" s="326"/>
      <c r="DZ26" s="326"/>
      <c r="EA26" s="326"/>
      <c r="EB26" s="326"/>
      <c r="EC26" s="326"/>
      <c r="ED26" s="327"/>
      <c r="EE26" s="325"/>
      <c r="EF26" s="326"/>
      <c r="EG26" s="326"/>
      <c r="EH26" s="326"/>
      <c r="EI26" s="326"/>
      <c r="EJ26" s="326"/>
      <c r="EK26" s="326"/>
      <c r="EL26" s="327"/>
      <c r="EM26" s="11"/>
      <c r="EN26" s="11"/>
      <c r="EO26" s="11"/>
      <c r="EP26" s="11"/>
      <c r="EQ26" s="11"/>
      <c r="ER26" s="11"/>
      <c r="ES26" s="10"/>
    </row>
    <row r="27" spans="3:149" ht="16.25" customHeight="1">
      <c r="C27" s="21"/>
      <c r="D27" s="265"/>
      <c r="E27" s="266"/>
      <c r="F27" s="266"/>
      <c r="G27" s="266"/>
      <c r="H27" s="266"/>
      <c r="I27" s="266"/>
      <c r="J27" s="266"/>
      <c r="K27" s="266"/>
      <c r="L27" s="266"/>
      <c r="M27" s="267"/>
      <c r="N27" s="268"/>
      <c r="O27" s="268"/>
      <c r="P27" s="268"/>
      <c r="Q27" s="268"/>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269"/>
      <c r="AP27" s="269"/>
      <c r="AQ27" s="269"/>
      <c r="AR27" s="269"/>
      <c r="AS27" s="269"/>
      <c r="AT27" s="269"/>
      <c r="AU27" s="269"/>
      <c r="AV27" s="269"/>
      <c r="AW27" s="269"/>
      <c r="AX27" s="269"/>
      <c r="AY27" s="269"/>
      <c r="AZ27" s="269"/>
      <c r="BA27" s="269"/>
      <c r="BB27" s="269"/>
      <c r="BC27" s="269"/>
      <c r="BD27" s="269"/>
      <c r="BE27" s="269"/>
      <c r="BF27" s="269"/>
      <c r="BG27" s="269"/>
      <c r="BH27" s="269"/>
      <c r="BI27" s="269"/>
      <c r="BJ27" s="269"/>
      <c r="BK27" s="269"/>
      <c r="BL27" s="269"/>
      <c r="BM27" s="269"/>
      <c r="BN27" s="269"/>
      <c r="BO27" s="273"/>
      <c r="BP27" s="274"/>
      <c r="BQ27" s="274"/>
      <c r="BR27" s="275"/>
      <c r="BS27" s="11"/>
      <c r="BT27" s="10"/>
      <c r="CB27" s="47"/>
      <c r="CC27" s="328"/>
      <c r="CD27" s="328"/>
      <c r="CE27" s="328"/>
      <c r="CF27" s="328"/>
      <c r="CG27" s="328"/>
      <c r="CH27" s="328"/>
      <c r="CI27" s="328"/>
      <c r="CJ27" s="328"/>
      <c r="CK27" s="328"/>
      <c r="CL27" s="328"/>
      <c r="CM27" s="329"/>
      <c r="CN27" s="329"/>
      <c r="CO27" s="329"/>
      <c r="CP27" s="329"/>
      <c r="CQ27" s="329"/>
      <c r="CR27" s="329"/>
      <c r="CS27" s="329"/>
      <c r="CT27" s="329"/>
      <c r="CU27" s="329"/>
      <c r="CV27" s="329"/>
      <c r="CW27" s="30"/>
      <c r="CX27" s="30"/>
      <c r="CY27" s="30"/>
      <c r="CZ27" s="330"/>
      <c r="DA27" s="330"/>
      <c r="DB27" s="330"/>
      <c r="DC27" s="330"/>
      <c r="DD27" s="330"/>
      <c r="DE27" s="330"/>
      <c r="DF27" s="330"/>
      <c r="DG27" s="330"/>
      <c r="DH27" s="330"/>
      <c r="DI27" s="330"/>
      <c r="DJ27" s="331"/>
      <c r="DK27" s="331"/>
      <c r="DL27" s="331"/>
      <c r="DM27" s="331"/>
      <c r="DN27" s="331"/>
      <c r="DO27" s="331"/>
      <c r="DP27" s="331"/>
      <c r="DQ27" s="331"/>
      <c r="DR27" s="331"/>
      <c r="DS27" s="331"/>
      <c r="DT27" s="30"/>
      <c r="DU27" s="30"/>
      <c r="DV27" s="30"/>
      <c r="DW27" s="322" t="s">
        <v>87</v>
      </c>
      <c r="DX27" s="323"/>
      <c r="DY27" s="323"/>
      <c r="DZ27" s="323"/>
      <c r="EA27" s="323"/>
      <c r="EB27" s="323"/>
      <c r="EC27" s="323"/>
      <c r="ED27" s="324"/>
      <c r="EE27" s="322">
        <f>調査票①!GM30</f>
        <v>0.9</v>
      </c>
      <c r="EF27" s="323"/>
      <c r="EG27" s="323"/>
      <c r="EH27" s="323"/>
      <c r="EI27" s="323"/>
      <c r="EJ27" s="323"/>
      <c r="EK27" s="323"/>
      <c r="EL27" s="324"/>
      <c r="EM27" s="11"/>
      <c r="EN27" s="11"/>
      <c r="EO27" s="11"/>
      <c r="EP27" s="11"/>
      <c r="EQ27" s="11"/>
      <c r="ER27" s="11"/>
      <c r="ES27" s="10"/>
    </row>
    <row r="28" spans="3:149" ht="16.25" customHeight="1">
      <c r="C28" s="21"/>
      <c r="D28" s="262" t="s">
        <v>88</v>
      </c>
      <c r="E28" s="263"/>
      <c r="F28" s="263"/>
      <c r="G28" s="263"/>
      <c r="H28" s="263"/>
      <c r="I28" s="263"/>
      <c r="J28" s="263"/>
      <c r="K28" s="263"/>
      <c r="L28" s="263"/>
      <c r="M28" s="264"/>
      <c r="N28" s="268" t="str">
        <f>VLOOKUP($D$11,調査票①!$A$9:$HJ$30,14,FALSE)&amp;""</f>
        <v>　</v>
      </c>
      <c r="O28" s="268"/>
      <c r="P28" s="268"/>
      <c r="Q28" s="268"/>
      <c r="R28" s="269" t="str">
        <f>VLOOKUP($D$11,調査票①!$A$9:$HJ$30,15,FALSE)&amp;""</f>
        <v>　</v>
      </c>
      <c r="S28" s="269"/>
      <c r="T28" s="269"/>
      <c r="U28" s="269"/>
      <c r="V28" s="269"/>
      <c r="W28" s="269"/>
      <c r="X28" s="269"/>
      <c r="Y28" s="269"/>
      <c r="Z28" s="269"/>
      <c r="AA28" s="269"/>
      <c r="AB28" s="269"/>
      <c r="AC28" s="269"/>
      <c r="AD28" s="269"/>
      <c r="AE28" s="269"/>
      <c r="AF28" s="269"/>
      <c r="AG28" s="269"/>
      <c r="AH28" s="269"/>
      <c r="AI28" s="269"/>
      <c r="AJ28" s="269"/>
      <c r="AK28" s="269"/>
      <c r="AL28" s="269"/>
      <c r="AM28" s="269"/>
      <c r="AN28" s="269"/>
      <c r="AO28" s="269"/>
      <c r="AP28" s="269"/>
      <c r="AQ28" s="269"/>
      <c r="AR28" s="269"/>
      <c r="AS28" s="269"/>
      <c r="AT28" s="269"/>
      <c r="AU28" s="269"/>
      <c r="AV28" s="269"/>
      <c r="AW28" s="269"/>
      <c r="AX28" s="269"/>
      <c r="AY28" s="269"/>
      <c r="AZ28" s="269"/>
      <c r="BA28" s="269"/>
      <c r="BB28" s="269"/>
      <c r="BC28" s="269"/>
      <c r="BD28" s="269"/>
      <c r="BE28" s="269"/>
      <c r="BF28" s="269"/>
      <c r="BG28" s="269"/>
      <c r="BH28" s="269"/>
      <c r="BI28" s="269"/>
      <c r="BJ28" s="269"/>
      <c r="BK28" s="269"/>
      <c r="BL28" s="269"/>
      <c r="BM28" s="269"/>
      <c r="BN28" s="269"/>
      <c r="BO28" s="270">
        <f>調査票①!M30</f>
        <v>0.95</v>
      </c>
      <c r="BP28" s="271"/>
      <c r="BQ28" s="271"/>
      <c r="BR28" s="272"/>
      <c r="BS28" s="11"/>
      <c r="BT28" s="10"/>
      <c r="CB28" s="47"/>
      <c r="CC28" s="328"/>
      <c r="CD28" s="328"/>
      <c r="CE28" s="328"/>
      <c r="CF28" s="328"/>
      <c r="CG28" s="328"/>
      <c r="CH28" s="328"/>
      <c r="CI28" s="328"/>
      <c r="CJ28" s="328"/>
      <c r="CK28" s="328"/>
      <c r="CL28" s="328"/>
      <c r="CM28" s="329"/>
      <c r="CN28" s="329"/>
      <c r="CO28" s="329"/>
      <c r="CP28" s="329"/>
      <c r="CQ28" s="329"/>
      <c r="CR28" s="329"/>
      <c r="CS28" s="329"/>
      <c r="CT28" s="329"/>
      <c r="CU28" s="329"/>
      <c r="CV28" s="329"/>
      <c r="CW28" s="30"/>
      <c r="CX28" s="30"/>
      <c r="CY28" s="30"/>
      <c r="CZ28" s="330"/>
      <c r="DA28" s="330"/>
      <c r="DB28" s="330"/>
      <c r="DC28" s="330"/>
      <c r="DD28" s="330"/>
      <c r="DE28" s="330"/>
      <c r="DF28" s="330"/>
      <c r="DG28" s="330"/>
      <c r="DH28" s="330"/>
      <c r="DI28" s="330"/>
      <c r="DJ28" s="331"/>
      <c r="DK28" s="331"/>
      <c r="DL28" s="331"/>
      <c r="DM28" s="331"/>
      <c r="DN28" s="331"/>
      <c r="DO28" s="331"/>
      <c r="DP28" s="331"/>
      <c r="DQ28" s="331"/>
      <c r="DR28" s="331"/>
      <c r="DS28" s="331"/>
      <c r="DT28" s="30"/>
      <c r="DU28" s="30"/>
      <c r="DV28" s="30"/>
      <c r="DW28" s="325"/>
      <c r="DX28" s="326"/>
      <c r="DY28" s="326"/>
      <c r="DZ28" s="326"/>
      <c r="EA28" s="326"/>
      <c r="EB28" s="326"/>
      <c r="EC28" s="326"/>
      <c r="ED28" s="327"/>
      <c r="EE28" s="325"/>
      <c r="EF28" s="326"/>
      <c r="EG28" s="326"/>
      <c r="EH28" s="326"/>
      <c r="EI28" s="326"/>
      <c r="EJ28" s="326"/>
      <c r="EK28" s="326"/>
      <c r="EL28" s="327"/>
      <c r="EM28" s="11"/>
      <c r="EN28" s="11"/>
      <c r="EO28" s="11"/>
      <c r="EP28" s="11"/>
      <c r="EQ28" s="11"/>
      <c r="ER28" s="11"/>
      <c r="ES28" s="10"/>
    </row>
    <row r="29" spans="3:149" ht="16.25" customHeight="1">
      <c r="C29" s="21"/>
      <c r="D29" s="265"/>
      <c r="E29" s="266"/>
      <c r="F29" s="266"/>
      <c r="G29" s="266"/>
      <c r="H29" s="266"/>
      <c r="I29" s="266"/>
      <c r="J29" s="266"/>
      <c r="K29" s="266"/>
      <c r="L29" s="266"/>
      <c r="M29" s="267"/>
      <c r="N29" s="268"/>
      <c r="O29" s="268"/>
      <c r="P29" s="268"/>
      <c r="Q29" s="268"/>
      <c r="R29" s="269"/>
      <c r="S29" s="269"/>
      <c r="T29" s="269"/>
      <c r="U29" s="269"/>
      <c r="V29" s="269"/>
      <c r="W29" s="269"/>
      <c r="X29" s="269"/>
      <c r="Y29" s="269"/>
      <c r="Z29" s="269"/>
      <c r="AA29" s="269"/>
      <c r="AB29" s="269"/>
      <c r="AC29" s="269"/>
      <c r="AD29" s="269"/>
      <c r="AE29" s="269"/>
      <c r="AF29" s="269"/>
      <c r="AG29" s="269"/>
      <c r="AH29" s="269"/>
      <c r="AI29" s="269"/>
      <c r="AJ29" s="269"/>
      <c r="AK29" s="269"/>
      <c r="AL29" s="269"/>
      <c r="AM29" s="269"/>
      <c r="AN29" s="269"/>
      <c r="AO29" s="269"/>
      <c r="AP29" s="269"/>
      <c r="AQ29" s="269"/>
      <c r="AR29" s="269"/>
      <c r="AS29" s="269"/>
      <c r="AT29" s="269"/>
      <c r="AU29" s="269"/>
      <c r="AV29" s="269"/>
      <c r="AW29" s="269"/>
      <c r="AX29" s="269"/>
      <c r="AY29" s="269"/>
      <c r="AZ29" s="269"/>
      <c r="BA29" s="269"/>
      <c r="BB29" s="269"/>
      <c r="BC29" s="269"/>
      <c r="BD29" s="269"/>
      <c r="BE29" s="269"/>
      <c r="BF29" s="269"/>
      <c r="BG29" s="269"/>
      <c r="BH29" s="269"/>
      <c r="BI29" s="269"/>
      <c r="BJ29" s="269"/>
      <c r="BK29" s="269"/>
      <c r="BL29" s="269"/>
      <c r="BM29" s="269"/>
      <c r="BN29" s="269"/>
      <c r="BO29" s="273"/>
      <c r="BP29" s="274"/>
      <c r="BQ29" s="274"/>
      <c r="BR29" s="275"/>
      <c r="BS29" s="11"/>
      <c r="BT29" s="10"/>
      <c r="CB29" s="20"/>
      <c r="CC29" s="48"/>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5"/>
    </row>
    <row r="30" spans="3:149" ht="16.25" customHeight="1">
      <c r="C30" s="21"/>
      <c r="D30" s="262" t="s">
        <v>89</v>
      </c>
      <c r="E30" s="263"/>
      <c r="F30" s="263"/>
      <c r="G30" s="263"/>
      <c r="H30" s="263"/>
      <c r="I30" s="263"/>
      <c r="J30" s="263"/>
      <c r="K30" s="263"/>
      <c r="L30" s="263"/>
      <c r="M30" s="264"/>
      <c r="N30" s="268" t="str">
        <f>VLOOKUP($D$11,調査票①!$A$9:$HJ$30,17,FALSE)&amp;""</f>
        <v/>
      </c>
      <c r="O30" s="268"/>
      <c r="P30" s="268"/>
      <c r="Q30" s="268"/>
      <c r="R30" s="269" t="str">
        <f>VLOOKUP($D$11,調査票①!$A$9:$HJ$30,18,FALSE)&amp;""</f>
        <v/>
      </c>
      <c r="S30" s="269"/>
      <c r="T30" s="269"/>
      <c r="U30" s="269"/>
      <c r="V30" s="269"/>
      <c r="W30" s="269"/>
      <c r="X30" s="269"/>
      <c r="Y30" s="269"/>
      <c r="Z30" s="269"/>
      <c r="AA30" s="269"/>
      <c r="AB30" s="269"/>
      <c r="AC30" s="269"/>
      <c r="AD30" s="269"/>
      <c r="AE30" s="269"/>
      <c r="AF30" s="269"/>
      <c r="AG30" s="269"/>
      <c r="AH30" s="269"/>
      <c r="AI30" s="269"/>
      <c r="AJ30" s="269"/>
      <c r="AK30" s="269"/>
      <c r="AL30" s="269"/>
      <c r="AM30" s="269"/>
      <c r="AN30" s="269"/>
      <c r="AO30" s="269"/>
      <c r="AP30" s="269"/>
      <c r="AQ30" s="269"/>
      <c r="AR30" s="269"/>
      <c r="AS30" s="269"/>
      <c r="AT30" s="269"/>
      <c r="AU30" s="269"/>
      <c r="AV30" s="269"/>
      <c r="AW30" s="269"/>
      <c r="AX30" s="269"/>
      <c r="AY30" s="269"/>
      <c r="AZ30" s="269"/>
      <c r="BA30" s="269"/>
      <c r="BB30" s="269"/>
      <c r="BC30" s="269"/>
      <c r="BD30" s="269"/>
      <c r="BE30" s="269"/>
      <c r="BF30" s="269"/>
      <c r="BG30" s="269"/>
      <c r="BH30" s="269"/>
      <c r="BI30" s="269"/>
      <c r="BJ30" s="269"/>
      <c r="BK30" s="269"/>
      <c r="BL30" s="269"/>
      <c r="BM30" s="269"/>
      <c r="BN30" s="269"/>
      <c r="BO30" s="270">
        <f>調査票①!P30</f>
        <v>0.85</v>
      </c>
      <c r="BP30" s="271"/>
      <c r="BQ30" s="271"/>
      <c r="BR30" s="272"/>
      <c r="BS30" s="11"/>
      <c r="BT30" s="10"/>
    </row>
    <row r="31" spans="3:149" ht="16.25" customHeight="1">
      <c r="C31" s="21"/>
      <c r="D31" s="265"/>
      <c r="E31" s="266"/>
      <c r="F31" s="266"/>
      <c r="G31" s="266"/>
      <c r="H31" s="266"/>
      <c r="I31" s="266"/>
      <c r="J31" s="266"/>
      <c r="K31" s="266"/>
      <c r="L31" s="266"/>
      <c r="M31" s="267"/>
      <c r="N31" s="268"/>
      <c r="O31" s="268"/>
      <c r="P31" s="268"/>
      <c r="Q31" s="268"/>
      <c r="R31" s="269"/>
      <c r="S31" s="269"/>
      <c r="T31" s="269"/>
      <c r="U31" s="269"/>
      <c r="V31" s="269"/>
      <c r="W31" s="269"/>
      <c r="X31" s="269"/>
      <c r="Y31" s="269"/>
      <c r="Z31" s="269"/>
      <c r="AA31" s="269"/>
      <c r="AB31" s="269"/>
      <c r="AC31" s="269"/>
      <c r="AD31" s="269"/>
      <c r="AE31" s="269"/>
      <c r="AF31" s="269"/>
      <c r="AG31" s="269"/>
      <c r="AH31" s="269"/>
      <c r="AI31" s="269"/>
      <c r="AJ31" s="269"/>
      <c r="AK31" s="269"/>
      <c r="AL31" s="269"/>
      <c r="AM31" s="269"/>
      <c r="AN31" s="269"/>
      <c r="AO31" s="269"/>
      <c r="AP31" s="269"/>
      <c r="AQ31" s="269"/>
      <c r="AR31" s="269"/>
      <c r="AS31" s="269"/>
      <c r="AT31" s="269"/>
      <c r="AU31" s="269"/>
      <c r="AV31" s="269"/>
      <c r="AW31" s="269"/>
      <c r="AX31" s="269"/>
      <c r="AY31" s="269"/>
      <c r="AZ31" s="269"/>
      <c r="BA31" s="269"/>
      <c r="BB31" s="269"/>
      <c r="BC31" s="269"/>
      <c r="BD31" s="269"/>
      <c r="BE31" s="269"/>
      <c r="BF31" s="269"/>
      <c r="BG31" s="269"/>
      <c r="BH31" s="269"/>
      <c r="BI31" s="269"/>
      <c r="BJ31" s="269"/>
      <c r="BK31" s="269"/>
      <c r="BL31" s="269"/>
      <c r="BM31" s="269"/>
      <c r="BN31" s="269"/>
      <c r="BO31" s="273"/>
      <c r="BP31" s="274"/>
      <c r="BQ31" s="274"/>
      <c r="BR31" s="275"/>
      <c r="BS31" s="11"/>
      <c r="BT31" s="10"/>
      <c r="CB31" s="19"/>
      <c r="CC31" s="19"/>
      <c r="CD31" s="19"/>
      <c r="CE31" s="19"/>
      <c r="CF31" s="19"/>
      <c r="CG31" s="19"/>
      <c r="CH31" s="19"/>
      <c r="CI31" s="19"/>
      <c r="CJ31" s="19"/>
      <c r="CK31" s="19"/>
      <c r="CL31" s="19"/>
      <c r="CM31" s="19"/>
      <c r="CN31" s="19"/>
      <c r="CO31" s="19"/>
      <c r="CP31" s="19"/>
      <c r="CQ31" s="19"/>
      <c r="CR31" s="19"/>
      <c r="CS31" s="19"/>
      <c r="CT31" s="19"/>
      <c r="CU31" s="19"/>
      <c r="CV31" s="19"/>
      <c r="CW31" s="19"/>
      <c r="CX31" s="19"/>
      <c r="CY31" s="19"/>
      <c r="CZ31" s="19"/>
      <c r="DA31" s="19"/>
      <c r="DB31" s="19"/>
      <c r="DC31" s="19"/>
      <c r="DD31" s="19"/>
      <c r="DE31" s="19"/>
      <c r="DF31" s="19"/>
      <c r="DG31" s="19"/>
      <c r="DH31" s="19"/>
      <c r="DI31" s="19"/>
      <c r="DJ31" s="19"/>
      <c r="DK31" s="19"/>
      <c r="DL31" s="19"/>
      <c r="DM31" s="19"/>
      <c r="DN31" s="19"/>
      <c r="DO31" s="19"/>
      <c r="DP31" s="19"/>
      <c r="DQ31" s="19"/>
      <c r="DR31" s="19"/>
      <c r="DS31" s="19"/>
      <c r="DT31" s="19"/>
      <c r="DU31" s="19"/>
      <c r="DV31" s="19"/>
      <c r="DW31" s="19"/>
      <c r="DX31" s="19"/>
      <c r="DY31" s="19"/>
      <c r="DZ31" s="19"/>
      <c r="EA31" s="19"/>
      <c r="EB31" s="19"/>
      <c r="EC31" s="19"/>
      <c r="ED31" s="19"/>
      <c r="EE31" s="19"/>
      <c r="EF31" s="19"/>
      <c r="EG31" s="19"/>
      <c r="EH31" s="19"/>
      <c r="EI31" s="19"/>
      <c r="EJ31" s="19"/>
      <c r="EK31" s="19"/>
      <c r="EL31" s="19"/>
      <c r="EM31" s="19"/>
      <c r="EN31" s="19"/>
    </row>
    <row r="32" spans="3:149" ht="16.25" customHeight="1">
      <c r="C32" s="21"/>
      <c r="D32" s="262" t="s">
        <v>90</v>
      </c>
      <c r="E32" s="263"/>
      <c r="F32" s="263"/>
      <c r="G32" s="263"/>
      <c r="H32" s="263"/>
      <c r="I32" s="263"/>
      <c r="J32" s="263"/>
      <c r="K32" s="263"/>
      <c r="L32" s="263"/>
      <c r="M32" s="264"/>
      <c r="N32" s="268" t="str">
        <f>VLOOKUP($D$11,調査票①!$A$9:$HJ$30,20,FALSE)&amp;""</f>
        <v>　</v>
      </c>
      <c r="O32" s="268"/>
      <c r="P32" s="268"/>
      <c r="Q32" s="268"/>
      <c r="R32" s="269" t="str">
        <f>VLOOKUP($D$11,調査票①!$A$9:$HJ$30,21,FALSE)&amp;""</f>
        <v>　</v>
      </c>
      <c r="S32" s="269"/>
      <c r="T32" s="269"/>
      <c r="U32" s="269"/>
      <c r="V32" s="269"/>
      <c r="W32" s="269"/>
      <c r="X32" s="269"/>
      <c r="Y32" s="269"/>
      <c r="Z32" s="269"/>
      <c r="AA32" s="269"/>
      <c r="AB32" s="269"/>
      <c r="AC32" s="269"/>
      <c r="AD32" s="269"/>
      <c r="AE32" s="269"/>
      <c r="AF32" s="269"/>
      <c r="AG32" s="269"/>
      <c r="AH32" s="269"/>
      <c r="AI32" s="269"/>
      <c r="AJ32" s="269"/>
      <c r="AK32" s="269"/>
      <c r="AL32" s="269"/>
      <c r="AM32" s="269"/>
      <c r="AN32" s="269"/>
      <c r="AO32" s="269"/>
      <c r="AP32" s="269"/>
      <c r="AQ32" s="269"/>
      <c r="AR32" s="269"/>
      <c r="AS32" s="269"/>
      <c r="AT32" s="269"/>
      <c r="AU32" s="269"/>
      <c r="AV32" s="269"/>
      <c r="AW32" s="269"/>
      <c r="AX32" s="269"/>
      <c r="AY32" s="269"/>
      <c r="AZ32" s="269"/>
      <c r="BA32" s="269"/>
      <c r="BB32" s="269"/>
      <c r="BC32" s="269"/>
      <c r="BD32" s="269"/>
      <c r="BE32" s="269"/>
      <c r="BF32" s="269"/>
      <c r="BG32" s="269"/>
      <c r="BH32" s="269"/>
      <c r="BI32" s="269"/>
      <c r="BJ32" s="269"/>
      <c r="BK32" s="269"/>
      <c r="BL32" s="269"/>
      <c r="BM32" s="269"/>
      <c r="BN32" s="269"/>
      <c r="BO32" s="270">
        <f>調査票①!S30</f>
        <v>0.88888888888888884</v>
      </c>
      <c r="BP32" s="271"/>
      <c r="BQ32" s="271"/>
      <c r="BR32" s="272"/>
      <c r="BS32" s="11"/>
      <c r="BT32" s="10"/>
      <c r="CB32" s="19"/>
      <c r="CC32" s="16"/>
      <c r="CD32" s="16"/>
      <c r="CE32" s="16"/>
      <c r="CF32" s="16"/>
      <c r="CG32" s="16"/>
      <c r="CH32" s="16"/>
      <c r="CI32" s="16"/>
      <c r="CJ32" s="16"/>
      <c r="CK32" s="16"/>
      <c r="CL32" s="16"/>
      <c r="CM32" s="16"/>
      <c r="CN32" s="16"/>
      <c r="CO32" s="16"/>
      <c r="CP32" s="16"/>
      <c r="CQ32" s="16"/>
      <c r="CR32" s="16"/>
      <c r="CS32" s="16"/>
      <c r="CT32" s="16"/>
      <c r="CU32" s="16"/>
      <c r="CV32" s="16"/>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c r="DY32" s="19"/>
      <c r="DZ32" s="19"/>
      <c r="EA32" s="19"/>
      <c r="EB32" s="19"/>
      <c r="EC32" s="19"/>
      <c r="ED32" s="19"/>
      <c r="EE32" s="19"/>
      <c r="EF32" s="19"/>
      <c r="EG32" s="19"/>
      <c r="EH32" s="19"/>
      <c r="EI32" s="19"/>
      <c r="EJ32" s="19"/>
      <c r="EK32" s="19"/>
      <c r="EL32" s="19"/>
      <c r="EM32" s="19"/>
      <c r="EN32" s="19"/>
    </row>
    <row r="33" spans="3:149" ht="16.25" customHeight="1">
      <c r="C33" s="21"/>
      <c r="D33" s="265"/>
      <c r="E33" s="266"/>
      <c r="F33" s="266"/>
      <c r="G33" s="266"/>
      <c r="H33" s="266"/>
      <c r="I33" s="266"/>
      <c r="J33" s="266"/>
      <c r="K33" s="266"/>
      <c r="L33" s="266"/>
      <c r="M33" s="267"/>
      <c r="N33" s="268"/>
      <c r="O33" s="268"/>
      <c r="P33" s="268"/>
      <c r="Q33" s="268"/>
      <c r="R33" s="269"/>
      <c r="S33" s="269"/>
      <c r="T33" s="269"/>
      <c r="U33" s="269"/>
      <c r="V33" s="269"/>
      <c r="W33" s="269"/>
      <c r="X33" s="269"/>
      <c r="Y33" s="269"/>
      <c r="Z33" s="269"/>
      <c r="AA33" s="269"/>
      <c r="AB33" s="269"/>
      <c r="AC33" s="269"/>
      <c r="AD33" s="269"/>
      <c r="AE33" s="269"/>
      <c r="AF33" s="269"/>
      <c r="AG33" s="269"/>
      <c r="AH33" s="269"/>
      <c r="AI33" s="269"/>
      <c r="AJ33" s="269"/>
      <c r="AK33" s="269"/>
      <c r="AL33" s="269"/>
      <c r="AM33" s="269"/>
      <c r="AN33" s="269"/>
      <c r="AO33" s="269"/>
      <c r="AP33" s="269"/>
      <c r="AQ33" s="269"/>
      <c r="AR33" s="269"/>
      <c r="AS33" s="269"/>
      <c r="AT33" s="269"/>
      <c r="AU33" s="269"/>
      <c r="AV33" s="269"/>
      <c r="AW33" s="269"/>
      <c r="AX33" s="269"/>
      <c r="AY33" s="269"/>
      <c r="AZ33" s="269"/>
      <c r="BA33" s="269"/>
      <c r="BB33" s="269"/>
      <c r="BC33" s="269"/>
      <c r="BD33" s="269"/>
      <c r="BE33" s="269"/>
      <c r="BF33" s="269"/>
      <c r="BG33" s="269"/>
      <c r="BH33" s="269"/>
      <c r="BI33" s="269"/>
      <c r="BJ33" s="269"/>
      <c r="BK33" s="269"/>
      <c r="BL33" s="269"/>
      <c r="BM33" s="269"/>
      <c r="BN33" s="269"/>
      <c r="BO33" s="273"/>
      <c r="BP33" s="274"/>
      <c r="BQ33" s="274"/>
      <c r="BR33" s="275"/>
      <c r="BS33" s="11"/>
      <c r="BT33" s="10"/>
      <c r="CB33" s="49"/>
      <c r="CC33" s="50"/>
      <c r="CD33" s="50"/>
      <c r="CE33" s="14"/>
      <c r="CF33" s="50"/>
      <c r="CG33" s="50"/>
      <c r="CH33" s="50"/>
      <c r="CI33" s="50"/>
      <c r="CJ33" s="14"/>
      <c r="CK33" s="50"/>
      <c r="CL33" s="50"/>
      <c r="CM33" s="50"/>
      <c r="CN33" s="50"/>
      <c r="CO33" s="50"/>
      <c r="CP33" s="14"/>
      <c r="CQ33" s="50"/>
      <c r="CR33" s="50"/>
      <c r="CS33" s="50"/>
      <c r="CT33" s="50"/>
      <c r="CU33" s="14"/>
      <c r="CV33" s="50"/>
      <c r="CW33" s="50"/>
      <c r="CX33" s="50"/>
      <c r="CY33" s="50"/>
      <c r="CZ33" s="50"/>
      <c r="DA33" s="14"/>
      <c r="DB33" s="50"/>
      <c r="DC33" s="50"/>
      <c r="DD33" s="50"/>
      <c r="DE33" s="50"/>
      <c r="DF33" s="14"/>
      <c r="DG33" s="50"/>
      <c r="DH33" s="50"/>
      <c r="DI33" s="50"/>
      <c r="DJ33" s="50"/>
      <c r="DK33" s="50"/>
      <c r="DL33" s="14"/>
      <c r="DM33" s="50"/>
      <c r="DN33" s="50"/>
      <c r="DO33" s="50"/>
      <c r="DP33" s="50"/>
      <c r="DQ33" s="14"/>
      <c r="DR33" s="50"/>
      <c r="DS33" s="50"/>
      <c r="DT33" s="50"/>
      <c r="DU33" s="50"/>
      <c r="DV33" s="50"/>
      <c r="DW33" s="14"/>
      <c r="DX33" s="50"/>
      <c r="DY33" s="50"/>
      <c r="DZ33" s="50"/>
      <c r="EA33" s="50"/>
      <c r="EB33" s="14"/>
      <c r="EC33" s="50"/>
      <c r="ED33" s="50"/>
      <c r="EE33" s="50"/>
      <c r="EF33" s="50"/>
      <c r="EG33" s="50"/>
      <c r="EH33" s="14"/>
      <c r="EI33" s="50"/>
      <c r="EJ33" s="50"/>
      <c r="EK33" s="50"/>
      <c r="EL33" s="50"/>
      <c r="EM33" s="14"/>
      <c r="EN33" s="50"/>
      <c r="EO33" s="50"/>
      <c r="EP33" s="50"/>
      <c r="EQ33" s="14"/>
      <c r="ER33" s="14"/>
      <c r="ES33" s="13"/>
    </row>
    <row r="34" spans="3:149" ht="16.25" customHeight="1">
      <c r="C34" s="21"/>
      <c r="D34" s="262" t="s">
        <v>91</v>
      </c>
      <c r="E34" s="263"/>
      <c r="F34" s="263"/>
      <c r="G34" s="263"/>
      <c r="H34" s="263"/>
      <c r="I34" s="263"/>
      <c r="J34" s="263"/>
      <c r="K34" s="263"/>
      <c r="L34" s="263"/>
      <c r="M34" s="264"/>
      <c r="N34" s="268" t="str">
        <f>VLOOKUP($D$11,調査票①!$A$9:$HJ$30,23,FALSE)&amp;""</f>
        <v>　</v>
      </c>
      <c r="O34" s="268"/>
      <c r="P34" s="268"/>
      <c r="Q34" s="268"/>
      <c r="R34" s="269" t="str">
        <f>VLOOKUP($D$11,調査票①!$A$9:$HJ$30,24,FALSE)&amp;""</f>
        <v>　</v>
      </c>
      <c r="S34" s="269"/>
      <c r="T34" s="269"/>
      <c r="U34" s="269"/>
      <c r="V34" s="269"/>
      <c r="W34" s="269"/>
      <c r="X34" s="269"/>
      <c r="Y34" s="269"/>
      <c r="Z34" s="269"/>
      <c r="AA34" s="269"/>
      <c r="AB34" s="269"/>
      <c r="AC34" s="269"/>
      <c r="AD34" s="269"/>
      <c r="AE34" s="269"/>
      <c r="AF34" s="269"/>
      <c r="AG34" s="269"/>
      <c r="AH34" s="269"/>
      <c r="AI34" s="269"/>
      <c r="AJ34" s="269"/>
      <c r="AK34" s="269"/>
      <c r="AL34" s="269"/>
      <c r="AM34" s="269"/>
      <c r="AN34" s="269"/>
      <c r="AO34" s="269"/>
      <c r="AP34" s="269"/>
      <c r="AQ34" s="269"/>
      <c r="AR34" s="269"/>
      <c r="AS34" s="269"/>
      <c r="AT34" s="269"/>
      <c r="AU34" s="269"/>
      <c r="AV34" s="269"/>
      <c r="AW34" s="269"/>
      <c r="AX34" s="269"/>
      <c r="AY34" s="269"/>
      <c r="AZ34" s="269"/>
      <c r="BA34" s="269"/>
      <c r="BB34" s="269"/>
      <c r="BC34" s="269"/>
      <c r="BD34" s="269"/>
      <c r="BE34" s="269"/>
      <c r="BF34" s="269"/>
      <c r="BG34" s="269"/>
      <c r="BH34" s="269"/>
      <c r="BI34" s="269"/>
      <c r="BJ34" s="269"/>
      <c r="BK34" s="269"/>
      <c r="BL34" s="269"/>
      <c r="BM34" s="269"/>
      <c r="BN34" s="269"/>
      <c r="BO34" s="270">
        <f>調査票①!V30</f>
        <v>1</v>
      </c>
      <c r="BP34" s="271"/>
      <c r="BQ34" s="271"/>
      <c r="BR34" s="272"/>
      <c r="BS34" s="11"/>
      <c r="BT34" s="10"/>
      <c r="CB34" s="51"/>
      <c r="CC34" s="17"/>
      <c r="CD34" s="17"/>
      <c r="CE34" s="11"/>
      <c r="CF34" s="17"/>
      <c r="CG34" s="17"/>
      <c r="CH34" s="17"/>
      <c r="CI34" s="17"/>
      <c r="CJ34" s="11"/>
      <c r="CK34" s="17"/>
      <c r="CL34" s="17"/>
      <c r="CM34" s="17"/>
      <c r="CN34" s="17"/>
      <c r="CO34" s="17"/>
      <c r="CP34" s="11"/>
      <c r="CQ34" s="17"/>
      <c r="CR34" s="17"/>
      <c r="CS34" s="17"/>
      <c r="CT34" s="17"/>
      <c r="CU34" s="11"/>
      <c r="CV34" s="17"/>
      <c r="CW34" s="17"/>
      <c r="CX34" s="17"/>
      <c r="CY34" s="17"/>
      <c r="CZ34" s="17"/>
      <c r="DA34" s="11"/>
      <c r="DB34" s="17"/>
      <c r="DC34" s="17"/>
      <c r="DD34" s="17"/>
      <c r="DE34" s="17"/>
      <c r="DF34" s="11"/>
      <c r="DG34" s="17"/>
      <c r="DH34" s="17"/>
      <c r="DI34" s="17"/>
      <c r="DJ34" s="17"/>
      <c r="DK34" s="17"/>
      <c r="DL34" s="11"/>
      <c r="DM34" s="17"/>
      <c r="DN34" s="17"/>
      <c r="DO34" s="17"/>
      <c r="DP34" s="17"/>
      <c r="DQ34" s="11"/>
      <c r="DR34" s="17"/>
      <c r="DS34" s="17"/>
      <c r="DT34" s="17"/>
      <c r="DU34" s="17"/>
      <c r="DV34" s="17"/>
      <c r="DW34" s="11"/>
      <c r="DX34" s="17"/>
      <c r="DY34" s="17"/>
      <c r="DZ34" s="17"/>
      <c r="EA34" s="17"/>
      <c r="EB34" s="11"/>
      <c r="EC34" s="17"/>
      <c r="ED34" s="17"/>
      <c r="EE34" s="17"/>
      <c r="EF34" s="17"/>
      <c r="EG34" s="17"/>
      <c r="EH34" s="17"/>
      <c r="EI34" s="18" t="s">
        <v>82</v>
      </c>
      <c r="EJ34" s="17"/>
      <c r="EK34" s="17"/>
      <c r="EL34" s="17"/>
      <c r="EM34" s="11"/>
      <c r="EN34" s="17"/>
      <c r="EO34" s="17"/>
      <c r="EP34" s="17"/>
      <c r="EQ34" s="11"/>
      <c r="ER34" s="11"/>
      <c r="ES34" s="10"/>
    </row>
    <row r="35" spans="3:149" ht="16.25" customHeight="1">
      <c r="C35" s="21"/>
      <c r="D35" s="265"/>
      <c r="E35" s="266"/>
      <c r="F35" s="266"/>
      <c r="G35" s="266"/>
      <c r="H35" s="266"/>
      <c r="I35" s="266"/>
      <c r="J35" s="266"/>
      <c r="K35" s="266"/>
      <c r="L35" s="266"/>
      <c r="M35" s="267"/>
      <c r="N35" s="268"/>
      <c r="O35" s="268"/>
      <c r="P35" s="268"/>
      <c r="Q35" s="268"/>
      <c r="R35" s="269"/>
      <c r="S35" s="269"/>
      <c r="T35" s="269"/>
      <c r="U35" s="269"/>
      <c r="V35" s="269"/>
      <c r="W35" s="269"/>
      <c r="X35" s="269"/>
      <c r="Y35" s="269"/>
      <c r="Z35" s="269"/>
      <c r="AA35" s="269"/>
      <c r="AB35" s="269"/>
      <c r="AC35" s="269"/>
      <c r="AD35" s="269"/>
      <c r="AE35" s="269"/>
      <c r="AF35" s="269"/>
      <c r="AG35" s="269"/>
      <c r="AH35" s="269"/>
      <c r="AI35" s="269"/>
      <c r="AJ35" s="269"/>
      <c r="AK35" s="269"/>
      <c r="AL35" s="269"/>
      <c r="AM35" s="269"/>
      <c r="AN35" s="269"/>
      <c r="AO35" s="269"/>
      <c r="AP35" s="269"/>
      <c r="AQ35" s="269"/>
      <c r="AR35" s="269"/>
      <c r="AS35" s="269"/>
      <c r="AT35" s="269"/>
      <c r="AU35" s="269"/>
      <c r="AV35" s="269"/>
      <c r="AW35" s="269"/>
      <c r="AX35" s="269"/>
      <c r="AY35" s="269"/>
      <c r="AZ35" s="269"/>
      <c r="BA35" s="269"/>
      <c r="BB35" s="269"/>
      <c r="BC35" s="269"/>
      <c r="BD35" s="269"/>
      <c r="BE35" s="269"/>
      <c r="BF35" s="269"/>
      <c r="BG35" s="269"/>
      <c r="BH35" s="269"/>
      <c r="BI35" s="269"/>
      <c r="BJ35" s="269"/>
      <c r="BK35" s="269"/>
      <c r="BL35" s="269"/>
      <c r="BM35" s="269"/>
      <c r="BN35" s="269"/>
      <c r="BO35" s="273"/>
      <c r="BP35" s="274"/>
      <c r="BQ35" s="274"/>
      <c r="BR35" s="275"/>
      <c r="BS35" s="11"/>
      <c r="BT35" s="10"/>
      <c r="CB35" s="51"/>
      <c r="CC35" s="346" t="s">
        <v>47</v>
      </c>
      <c r="CD35" s="332"/>
      <c r="CE35" s="332"/>
      <c r="CF35" s="332"/>
      <c r="CG35" s="332"/>
      <c r="CH35" s="332"/>
      <c r="CI35" s="332"/>
      <c r="CJ35" s="332"/>
      <c r="CK35" s="332"/>
      <c r="CL35" s="333"/>
      <c r="CM35" s="346" t="s">
        <v>80</v>
      </c>
      <c r="CN35" s="332"/>
      <c r="CO35" s="332"/>
      <c r="CP35" s="332"/>
      <c r="CQ35" s="332"/>
      <c r="CR35" s="332"/>
      <c r="CS35" s="332"/>
      <c r="CT35" s="332"/>
      <c r="CU35" s="332"/>
      <c r="CV35" s="333"/>
      <c r="CW35" s="17"/>
      <c r="CX35" s="17"/>
      <c r="CY35" s="17"/>
      <c r="CZ35" s="17"/>
      <c r="DA35" s="17"/>
      <c r="DB35" s="268" t="s">
        <v>92</v>
      </c>
      <c r="DC35" s="268"/>
      <c r="DD35" s="268"/>
      <c r="DE35" s="268"/>
      <c r="DF35" s="268"/>
      <c r="DG35" s="268"/>
      <c r="DH35" s="268"/>
      <c r="DI35" s="268"/>
      <c r="DJ35" s="268"/>
      <c r="DK35" s="268"/>
      <c r="DL35" s="268"/>
      <c r="DM35" s="268"/>
      <c r="DN35" s="268"/>
      <c r="DO35" s="268"/>
      <c r="DP35" s="268"/>
      <c r="DQ35" s="268"/>
      <c r="DR35" s="332" t="s">
        <v>93</v>
      </c>
      <c r="DS35" s="332"/>
      <c r="DT35" s="332"/>
      <c r="DU35" s="332"/>
      <c r="DV35" s="332"/>
      <c r="DW35" s="332"/>
      <c r="DX35" s="332"/>
      <c r="DY35" s="332"/>
      <c r="DZ35" s="332"/>
      <c r="EA35" s="332"/>
      <c r="EB35" s="332"/>
      <c r="EC35" s="332"/>
      <c r="ED35" s="332"/>
      <c r="EE35" s="332"/>
      <c r="EF35" s="332"/>
      <c r="EG35" s="333"/>
      <c r="EH35" s="17"/>
      <c r="EI35" s="336" t="s">
        <v>84</v>
      </c>
      <c r="EJ35" s="337"/>
      <c r="EK35" s="337"/>
      <c r="EL35" s="337"/>
      <c r="EM35" s="337"/>
      <c r="EN35" s="337"/>
      <c r="EO35" s="337"/>
      <c r="EP35" s="338"/>
      <c r="EQ35" s="11"/>
      <c r="ER35" s="11"/>
      <c r="ES35" s="10"/>
    </row>
    <row r="36" spans="3:149" ht="16.25" customHeight="1">
      <c r="C36" s="21"/>
      <c r="D36" s="262" t="s">
        <v>94</v>
      </c>
      <c r="E36" s="263"/>
      <c r="F36" s="263"/>
      <c r="G36" s="263"/>
      <c r="H36" s="263"/>
      <c r="I36" s="263"/>
      <c r="J36" s="263"/>
      <c r="K36" s="263"/>
      <c r="L36" s="263"/>
      <c r="M36" s="264"/>
      <c r="N36" s="268" t="str">
        <f>VLOOKUP($D$11,調査票①!$A$9:$HJ$30,26,FALSE)&amp;""</f>
        <v>　</v>
      </c>
      <c r="O36" s="268"/>
      <c r="P36" s="268"/>
      <c r="Q36" s="268"/>
      <c r="R36" s="269" t="str">
        <f>VLOOKUP($D$11,調査票①!$A$9:$HJ$30,27,FALSE)&amp;""</f>
        <v>　</v>
      </c>
      <c r="S36" s="269"/>
      <c r="T36" s="269"/>
      <c r="U36" s="269"/>
      <c r="V36" s="269"/>
      <c r="W36" s="269"/>
      <c r="X36" s="269"/>
      <c r="Y36" s="269"/>
      <c r="Z36" s="269"/>
      <c r="AA36" s="269"/>
      <c r="AB36" s="269"/>
      <c r="AC36" s="269"/>
      <c r="AD36" s="269"/>
      <c r="AE36" s="269"/>
      <c r="AF36" s="269"/>
      <c r="AG36" s="269"/>
      <c r="AH36" s="269"/>
      <c r="AI36" s="269"/>
      <c r="AJ36" s="269"/>
      <c r="AK36" s="269"/>
      <c r="AL36" s="269"/>
      <c r="AM36" s="269"/>
      <c r="AN36" s="269"/>
      <c r="AO36" s="269"/>
      <c r="AP36" s="269"/>
      <c r="AQ36" s="269"/>
      <c r="AR36" s="269"/>
      <c r="AS36" s="269"/>
      <c r="AT36" s="269"/>
      <c r="AU36" s="269"/>
      <c r="AV36" s="269"/>
      <c r="AW36" s="269"/>
      <c r="AX36" s="269"/>
      <c r="AY36" s="269"/>
      <c r="AZ36" s="269"/>
      <c r="BA36" s="269"/>
      <c r="BB36" s="269"/>
      <c r="BC36" s="269"/>
      <c r="BD36" s="269"/>
      <c r="BE36" s="269"/>
      <c r="BF36" s="269"/>
      <c r="BG36" s="269"/>
      <c r="BH36" s="269"/>
      <c r="BI36" s="269"/>
      <c r="BJ36" s="269"/>
      <c r="BK36" s="269"/>
      <c r="BL36" s="269"/>
      <c r="BM36" s="269"/>
      <c r="BN36" s="269"/>
      <c r="BO36" s="270">
        <f>調査票①!Y30</f>
        <v>1</v>
      </c>
      <c r="BP36" s="271"/>
      <c r="BQ36" s="271"/>
      <c r="BR36" s="272"/>
      <c r="BS36" s="11"/>
      <c r="BT36" s="10"/>
      <c r="CB36" s="51"/>
      <c r="CC36" s="347"/>
      <c r="CD36" s="334"/>
      <c r="CE36" s="334"/>
      <c r="CF36" s="334"/>
      <c r="CG36" s="334"/>
      <c r="CH36" s="334"/>
      <c r="CI36" s="334"/>
      <c r="CJ36" s="334"/>
      <c r="CK36" s="334"/>
      <c r="CL36" s="335"/>
      <c r="CM36" s="347"/>
      <c r="CN36" s="334"/>
      <c r="CO36" s="334"/>
      <c r="CP36" s="334"/>
      <c r="CQ36" s="334"/>
      <c r="CR36" s="334"/>
      <c r="CS36" s="334"/>
      <c r="CT36" s="334"/>
      <c r="CU36" s="334"/>
      <c r="CV36" s="335"/>
      <c r="CW36" s="17"/>
      <c r="CX36" s="17"/>
      <c r="CY36" s="17"/>
      <c r="CZ36" s="17"/>
      <c r="DA36" s="17"/>
      <c r="DB36" s="268"/>
      <c r="DC36" s="268"/>
      <c r="DD36" s="268"/>
      <c r="DE36" s="268"/>
      <c r="DF36" s="268"/>
      <c r="DG36" s="268"/>
      <c r="DH36" s="268"/>
      <c r="DI36" s="268"/>
      <c r="DJ36" s="268"/>
      <c r="DK36" s="268"/>
      <c r="DL36" s="268"/>
      <c r="DM36" s="268"/>
      <c r="DN36" s="268"/>
      <c r="DO36" s="268"/>
      <c r="DP36" s="268"/>
      <c r="DQ36" s="268"/>
      <c r="DR36" s="334"/>
      <c r="DS36" s="334"/>
      <c r="DT36" s="334"/>
      <c r="DU36" s="334"/>
      <c r="DV36" s="334"/>
      <c r="DW36" s="334"/>
      <c r="DX36" s="334"/>
      <c r="DY36" s="334"/>
      <c r="DZ36" s="334"/>
      <c r="EA36" s="334"/>
      <c r="EB36" s="334"/>
      <c r="EC36" s="334"/>
      <c r="ED36" s="334"/>
      <c r="EE36" s="334"/>
      <c r="EF36" s="334"/>
      <c r="EG36" s="335"/>
      <c r="EH36" s="17"/>
      <c r="EI36" s="339" t="s">
        <v>95</v>
      </c>
      <c r="EJ36" s="340"/>
      <c r="EK36" s="340"/>
      <c r="EL36" s="341"/>
      <c r="EM36" s="345" t="s">
        <v>87</v>
      </c>
      <c r="EN36" s="340"/>
      <c r="EO36" s="340"/>
      <c r="EP36" s="341"/>
      <c r="EQ36" s="11"/>
      <c r="ER36" s="11"/>
      <c r="ES36" s="10"/>
    </row>
    <row r="37" spans="3:149" ht="16.25" customHeight="1">
      <c r="C37" s="21"/>
      <c r="D37" s="265"/>
      <c r="E37" s="266"/>
      <c r="F37" s="266"/>
      <c r="G37" s="266"/>
      <c r="H37" s="266"/>
      <c r="I37" s="266"/>
      <c r="J37" s="266"/>
      <c r="K37" s="266"/>
      <c r="L37" s="266"/>
      <c r="M37" s="267"/>
      <c r="N37" s="268"/>
      <c r="O37" s="268"/>
      <c r="P37" s="268"/>
      <c r="Q37" s="268"/>
      <c r="R37" s="269"/>
      <c r="S37" s="269"/>
      <c r="T37" s="269"/>
      <c r="U37" s="269"/>
      <c r="V37" s="269"/>
      <c r="W37" s="269"/>
      <c r="X37" s="269"/>
      <c r="Y37" s="269"/>
      <c r="Z37" s="269"/>
      <c r="AA37" s="269"/>
      <c r="AB37" s="269"/>
      <c r="AC37" s="269"/>
      <c r="AD37" s="269"/>
      <c r="AE37" s="269"/>
      <c r="AF37" s="269"/>
      <c r="AG37" s="269"/>
      <c r="AH37" s="269"/>
      <c r="AI37" s="269"/>
      <c r="AJ37" s="269"/>
      <c r="AK37" s="269"/>
      <c r="AL37" s="269"/>
      <c r="AM37" s="269"/>
      <c r="AN37" s="269"/>
      <c r="AO37" s="269"/>
      <c r="AP37" s="269"/>
      <c r="AQ37" s="269"/>
      <c r="AR37" s="269"/>
      <c r="AS37" s="269"/>
      <c r="AT37" s="269"/>
      <c r="AU37" s="269"/>
      <c r="AV37" s="269"/>
      <c r="AW37" s="269"/>
      <c r="AX37" s="269"/>
      <c r="AY37" s="269"/>
      <c r="AZ37" s="269"/>
      <c r="BA37" s="269"/>
      <c r="BB37" s="269"/>
      <c r="BC37" s="269"/>
      <c r="BD37" s="269"/>
      <c r="BE37" s="269"/>
      <c r="BF37" s="269"/>
      <c r="BG37" s="269"/>
      <c r="BH37" s="269"/>
      <c r="BI37" s="269"/>
      <c r="BJ37" s="269"/>
      <c r="BK37" s="269"/>
      <c r="BL37" s="269"/>
      <c r="BM37" s="269"/>
      <c r="BN37" s="269"/>
      <c r="BO37" s="273"/>
      <c r="BP37" s="274"/>
      <c r="BQ37" s="274"/>
      <c r="BR37" s="275"/>
      <c r="BS37" s="11"/>
      <c r="BT37" s="10"/>
      <c r="CB37" s="51"/>
      <c r="CC37" s="346" t="str">
        <f>VLOOKUP($D$11,調査票①!$A$9:$HJ$30,198,FALSE)&amp;""</f>
        <v>実施済</v>
      </c>
      <c r="CD37" s="332"/>
      <c r="CE37" s="332"/>
      <c r="CF37" s="332"/>
      <c r="CG37" s="332"/>
      <c r="CH37" s="332"/>
      <c r="CI37" s="332"/>
      <c r="CJ37" s="332"/>
      <c r="CK37" s="332"/>
      <c r="CL37" s="333"/>
      <c r="CM37" s="346" t="str">
        <f>VLOOKUP($D$11,調査票①!$A$9:$HJ$30,199,FALSE)&amp;""</f>
        <v>委託有</v>
      </c>
      <c r="CN37" s="332"/>
      <c r="CO37" s="332"/>
      <c r="CP37" s="332"/>
      <c r="CQ37" s="332"/>
      <c r="CR37" s="332"/>
      <c r="CS37" s="332"/>
      <c r="CT37" s="332"/>
      <c r="CU37" s="332"/>
      <c r="CV37" s="333"/>
      <c r="CW37" s="17"/>
      <c r="CX37" s="17"/>
      <c r="CY37" s="17"/>
      <c r="CZ37" s="17"/>
      <c r="DA37" s="17"/>
      <c r="DB37" s="348" t="s">
        <v>96</v>
      </c>
      <c r="DC37" s="348"/>
      <c r="DD37" s="348"/>
      <c r="DE37" s="348"/>
      <c r="DF37" s="348" t="s">
        <v>97</v>
      </c>
      <c r="DG37" s="348"/>
      <c r="DH37" s="348"/>
      <c r="DI37" s="348"/>
      <c r="DJ37" s="349" t="s">
        <v>98</v>
      </c>
      <c r="DK37" s="349"/>
      <c r="DL37" s="349"/>
      <c r="DM37" s="349"/>
      <c r="DN37" s="348" t="s">
        <v>99</v>
      </c>
      <c r="DO37" s="348"/>
      <c r="DP37" s="348"/>
      <c r="DQ37" s="348"/>
      <c r="DR37" s="361" t="s">
        <v>100</v>
      </c>
      <c r="DS37" s="361"/>
      <c r="DT37" s="361"/>
      <c r="DU37" s="362"/>
      <c r="DV37" s="355" t="s">
        <v>101</v>
      </c>
      <c r="DW37" s="356"/>
      <c r="DX37" s="356"/>
      <c r="DY37" s="357"/>
      <c r="DZ37" s="355" t="s">
        <v>102</v>
      </c>
      <c r="EA37" s="356"/>
      <c r="EB37" s="356"/>
      <c r="EC37" s="357"/>
      <c r="ED37" s="355" t="s">
        <v>103</v>
      </c>
      <c r="EE37" s="356"/>
      <c r="EF37" s="356"/>
      <c r="EG37" s="357"/>
      <c r="EH37" s="17"/>
      <c r="EI37" s="342"/>
      <c r="EJ37" s="343"/>
      <c r="EK37" s="343"/>
      <c r="EL37" s="344"/>
      <c r="EM37" s="342"/>
      <c r="EN37" s="343"/>
      <c r="EO37" s="343"/>
      <c r="EP37" s="344"/>
      <c r="EQ37" s="11"/>
      <c r="ER37" s="11"/>
      <c r="ES37" s="10"/>
    </row>
    <row r="38" spans="3:149" ht="16.25" customHeight="1">
      <c r="C38" s="21"/>
      <c r="D38" s="262" t="s">
        <v>104</v>
      </c>
      <c r="E38" s="263"/>
      <c r="F38" s="263"/>
      <c r="G38" s="263"/>
      <c r="H38" s="263"/>
      <c r="I38" s="263"/>
      <c r="J38" s="263"/>
      <c r="K38" s="263"/>
      <c r="L38" s="263"/>
      <c r="M38" s="264"/>
      <c r="N38" s="268" t="str">
        <f>VLOOKUP($D$11,調査票①!$A$9:$HJ$30,29,FALSE)&amp;""</f>
        <v>　</v>
      </c>
      <c r="O38" s="268"/>
      <c r="P38" s="268"/>
      <c r="Q38" s="268"/>
      <c r="R38" s="269" t="str">
        <f>VLOOKUP($D$11,調査票①!$A$9:$HJ$30,30,FALSE)&amp;""</f>
        <v>　</v>
      </c>
      <c r="S38" s="269"/>
      <c r="T38" s="269"/>
      <c r="U38" s="269"/>
      <c r="V38" s="269"/>
      <c r="W38" s="269"/>
      <c r="X38" s="269"/>
      <c r="Y38" s="269"/>
      <c r="Z38" s="269"/>
      <c r="AA38" s="269"/>
      <c r="AB38" s="269"/>
      <c r="AC38" s="269"/>
      <c r="AD38" s="269"/>
      <c r="AE38" s="269"/>
      <c r="AF38" s="269"/>
      <c r="AG38" s="269"/>
      <c r="AH38" s="269"/>
      <c r="AI38" s="269"/>
      <c r="AJ38" s="269"/>
      <c r="AK38" s="269"/>
      <c r="AL38" s="269"/>
      <c r="AM38" s="269"/>
      <c r="AN38" s="269"/>
      <c r="AO38" s="269"/>
      <c r="AP38" s="269"/>
      <c r="AQ38" s="269"/>
      <c r="AR38" s="269"/>
      <c r="AS38" s="269"/>
      <c r="AT38" s="269"/>
      <c r="AU38" s="269"/>
      <c r="AV38" s="269"/>
      <c r="AW38" s="269"/>
      <c r="AX38" s="269"/>
      <c r="AY38" s="269"/>
      <c r="AZ38" s="269"/>
      <c r="BA38" s="269"/>
      <c r="BB38" s="269"/>
      <c r="BC38" s="269"/>
      <c r="BD38" s="269"/>
      <c r="BE38" s="269"/>
      <c r="BF38" s="269"/>
      <c r="BG38" s="269"/>
      <c r="BH38" s="269"/>
      <c r="BI38" s="269"/>
      <c r="BJ38" s="269"/>
      <c r="BK38" s="269"/>
      <c r="BL38" s="269"/>
      <c r="BM38" s="269"/>
      <c r="BN38" s="269"/>
      <c r="BO38" s="270">
        <f>調査票①!AB30</f>
        <v>1</v>
      </c>
      <c r="BP38" s="271"/>
      <c r="BQ38" s="271"/>
      <c r="BR38" s="272"/>
      <c r="BS38" s="11"/>
      <c r="BT38" s="10"/>
      <c r="CB38" s="51"/>
      <c r="CC38" s="347"/>
      <c r="CD38" s="334"/>
      <c r="CE38" s="334"/>
      <c r="CF38" s="334"/>
      <c r="CG38" s="334"/>
      <c r="CH38" s="334"/>
      <c r="CI38" s="334"/>
      <c r="CJ38" s="334"/>
      <c r="CK38" s="334"/>
      <c r="CL38" s="335"/>
      <c r="CM38" s="347"/>
      <c r="CN38" s="334"/>
      <c r="CO38" s="334"/>
      <c r="CP38" s="334"/>
      <c r="CQ38" s="334"/>
      <c r="CR38" s="334"/>
      <c r="CS38" s="334"/>
      <c r="CT38" s="334"/>
      <c r="CU38" s="334"/>
      <c r="CV38" s="335"/>
      <c r="CW38" s="17"/>
      <c r="CX38" s="17"/>
      <c r="CY38" s="17"/>
      <c r="CZ38" s="17"/>
      <c r="DA38" s="17"/>
      <c r="DB38" s="348"/>
      <c r="DC38" s="348"/>
      <c r="DD38" s="348"/>
      <c r="DE38" s="348"/>
      <c r="DF38" s="348"/>
      <c r="DG38" s="348"/>
      <c r="DH38" s="348"/>
      <c r="DI38" s="348"/>
      <c r="DJ38" s="349"/>
      <c r="DK38" s="349"/>
      <c r="DL38" s="349"/>
      <c r="DM38" s="349"/>
      <c r="DN38" s="348"/>
      <c r="DO38" s="348"/>
      <c r="DP38" s="348"/>
      <c r="DQ38" s="348"/>
      <c r="DR38" s="363"/>
      <c r="DS38" s="363"/>
      <c r="DT38" s="363"/>
      <c r="DU38" s="364"/>
      <c r="DV38" s="358"/>
      <c r="DW38" s="359"/>
      <c r="DX38" s="359"/>
      <c r="DY38" s="360"/>
      <c r="DZ38" s="358"/>
      <c r="EA38" s="359"/>
      <c r="EB38" s="359"/>
      <c r="EC38" s="360"/>
      <c r="ED38" s="358"/>
      <c r="EE38" s="359"/>
      <c r="EF38" s="359"/>
      <c r="EG38" s="360"/>
      <c r="EH38" s="17"/>
      <c r="EI38" s="322">
        <f>調査票①!GP30</f>
        <v>0.85</v>
      </c>
      <c r="EJ38" s="323"/>
      <c r="EK38" s="323"/>
      <c r="EL38" s="324"/>
      <c r="EM38" s="322">
        <f>調査票①!GQ30</f>
        <v>0.65</v>
      </c>
      <c r="EN38" s="323"/>
      <c r="EO38" s="323"/>
      <c r="EP38" s="324"/>
      <c r="EQ38" s="11"/>
      <c r="ER38" s="11"/>
      <c r="ES38" s="10"/>
    </row>
    <row r="39" spans="3:149" ht="16.25" customHeight="1">
      <c r="C39" s="21"/>
      <c r="D39" s="265"/>
      <c r="E39" s="266"/>
      <c r="F39" s="266"/>
      <c r="G39" s="266"/>
      <c r="H39" s="266"/>
      <c r="I39" s="266"/>
      <c r="J39" s="266"/>
      <c r="K39" s="266"/>
      <c r="L39" s="266"/>
      <c r="M39" s="267"/>
      <c r="N39" s="268"/>
      <c r="O39" s="268"/>
      <c r="P39" s="268"/>
      <c r="Q39" s="268"/>
      <c r="R39" s="269"/>
      <c r="S39" s="269"/>
      <c r="T39" s="269"/>
      <c r="U39" s="269"/>
      <c r="V39" s="269"/>
      <c r="W39" s="269"/>
      <c r="X39" s="269"/>
      <c r="Y39" s="269"/>
      <c r="Z39" s="269"/>
      <c r="AA39" s="269"/>
      <c r="AB39" s="269"/>
      <c r="AC39" s="269"/>
      <c r="AD39" s="269"/>
      <c r="AE39" s="269"/>
      <c r="AF39" s="269"/>
      <c r="AG39" s="269"/>
      <c r="AH39" s="269"/>
      <c r="AI39" s="269"/>
      <c r="AJ39" s="269"/>
      <c r="AK39" s="269"/>
      <c r="AL39" s="269"/>
      <c r="AM39" s="269"/>
      <c r="AN39" s="269"/>
      <c r="AO39" s="269"/>
      <c r="AP39" s="269"/>
      <c r="AQ39" s="269"/>
      <c r="AR39" s="269"/>
      <c r="AS39" s="269"/>
      <c r="AT39" s="269"/>
      <c r="AU39" s="269"/>
      <c r="AV39" s="269"/>
      <c r="AW39" s="269"/>
      <c r="AX39" s="269"/>
      <c r="AY39" s="269"/>
      <c r="AZ39" s="269"/>
      <c r="BA39" s="269"/>
      <c r="BB39" s="269"/>
      <c r="BC39" s="269"/>
      <c r="BD39" s="269"/>
      <c r="BE39" s="269"/>
      <c r="BF39" s="269"/>
      <c r="BG39" s="269"/>
      <c r="BH39" s="269"/>
      <c r="BI39" s="269"/>
      <c r="BJ39" s="269"/>
      <c r="BK39" s="269"/>
      <c r="BL39" s="269"/>
      <c r="BM39" s="269"/>
      <c r="BN39" s="269"/>
      <c r="BO39" s="273"/>
      <c r="BP39" s="274"/>
      <c r="BQ39" s="274"/>
      <c r="BR39" s="275"/>
      <c r="BS39" s="11"/>
      <c r="BT39" s="10"/>
      <c r="CB39" s="51"/>
      <c r="CC39" s="17"/>
      <c r="CD39" s="11"/>
      <c r="CE39" s="17"/>
      <c r="CF39" s="17"/>
      <c r="CG39" s="17"/>
      <c r="CH39" s="17"/>
      <c r="CI39" s="11"/>
      <c r="CJ39" s="17"/>
      <c r="CK39" s="17"/>
      <c r="CL39" s="17"/>
      <c r="CM39" s="17"/>
      <c r="CN39" s="17"/>
      <c r="CO39" s="11"/>
      <c r="CP39" s="17"/>
      <c r="CQ39" s="17"/>
      <c r="CR39" s="17"/>
      <c r="CS39" s="17"/>
      <c r="CT39" s="11"/>
      <c r="CU39" s="17"/>
      <c r="CV39" s="17"/>
      <c r="CW39" s="17"/>
      <c r="CX39" s="17"/>
      <c r="CY39" s="17"/>
      <c r="CZ39" s="17"/>
      <c r="DA39" s="17"/>
      <c r="DB39" s="346" t="str">
        <f>VLOOKUP($D$11,調査票①!$A$9:$HJ$30,200,FALSE)&amp;""</f>
        <v>○</v>
      </c>
      <c r="DC39" s="350"/>
      <c r="DD39" s="350"/>
      <c r="DE39" s="351"/>
      <c r="DF39" s="346" t="str">
        <f>VLOOKUP($D$11,調査票①!$A$9:$HJ$30,201,FALSE)&amp;""</f>
        <v>○</v>
      </c>
      <c r="DG39" s="350"/>
      <c r="DH39" s="350"/>
      <c r="DI39" s="351"/>
      <c r="DJ39" s="346" t="str">
        <f>VLOOKUP($D$11,調査票①!$A$9:$HJ$30,202,FALSE)&amp;""</f>
        <v>○</v>
      </c>
      <c r="DK39" s="350"/>
      <c r="DL39" s="350"/>
      <c r="DM39" s="351"/>
      <c r="DN39" s="346" t="str">
        <f>VLOOKUP($D$11,調査票①!$A$9:$HJ$30,203,FALSE)&amp;""</f>
        <v>　</v>
      </c>
      <c r="DO39" s="350"/>
      <c r="DP39" s="350"/>
      <c r="DQ39" s="351"/>
      <c r="DR39" s="346" t="str">
        <f>VLOOKUP($D$11,調査票①!$A$9:$HJ$30,205,FALSE)&amp;""</f>
        <v>○</v>
      </c>
      <c r="DS39" s="350"/>
      <c r="DT39" s="350"/>
      <c r="DU39" s="351"/>
      <c r="DV39" s="346" t="str">
        <f>VLOOKUP($D$11,調査票①!$A$9:$HJ$30,206,FALSE)&amp;""</f>
        <v/>
      </c>
      <c r="DW39" s="350"/>
      <c r="DX39" s="350"/>
      <c r="DY39" s="351"/>
      <c r="DZ39" s="346" t="str">
        <f>VLOOKUP($D$11,調査票①!$A$9:$HJ$30,207,FALSE)&amp;""</f>
        <v>　</v>
      </c>
      <c r="EA39" s="350"/>
      <c r="EB39" s="350"/>
      <c r="EC39" s="351"/>
      <c r="ED39" s="346" t="str">
        <f>VLOOKUP($D$11,調査票①!$A$9:$HJ$30,208,FALSE)&amp;""</f>
        <v>　</v>
      </c>
      <c r="EE39" s="350"/>
      <c r="EF39" s="350"/>
      <c r="EG39" s="351"/>
      <c r="EH39" s="17"/>
      <c r="EI39" s="325"/>
      <c r="EJ39" s="326"/>
      <c r="EK39" s="326"/>
      <c r="EL39" s="327"/>
      <c r="EM39" s="325"/>
      <c r="EN39" s="326"/>
      <c r="EO39" s="326"/>
      <c r="EP39" s="327"/>
      <c r="EQ39" s="11"/>
      <c r="ER39" s="11"/>
      <c r="ES39" s="10"/>
    </row>
    <row r="40" spans="3:149" ht="16.25" customHeight="1">
      <c r="C40" s="21"/>
      <c r="D40" s="262" t="s">
        <v>105</v>
      </c>
      <c r="E40" s="263"/>
      <c r="F40" s="263"/>
      <c r="G40" s="263"/>
      <c r="H40" s="263"/>
      <c r="I40" s="263"/>
      <c r="J40" s="263"/>
      <c r="K40" s="263"/>
      <c r="L40" s="263"/>
      <c r="M40" s="264"/>
      <c r="N40" s="268" t="str">
        <f>VLOOKUP($D$11,調査票①!$A$9:$HJ$30,32,FALSE)&amp;""</f>
        <v/>
      </c>
      <c r="O40" s="268"/>
      <c r="P40" s="268"/>
      <c r="Q40" s="268"/>
      <c r="R40" s="317" t="str">
        <f>VLOOKUP($D$11,調査票①!$A$9:$HJ$30,33,FALSE)&amp;""</f>
        <v/>
      </c>
      <c r="S40" s="317"/>
      <c r="T40" s="317"/>
      <c r="U40" s="317"/>
      <c r="V40" s="317"/>
      <c r="W40" s="317"/>
      <c r="X40" s="317"/>
      <c r="Y40" s="317"/>
      <c r="Z40" s="317"/>
      <c r="AA40" s="317"/>
      <c r="AB40" s="317"/>
      <c r="AC40" s="317"/>
      <c r="AD40" s="317"/>
      <c r="AE40" s="317"/>
      <c r="AF40" s="317"/>
      <c r="AG40" s="317"/>
      <c r="AH40" s="317"/>
      <c r="AI40" s="317"/>
      <c r="AJ40" s="317"/>
      <c r="AK40" s="317"/>
      <c r="AL40" s="317"/>
      <c r="AM40" s="317"/>
      <c r="AN40" s="317"/>
      <c r="AO40" s="317"/>
      <c r="AP40" s="317"/>
      <c r="AQ40" s="317"/>
      <c r="AR40" s="317"/>
      <c r="AS40" s="317"/>
      <c r="AT40" s="317"/>
      <c r="AU40" s="317"/>
      <c r="AV40" s="317"/>
      <c r="AW40" s="317"/>
      <c r="AX40" s="317"/>
      <c r="AY40" s="317"/>
      <c r="AZ40" s="317"/>
      <c r="BA40" s="317"/>
      <c r="BB40" s="317"/>
      <c r="BC40" s="317"/>
      <c r="BD40" s="317"/>
      <c r="BE40" s="317"/>
      <c r="BF40" s="317"/>
      <c r="BG40" s="317"/>
      <c r="BH40" s="317"/>
      <c r="BI40" s="317"/>
      <c r="BJ40" s="317"/>
      <c r="BK40" s="317"/>
      <c r="BL40" s="317"/>
      <c r="BM40" s="317"/>
      <c r="BN40" s="317"/>
      <c r="BO40" s="270">
        <f>調査票①!AE30</f>
        <v>0.45</v>
      </c>
      <c r="BP40" s="271"/>
      <c r="BQ40" s="271"/>
      <c r="BR40" s="272"/>
      <c r="BS40" s="11"/>
      <c r="BT40" s="10"/>
      <c r="CB40" s="51"/>
      <c r="CC40" s="17"/>
      <c r="CD40" s="17"/>
      <c r="CE40" s="17"/>
      <c r="CF40" s="17"/>
      <c r="CG40" s="17"/>
      <c r="CH40" s="17"/>
      <c r="CI40" s="17"/>
      <c r="CJ40" s="17"/>
      <c r="CK40" s="17"/>
      <c r="CL40" s="17"/>
      <c r="CM40" s="17"/>
      <c r="CN40" s="17"/>
      <c r="CO40" s="11"/>
      <c r="CP40" s="17"/>
      <c r="CQ40" s="17"/>
      <c r="CR40" s="17"/>
      <c r="CS40" s="17"/>
      <c r="CT40" s="11"/>
      <c r="CU40" s="17"/>
      <c r="CV40" s="17"/>
      <c r="CW40" s="17"/>
      <c r="CX40" s="17"/>
      <c r="CY40" s="17"/>
      <c r="CZ40" s="17"/>
      <c r="DA40" s="17"/>
      <c r="DB40" s="352"/>
      <c r="DC40" s="353"/>
      <c r="DD40" s="353"/>
      <c r="DE40" s="354"/>
      <c r="DF40" s="352"/>
      <c r="DG40" s="353"/>
      <c r="DH40" s="353"/>
      <c r="DI40" s="354"/>
      <c r="DJ40" s="352"/>
      <c r="DK40" s="353"/>
      <c r="DL40" s="353"/>
      <c r="DM40" s="354"/>
      <c r="DN40" s="352"/>
      <c r="DO40" s="353"/>
      <c r="DP40" s="353"/>
      <c r="DQ40" s="354"/>
      <c r="DR40" s="352"/>
      <c r="DS40" s="353"/>
      <c r="DT40" s="353"/>
      <c r="DU40" s="354"/>
      <c r="DV40" s="352"/>
      <c r="DW40" s="353"/>
      <c r="DX40" s="353"/>
      <c r="DY40" s="354"/>
      <c r="DZ40" s="352"/>
      <c r="EA40" s="353"/>
      <c r="EB40" s="353"/>
      <c r="EC40" s="354"/>
      <c r="ED40" s="352"/>
      <c r="EE40" s="353"/>
      <c r="EF40" s="353"/>
      <c r="EG40" s="354"/>
      <c r="EH40" s="17"/>
      <c r="EI40" s="17"/>
      <c r="EJ40" s="17"/>
      <c r="EK40" s="11"/>
      <c r="EL40" s="17"/>
      <c r="EM40" s="17"/>
      <c r="EN40" s="17"/>
      <c r="EO40" s="17"/>
      <c r="EP40" s="17"/>
      <c r="EQ40" s="11"/>
      <c r="ER40" s="11"/>
      <c r="ES40" s="10"/>
    </row>
    <row r="41" spans="3:149" ht="16.25" customHeight="1">
      <c r="C41" s="21"/>
      <c r="D41" s="265"/>
      <c r="E41" s="266"/>
      <c r="F41" s="266"/>
      <c r="G41" s="266"/>
      <c r="H41" s="266"/>
      <c r="I41" s="266"/>
      <c r="J41" s="266"/>
      <c r="K41" s="266"/>
      <c r="L41" s="266"/>
      <c r="M41" s="267"/>
      <c r="N41" s="268"/>
      <c r="O41" s="268"/>
      <c r="P41" s="268"/>
      <c r="Q41" s="268"/>
      <c r="R41" s="317"/>
      <c r="S41" s="317"/>
      <c r="T41" s="317"/>
      <c r="U41" s="317"/>
      <c r="V41" s="317"/>
      <c r="W41" s="317"/>
      <c r="X41" s="317"/>
      <c r="Y41" s="317"/>
      <c r="Z41" s="317"/>
      <c r="AA41" s="317"/>
      <c r="AB41" s="317"/>
      <c r="AC41" s="317"/>
      <c r="AD41" s="317"/>
      <c r="AE41" s="317"/>
      <c r="AF41" s="317"/>
      <c r="AG41" s="317"/>
      <c r="AH41" s="317"/>
      <c r="AI41" s="317"/>
      <c r="AJ41" s="317"/>
      <c r="AK41" s="317"/>
      <c r="AL41" s="317"/>
      <c r="AM41" s="317"/>
      <c r="AN41" s="317"/>
      <c r="AO41" s="317"/>
      <c r="AP41" s="317"/>
      <c r="AQ41" s="317"/>
      <c r="AR41" s="317"/>
      <c r="AS41" s="317"/>
      <c r="AT41" s="317"/>
      <c r="AU41" s="317"/>
      <c r="AV41" s="317"/>
      <c r="AW41" s="317"/>
      <c r="AX41" s="317"/>
      <c r="AY41" s="317"/>
      <c r="AZ41" s="317"/>
      <c r="BA41" s="317"/>
      <c r="BB41" s="317"/>
      <c r="BC41" s="317"/>
      <c r="BD41" s="317"/>
      <c r="BE41" s="317"/>
      <c r="BF41" s="317"/>
      <c r="BG41" s="317"/>
      <c r="BH41" s="317"/>
      <c r="BI41" s="317"/>
      <c r="BJ41" s="317"/>
      <c r="BK41" s="317"/>
      <c r="BL41" s="317"/>
      <c r="BM41" s="317"/>
      <c r="BN41" s="317"/>
      <c r="BO41" s="273"/>
      <c r="BP41" s="274"/>
      <c r="BQ41" s="274"/>
      <c r="BR41" s="275"/>
      <c r="BS41" s="11"/>
      <c r="BT41" s="10"/>
      <c r="CB41" s="51"/>
      <c r="CC41" s="17"/>
      <c r="CD41" s="17"/>
      <c r="CE41" s="17"/>
      <c r="CF41" s="17"/>
      <c r="CG41" s="17"/>
      <c r="CH41" s="17"/>
      <c r="CI41" s="17"/>
      <c r="CJ41" s="17"/>
      <c r="CK41" s="17"/>
      <c r="CL41" s="17"/>
      <c r="CM41" s="17"/>
      <c r="CN41" s="17"/>
      <c r="CO41" s="11"/>
      <c r="CP41" s="17"/>
      <c r="CQ41" s="17"/>
      <c r="CR41" s="17"/>
      <c r="CS41" s="17"/>
      <c r="CT41" s="11"/>
      <c r="CU41" s="17"/>
      <c r="CV41" s="17"/>
      <c r="CW41" s="17"/>
      <c r="CX41" s="17"/>
      <c r="CY41" s="17"/>
      <c r="CZ41" s="17"/>
      <c r="DA41" s="17"/>
      <c r="DB41" s="17"/>
      <c r="DC41" s="17"/>
      <c r="DD41" s="17"/>
      <c r="DE41" s="17"/>
      <c r="DF41" s="17"/>
      <c r="DG41" s="17"/>
      <c r="DH41" s="17"/>
      <c r="DI41" s="17"/>
      <c r="DJ41" s="17"/>
      <c r="DK41" s="17"/>
      <c r="DL41" s="17"/>
      <c r="DM41" s="17"/>
      <c r="DN41" s="17"/>
      <c r="DO41" s="17"/>
      <c r="DP41" s="17"/>
      <c r="DQ41" s="17"/>
      <c r="DR41" s="17"/>
      <c r="DS41" s="17"/>
      <c r="DT41" s="17"/>
      <c r="DU41" s="17"/>
      <c r="DV41" s="17"/>
      <c r="DW41" s="17"/>
      <c r="DX41" s="17"/>
      <c r="DY41" s="17"/>
      <c r="DZ41" s="17"/>
      <c r="EA41" s="17"/>
      <c r="EB41" s="17"/>
      <c r="EC41" s="17"/>
      <c r="ED41" s="17"/>
      <c r="EE41" s="17"/>
      <c r="EF41" s="17"/>
      <c r="EG41" s="17"/>
      <c r="EH41" s="17"/>
      <c r="EI41" s="17"/>
      <c r="EJ41" s="17"/>
      <c r="EK41" s="11"/>
      <c r="EL41" s="17"/>
      <c r="EM41" s="17"/>
      <c r="EN41" s="17"/>
      <c r="EO41" s="17"/>
      <c r="EP41" s="17"/>
      <c r="EQ41" s="11"/>
      <c r="ER41" s="11"/>
      <c r="ES41" s="10"/>
    </row>
    <row r="42" spans="3:149" ht="16.25" customHeight="1">
      <c r="C42" s="21"/>
      <c r="D42" s="262" t="s">
        <v>106</v>
      </c>
      <c r="E42" s="263"/>
      <c r="F42" s="263"/>
      <c r="G42" s="263"/>
      <c r="H42" s="263"/>
      <c r="I42" s="263"/>
      <c r="J42" s="263"/>
      <c r="K42" s="263"/>
      <c r="L42" s="263"/>
      <c r="M42" s="264"/>
      <c r="N42" s="268" t="str">
        <f>VLOOKUP($D$11,調査票①!$A$9:$HJ$30,35,FALSE)&amp;""</f>
        <v>　</v>
      </c>
      <c r="O42" s="268"/>
      <c r="P42" s="268"/>
      <c r="Q42" s="268"/>
      <c r="R42" s="269" t="str">
        <f>VLOOKUP($D$11,調査票①!$A$9:$HJ$30,36,FALSE)&amp;""</f>
        <v>　</v>
      </c>
      <c r="S42" s="269"/>
      <c r="T42" s="269"/>
      <c r="U42" s="269"/>
      <c r="V42" s="269"/>
      <c r="W42" s="269"/>
      <c r="X42" s="269"/>
      <c r="Y42" s="269"/>
      <c r="Z42" s="269"/>
      <c r="AA42" s="269"/>
      <c r="AB42" s="269"/>
      <c r="AC42" s="269"/>
      <c r="AD42" s="269"/>
      <c r="AE42" s="269"/>
      <c r="AF42" s="269"/>
      <c r="AG42" s="269"/>
      <c r="AH42" s="269"/>
      <c r="AI42" s="269"/>
      <c r="AJ42" s="269"/>
      <c r="AK42" s="269"/>
      <c r="AL42" s="269"/>
      <c r="AM42" s="269"/>
      <c r="AN42" s="269"/>
      <c r="AO42" s="269"/>
      <c r="AP42" s="269"/>
      <c r="AQ42" s="269"/>
      <c r="AR42" s="269"/>
      <c r="AS42" s="269"/>
      <c r="AT42" s="269"/>
      <c r="AU42" s="269"/>
      <c r="AV42" s="269"/>
      <c r="AW42" s="269"/>
      <c r="AX42" s="269"/>
      <c r="AY42" s="269"/>
      <c r="AZ42" s="269"/>
      <c r="BA42" s="269"/>
      <c r="BB42" s="269"/>
      <c r="BC42" s="269"/>
      <c r="BD42" s="269"/>
      <c r="BE42" s="269"/>
      <c r="BF42" s="269"/>
      <c r="BG42" s="269"/>
      <c r="BH42" s="269"/>
      <c r="BI42" s="269"/>
      <c r="BJ42" s="269"/>
      <c r="BK42" s="269"/>
      <c r="BL42" s="269"/>
      <c r="BM42" s="269"/>
      <c r="BN42" s="269"/>
      <c r="BO42" s="270">
        <f>調査票①!AH30</f>
        <v>0.95</v>
      </c>
      <c r="BP42" s="271"/>
      <c r="BQ42" s="271"/>
      <c r="BR42" s="272"/>
      <c r="BS42" s="11"/>
      <c r="BT42" s="10"/>
      <c r="CB42" s="51"/>
      <c r="CC42" s="17"/>
      <c r="CD42" s="11"/>
      <c r="CE42" s="17"/>
      <c r="CF42" s="17"/>
      <c r="CG42" s="17"/>
      <c r="CH42" s="17"/>
      <c r="CI42" s="11"/>
      <c r="CJ42" s="17"/>
      <c r="CK42" s="17"/>
      <c r="CL42" s="17"/>
      <c r="CM42" s="17"/>
      <c r="CN42" s="17"/>
      <c r="CO42" s="11"/>
      <c r="CP42" s="17"/>
      <c r="CQ42" s="17"/>
      <c r="CR42" s="17"/>
      <c r="CS42" s="17"/>
      <c r="CT42" s="11"/>
      <c r="CU42" s="17"/>
      <c r="CV42" s="17"/>
      <c r="CW42" s="17"/>
      <c r="CX42" s="17"/>
      <c r="CY42" s="17"/>
      <c r="CZ42" s="17"/>
      <c r="DA42" s="17"/>
      <c r="DB42" s="17"/>
      <c r="DC42" s="17"/>
      <c r="DD42" s="17"/>
      <c r="DE42" s="17"/>
      <c r="DF42" s="17"/>
      <c r="DG42" s="17"/>
      <c r="DH42" s="17"/>
      <c r="DI42" s="17"/>
      <c r="DJ42" s="17"/>
      <c r="DK42" s="17"/>
      <c r="DL42" s="17"/>
      <c r="DM42" s="17"/>
      <c r="DN42" s="17"/>
      <c r="DO42" s="17"/>
      <c r="DP42" s="17"/>
      <c r="DQ42" s="17"/>
      <c r="DR42" s="17"/>
      <c r="DS42" s="17"/>
      <c r="DT42" s="17"/>
      <c r="DU42" s="17"/>
      <c r="DV42" s="17"/>
      <c r="DW42" s="17"/>
      <c r="DX42" s="17"/>
      <c r="DY42" s="17"/>
      <c r="DZ42" s="17"/>
      <c r="EA42" s="17"/>
      <c r="EB42" s="17"/>
      <c r="EC42" s="17"/>
      <c r="ED42" s="17"/>
      <c r="EE42" s="17"/>
      <c r="EF42" s="17"/>
      <c r="EG42" s="17"/>
      <c r="EH42" s="17"/>
      <c r="EI42" s="17"/>
      <c r="EJ42" s="17"/>
      <c r="EK42" s="17"/>
      <c r="EL42" s="17"/>
      <c r="EM42" s="17"/>
      <c r="EN42" s="17"/>
      <c r="EO42" s="17"/>
      <c r="EP42" s="17"/>
      <c r="EQ42" s="11"/>
      <c r="ER42" s="11"/>
      <c r="ES42" s="10"/>
    </row>
    <row r="43" spans="3:149" ht="16.25" customHeight="1">
      <c r="C43" s="21"/>
      <c r="D43" s="265"/>
      <c r="E43" s="266"/>
      <c r="F43" s="266"/>
      <c r="G43" s="266"/>
      <c r="H43" s="266"/>
      <c r="I43" s="266"/>
      <c r="J43" s="266"/>
      <c r="K43" s="266"/>
      <c r="L43" s="266"/>
      <c r="M43" s="267"/>
      <c r="N43" s="268"/>
      <c r="O43" s="268"/>
      <c r="P43" s="268"/>
      <c r="Q43" s="268"/>
      <c r="R43" s="269"/>
      <c r="S43" s="269"/>
      <c r="T43" s="269"/>
      <c r="U43" s="269"/>
      <c r="V43" s="269"/>
      <c r="W43" s="269"/>
      <c r="X43" s="269"/>
      <c r="Y43" s="269"/>
      <c r="Z43" s="269"/>
      <c r="AA43" s="269"/>
      <c r="AB43" s="269"/>
      <c r="AC43" s="269"/>
      <c r="AD43" s="269"/>
      <c r="AE43" s="269"/>
      <c r="AF43" s="269"/>
      <c r="AG43" s="269"/>
      <c r="AH43" s="269"/>
      <c r="AI43" s="269"/>
      <c r="AJ43" s="269"/>
      <c r="AK43" s="269"/>
      <c r="AL43" s="269"/>
      <c r="AM43" s="269"/>
      <c r="AN43" s="269"/>
      <c r="AO43" s="269"/>
      <c r="AP43" s="269"/>
      <c r="AQ43" s="269"/>
      <c r="AR43" s="269"/>
      <c r="AS43" s="269"/>
      <c r="AT43" s="269"/>
      <c r="AU43" s="269"/>
      <c r="AV43" s="269"/>
      <c r="AW43" s="269"/>
      <c r="AX43" s="269"/>
      <c r="AY43" s="269"/>
      <c r="AZ43" s="269"/>
      <c r="BA43" s="269"/>
      <c r="BB43" s="269"/>
      <c r="BC43" s="269"/>
      <c r="BD43" s="269"/>
      <c r="BE43" s="269"/>
      <c r="BF43" s="269"/>
      <c r="BG43" s="269"/>
      <c r="BH43" s="269"/>
      <c r="BI43" s="269"/>
      <c r="BJ43" s="269"/>
      <c r="BK43" s="269"/>
      <c r="BL43" s="269"/>
      <c r="BM43" s="269"/>
      <c r="BN43" s="269"/>
      <c r="BO43" s="273"/>
      <c r="BP43" s="274"/>
      <c r="BQ43" s="274"/>
      <c r="BR43" s="275"/>
      <c r="BS43" s="11"/>
      <c r="BT43" s="10"/>
      <c r="CB43" s="51"/>
      <c r="CC43" s="17"/>
      <c r="CD43" s="17"/>
      <c r="CE43" s="17"/>
      <c r="CF43" s="17"/>
      <c r="CG43" s="17"/>
      <c r="CH43" s="17"/>
      <c r="CI43" s="17"/>
      <c r="CJ43" s="17"/>
      <c r="CK43" s="17"/>
      <c r="CL43" s="17"/>
      <c r="CM43" s="17"/>
      <c r="CN43" s="17"/>
      <c r="CO43" s="17"/>
      <c r="CP43" s="17"/>
      <c r="CQ43" s="17"/>
      <c r="CR43" s="17"/>
      <c r="CS43" s="17"/>
      <c r="CT43" s="17"/>
      <c r="CU43" s="17"/>
      <c r="CV43" s="17"/>
      <c r="CW43" s="17"/>
      <c r="CX43" s="17"/>
      <c r="CY43" s="17"/>
      <c r="CZ43" s="17"/>
      <c r="DA43" s="17"/>
      <c r="DB43" s="17"/>
      <c r="DC43" s="17"/>
      <c r="DD43" s="17"/>
      <c r="DE43" s="17"/>
      <c r="DF43" s="17"/>
      <c r="DG43" s="17"/>
      <c r="DH43" s="17"/>
      <c r="DI43" s="17"/>
      <c r="DJ43" s="17"/>
      <c r="DK43" s="17"/>
      <c r="DL43" s="17"/>
      <c r="DM43" s="17"/>
      <c r="DN43" s="17"/>
      <c r="DO43" s="17"/>
      <c r="DP43" s="17"/>
      <c r="DQ43" s="17"/>
      <c r="DR43" s="17"/>
      <c r="DS43" s="17"/>
      <c r="DT43" s="17"/>
      <c r="DU43" s="17"/>
      <c r="DV43" s="17"/>
      <c r="DW43" s="17"/>
      <c r="DX43" s="17"/>
      <c r="DY43" s="17"/>
      <c r="DZ43" s="17"/>
      <c r="EA43" s="17"/>
      <c r="EB43" s="17"/>
      <c r="EC43" s="17"/>
      <c r="ED43" s="17"/>
      <c r="EE43" s="17"/>
      <c r="EF43" s="17"/>
      <c r="EG43" s="17"/>
      <c r="EH43" s="17"/>
      <c r="EI43" s="17"/>
      <c r="EJ43" s="17"/>
      <c r="EK43" s="17"/>
      <c r="EL43" s="17"/>
      <c r="EM43" s="17"/>
      <c r="EN43" s="17"/>
      <c r="EO43" s="17"/>
      <c r="EP43" s="17"/>
      <c r="EQ43" s="11"/>
      <c r="ER43" s="11"/>
      <c r="ES43" s="10"/>
    </row>
    <row r="44" spans="3:149" ht="16.25" customHeight="1">
      <c r="C44" s="21"/>
      <c r="D44" s="365" t="s">
        <v>107</v>
      </c>
      <c r="E44" s="366"/>
      <c r="F44" s="366"/>
      <c r="G44" s="366"/>
      <c r="H44" s="366"/>
      <c r="I44" s="366"/>
      <c r="J44" s="366"/>
      <c r="K44" s="366"/>
      <c r="L44" s="366"/>
      <c r="M44" s="367"/>
      <c r="N44" s="268" t="str">
        <f>VLOOKUP($D$11,調査票①!$A$9:$HJ$30,38,FALSE)&amp;""</f>
        <v>　</v>
      </c>
      <c r="O44" s="268"/>
      <c r="P44" s="268"/>
      <c r="Q44" s="268"/>
      <c r="R44" s="269" t="str">
        <f>VLOOKUP($D$11,調査票①!$A$9:$HJ$30,39,FALSE)&amp;""</f>
        <v>　</v>
      </c>
      <c r="S44" s="269"/>
      <c r="T44" s="269"/>
      <c r="U44" s="269"/>
      <c r="V44" s="269"/>
      <c r="W44" s="269"/>
      <c r="X44" s="269"/>
      <c r="Y44" s="269"/>
      <c r="Z44" s="269"/>
      <c r="AA44" s="269"/>
      <c r="AB44" s="269"/>
      <c r="AC44" s="269"/>
      <c r="AD44" s="269"/>
      <c r="AE44" s="269"/>
      <c r="AF44" s="269"/>
      <c r="AG44" s="269"/>
      <c r="AH44" s="269"/>
      <c r="AI44" s="269"/>
      <c r="AJ44" s="269"/>
      <c r="AK44" s="269"/>
      <c r="AL44" s="269"/>
      <c r="AM44" s="269"/>
      <c r="AN44" s="269"/>
      <c r="AO44" s="269"/>
      <c r="AP44" s="269"/>
      <c r="AQ44" s="269"/>
      <c r="AR44" s="269"/>
      <c r="AS44" s="269"/>
      <c r="AT44" s="269"/>
      <c r="AU44" s="269"/>
      <c r="AV44" s="269"/>
      <c r="AW44" s="269"/>
      <c r="AX44" s="269"/>
      <c r="AY44" s="269"/>
      <c r="AZ44" s="269"/>
      <c r="BA44" s="269"/>
      <c r="BB44" s="269"/>
      <c r="BC44" s="269"/>
      <c r="BD44" s="269"/>
      <c r="BE44" s="269"/>
      <c r="BF44" s="269"/>
      <c r="BG44" s="269"/>
      <c r="BH44" s="269"/>
      <c r="BI44" s="269"/>
      <c r="BJ44" s="269"/>
      <c r="BK44" s="269"/>
      <c r="BL44" s="269"/>
      <c r="BM44" s="269"/>
      <c r="BN44" s="269"/>
      <c r="BO44" s="270">
        <f>調査票①!AK30</f>
        <v>1</v>
      </c>
      <c r="BP44" s="271"/>
      <c r="BQ44" s="271"/>
      <c r="BR44" s="272"/>
      <c r="BS44" s="11"/>
      <c r="BT44" s="10"/>
      <c r="CB44" s="51"/>
      <c r="CC44" s="17"/>
      <c r="CD44" s="17"/>
      <c r="CE44" s="17"/>
      <c r="CF44" s="17"/>
      <c r="CG44" s="17"/>
      <c r="CH44" s="17"/>
      <c r="CI44" s="17"/>
      <c r="CJ44" s="17"/>
      <c r="CK44" s="17"/>
      <c r="CL44" s="17"/>
      <c r="CM44" s="17"/>
      <c r="CN44" s="17" t="s">
        <v>108</v>
      </c>
      <c r="CO44" s="17"/>
      <c r="CP44" s="17"/>
      <c r="CQ44" s="17"/>
      <c r="CR44" s="17"/>
      <c r="CS44" s="17"/>
      <c r="CT44" s="17"/>
      <c r="CU44" s="17"/>
      <c r="CV44" s="17"/>
      <c r="CW44" s="17"/>
      <c r="CX44" s="17"/>
      <c r="CY44" s="17"/>
      <c r="CZ44" s="17"/>
      <c r="DA44" s="17"/>
      <c r="DB44" s="17"/>
      <c r="DC44" s="17"/>
      <c r="DD44" s="17"/>
      <c r="DE44" s="17"/>
      <c r="DF44" s="17"/>
      <c r="DG44" s="17"/>
      <c r="DH44" s="17"/>
      <c r="DI44" s="17"/>
      <c r="DJ44" s="17"/>
      <c r="DK44" s="17"/>
      <c r="DL44" s="17"/>
      <c r="DM44" s="17"/>
      <c r="DN44" s="17"/>
      <c r="DO44" s="17"/>
      <c r="DP44" s="17"/>
      <c r="DQ44" s="17"/>
      <c r="DR44" s="17"/>
      <c r="DS44" s="17"/>
      <c r="DT44" s="17"/>
      <c r="DU44" s="17"/>
      <c r="DV44" s="17"/>
      <c r="DW44" s="17"/>
      <c r="DX44" s="17"/>
      <c r="DY44" s="17"/>
      <c r="DZ44" s="17"/>
      <c r="EA44" s="17"/>
      <c r="EB44" s="17"/>
      <c r="EC44" s="17"/>
      <c r="ED44" s="17"/>
      <c r="EE44" s="17"/>
      <c r="EF44" s="17"/>
      <c r="EG44" s="17"/>
      <c r="EH44" s="17"/>
      <c r="EI44" s="17"/>
      <c r="EJ44" s="17"/>
      <c r="EK44" s="11"/>
      <c r="EL44" s="17"/>
      <c r="EM44" s="17"/>
      <c r="EN44" s="17"/>
      <c r="EO44" s="17"/>
      <c r="EP44" s="17"/>
      <c r="EQ44" s="11"/>
      <c r="ER44" s="11"/>
      <c r="ES44" s="10"/>
    </row>
    <row r="45" spans="3:149" ht="16.25" customHeight="1">
      <c r="C45" s="21"/>
      <c r="D45" s="368"/>
      <c r="E45" s="369"/>
      <c r="F45" s="369"/>
      <c r="G45" s="369"/>
      <c r="H45" s="369"/>
      <c r="I45" s="369"/>
      <c r="J45" s="369"/>
      <c r="K45" s="369"/>
      <c r="L45" s="369"/>
      <c r="M45" s="370"/>
      <c r="N45" s="268"/>
      <c r="O45" s="268"/>
      <c r="P45" s="268"/>
      <c r="Q45" s="268"/>
      <c r="R45" s="269"/>
      <c r="S45" s="269"/>
      <c r="T45" s="269"/>
      <c r="U45" s="269"/>
      <c r="V45" s="269"/>
      <c r="W45" s="269"/>
      <c r="X45" s="269"/>
      <c r="Y45" s="269"/>
      <c r="Z45" s="269"/>
      <c r="AA45" s="269"/>
      <c r="AB45" s="269"/>
      <c r="AC45" s="269"/>
      <c r="AD45" s="269"/>
      <c r="AE45" s="269"/>
      <c r="AF45" s="269"/>
      <c r="AG45" s="269"/>
      <c r="AH45" s="269"/>
      <c r="AI45" s="269"/>
      <c r="AJ45" s="269"/>
      <c r="AK45" s="269"/>
      <c r="AL45" s="269"/>
      <c r="AM45" s="269"/>
      <c r="AN45" s="269"/>
      <c r="AO45" s="269"/>
      <c r="AP45" s="269"/>
      <c r="AQ45" s="269"/>
      <c r="AR45" s="269"/>
      <c r="AS45" s="269"/>
      <c r="AT45" s="269"/>
      <c r="AU45" s="269"/>
      <c r="AV45" s="269"/>
      <c r="AW45" s="269"/>
      <c r="AX45" s="269"/>
      <c r="AY45" s="269"/>
      <c r="AZ45" s="269"/>
      <c r="BA45" s="269"/>
      <c r="BB45" s="269"/>
      <c r="BC45" s="269"/>
      <c r="BD45" s="269"/>
      <c r="BE45" s="269"/>
      <c r="BF45" s="269"/>
      <c r="BG45" s="269"/>
      <c r="BH45" s="269"/>
      <c r="BI45" s="269"/>
      <c r="BJ45" s="269"/>
      <c r="BK45" s="269"/>
      <c r="BL45" s="269"/>
      <c r="BM45" s="269"/>
      <c r="BN45" s="269"/>
      <c r="BO45" s="273"/>
      <c r="BP45" s="274"/>
      <c r="BQ45" s="274"/>
      <c r="BR45" s="275"/>
      <c r="BS45" s="11"/>
      <c r="BT45" s="10"/>
      <c r="CB45" s="51"/>
      <c r="CC45" s="17"/>
      <c r="CD45" s="11"/>
      <c r="CE45" s="17"/>
      <c r="CF45" s="17"/>
      <c r="CG45" s="17"/>
      <c r="CH45" s="17"/>
      <c r="CI45" s="11"/>
      <c r="CJ45" s="17"/>
      <c r="CK45" s="17"/>
      <c r="CL45" s="17"/>
      <c r="CM45" s="17"/>
      <c r="CN45" s="17"/>
      <c r="CO45" s="17"/>
      <c r="CP45" s="17"/>
      <c r="CQ45" s="17"/>
      <c r="CR45" s="17"/>
      <c r="CS45" s="17"/>
      <c r="CT45" s="17"/>
      <c r="CU45" s="17"/>
      <c r="CV45" s="17"/>
      <c r="CW45" s="17"/>
      <c r="CX45" s="17"/>
      <c r="CY45" s="17"/>
      <c r="CZ45" s="17"/>
      <c r="DA45" s="17"/>
      <c r="DB45" s="17"/>
      <c r="DC45" s="17"/>
      <c r="DD45" s="17"/>
      <c r="DE45" s="17"/>
      <c r="DF45" s="17"/>
      <c r="DG45" s="17"/>
      <c r="DH45" s="17"/>
      <c r="DI45" s="17"/>
      <c r="DJ45" s="17"/>
      <c r="DK45" s="17"/>
      <c r="DL45" s="17"/>
      <c r="DM45" s="17"/>
      <c r="DN45" s="17"/>
      <c r="DO45" s="17"/>
      <c r="DP45" s="17"/>
      <c r="DQ45" s="17"/>
      <c r="DR45" s="17"/>
      <c r="DS45" s="17"/>
      <c r="DT45" s="17"/>
      <c r="DU45" s="17"/>
      <c r="DV45" s="17"/>
      <c r="DW45" s="17"/>
      <c r="DX45" s="17"/>
      <c r="DY45" s="17"/>
      <c r="DZ45" s="17"/>
      <c r="EA45" s="17"/>
      <c r="EB45" s="17"/>
      <c r="EC45" s="17"/>
      <c r="ED45" s="17"/>
      <c r="EE45" s="17"/>
      <c r="EF45" s="17"/>
      <c r="EG45" s="17"/>
      <c r="EH45" s="17"/>
      <c r="EI45" s="17"/>
      <c r="EJ45" s="17"/>
      <c r="EK45" s="17"/>
      <c r="EL45" s="17"/>
      <c r="EM45" s="17"/>
      <c r="EN45" s="17"/>
      <c r="EO45" s="17"/>
      <c r="EP45" s="17"/>
      <c r="EQ45" s="11"/>
      <c r="ER45" s="11"/>
      <c r="ES45" s="10"/>
    </row>
    <row r="46" spans="3:149" ht="16.25" customHeight="1">
      <c r="C46" s="21"/>
      <c r="D46" s="262" t="s">
        <v>109</v>
      </c>
      <c r="E46" s="263"/>
      <c r="F46" s="263"/>
      <c r="G46" s="263"/>
      <c r="H46" s="263"/>
      <c r="I46" s="263"/>
      <c r="J46" s="263"/>
      <c r="K46" s="263"/>
      <c r="L46" s="263"/>
      <c r="M46" s="264"/>
      <c r="N46" s="268" t="str">
        <f>VLOOKUP($D$11,調査票①!$A$9:$HJ$30,41,FALSE)&amp;""</f>
        <v>　</v>
      </c>
      <c r="O46" s="268"/>
      <c r="P46" s="268"/>
      <c r="Q46" s="268"/>
      <c r="R46" s="269" t="str">
        <f>VLOOKUP($D$11,調査票①!$A$9:$HJ$30,42,FALSE)&amp;""</f>
        <v>　</v>
      </c>
      <c r="S46" s="269"/>
      <c r="T46" s="269"/>
      <c r="U46" s="269"/>
      <c r="V46" s="269"/>
      <c r="W46" s="269"/>
      <c r="X46" s="269"/>
      <c r="Y46" s="269"/>
      <c r="Z46" s="269"/>
      <c r="AA46" s="269"/>
      <c r="AB46" s="269"/>
      <c r="AC46" s="269"/>
      <c r="AD46" s="269"/>
      <c r="AE46" s="269"/>
      <c r="AF46" s="269"/>
      <c r="AG46" s="269"/>
      <c r="AH46" s="269"/>
      <c r="AI46" s="269"/>
      <c r="AJ46" s="269"/>
      <c r="AK46" s="269"/>
      <c r="AL46" s="269"/>
      <c r="AM46" s="269"/>
      <c r="AN46" s="269"/>
      <c r="AO46" s="269"/>
      <c r="AP46" s="269"/>
      <c r="AQ46" s="269"/>
      <c r="AR46" s="269"/>
      <c r="AS46" s="269"/>
      <c r="AT46" s="269"/>
      <c r="AU46" s="269"/>
      <c r="AV46" s="269"/>
      <c r="AW46" s="269"/>
      <c r="AX46" s="269"/>
      <c r="AY46" s="269"/>
      <c r="AZ46" s="269"/>
      <c r="BA46" s="269"/>
      <c r="BB46" s="269"/>
      <c r="BC46" s="269"/>
      <c r="BD46" s="269"/>
      <c r="BE46" s="269"/>
      <c r="BF46" s="269"/>
      <c r="BG46" s="269"/>
      <c r="BH46" s="269"/>
      <c r="BI46" s="269"/>
      <c r="BJ46" s="269"/>
      <c r="BK46" s="269"/>
      <c r="BL46" s="269"/>
      <c r="BM46" s="269"/>
      <c r="BN46" s="269"/>
      <c r="BO46" s="270">
        <f>調査票①!AN30</f>
        <v>1</v>
      </c>
      <c r="BP46" s="271"/>
      <c r="BQ46" s="271"/>
      <c r="BR46" s="272"/>
      <c r="BS46" s="11"/>
      <c r="BT46" s="10"/>
      <c r="CB46" s="51"/>
      <c r="CC46" s="17"/>
      <c r="CD46" s="17"/>
      <c r="CE46" s="17"/>
      <c r="CF46" s="17"/>
      <c r="CG46" s="17"/>
      <c r="CH46" s="17"/>
      <c r="CI46" s="17"/>
      <c r="CJ46" s="17"/>
      <c r="CK46" s="17"/>
      <c r="CL46" s="17"/>
      <c r="CM46" s="371" t="str">
        <f>VLOOKUP($D$11,調査票①!$A$9:$HJ$30,204,FALSE)&amp;""</f>
        <v>　</v>
      </c>
      <c r="CN46" s="372"/>
      <c r="CO46" s="372"/>
      <c r="CP46" s="372"/>
      <c r="CQ46" s="372"/>
      <c r="CR46" s="372"/>
      <c r="CS46" s="372"/>
      <c r="CT46" s="372"/>
      <c r="CU46" s="372"/>
      <c r="CV46" s="372"/>
      <c r="CW46" s="372"/>
      <c r="CX46" s="372"/>
      <c r="CY46" s="372"/>
      <c r="CZ46" s="372"/>
      <c r="DA46" s="372"/>
      <c r="DB46" s="372"/>
      <c r="DC46" s="372"/>
      <c r="DD46" s="372"/>
      <c r="DE46" s="372"/>
      <c r="DF46" s="372"/>
      <c r="DG46" s="372"/>
      <c r="DH46" s="372"/>
      <c r="DI46" s="372"/>
      <c r="DJ46" s="372"/>
      <c r="DK46" s="372"/>
      <c r="DL46" s="372"/>
      <c r="DM46" s="372"/>
      <c r="DN46" s="372"/>
      <c r="DO46" s="372"/>
      <c r="DP46" s="372"/>
      <c r="DQ46" s="372"/>
      <c r="DR46" s="372"/>
      <c r="DS46" s="372"/>
      <c r="DT46" s="372"/>
      <c r="DU46" s="372"/>
      <c r="DV46" s="372"/>
      <c r="DW46" s="372"/>
      <c r="DX46" s="372"/>
      <c r="DY46" s="372"/>
      <c r="DZ46" s="372"/>
      <c r="EA46" s="372"/>
      <c r="EB46" s="372"/>
      <c r="EC46" s="372"/>
      <c r="ED46" s="372"/>
      <c r="EE46" s="372"/>
      <c r="EF46" s="372"/>
      <c r="EG46" s="372"/>
      <c r="EH46" s="372"/>
      <c r="EI46" s="372"/>
      <c r="EJ46" s="372"/>
      <c r="EK46" s="373"/>
      <c r="EL46" s="17"/>
      <c r="EM46" s="17"/>
      <c r="EN46" s="17"/>
      <c r="EO46" s="17"/>
      <c r="EP46" s="17"/>
      <c r="EQ46" s="11"/>
      <c r="ER46" s="11"/>
      <c r="ES46" s="10"/>
    </row>
    <row r="47" spans="3:149" ht="16.25" customHeight="1">
      <c r="C47" s="21"/>
      <c r="D47" s="265"/>
      <c r="E47" s="266"/>
      <c r="F47" s="266"/>
      <c r="G47" s="266"/>
      <c r="H47" s="266"/>
      <c r="I47" s="266"/>
      <c r="J47" s="266"/>
      <c r="K47" s="266"/>
      <c r="L47" s="266"/>
      <c r="M47" s="267"/>
      <c r="N47" s="268"/>
      <c r="O47" s="268"/>
      <c r="P47" s="268"/>
      <c r="Q47" s="268"/>
      <c r="R47" s="269"/>
      <c r="S47" s="269"/>
      <c r="T47" s="269"/>
      <c r="U47" s="269"/>
      <c r="V47" s="269"/>
      <c r="W47" s="269"/>
      <c r="X47" s="269"/>
      <c r="Y47" s="269"/>
      <c r="Z47" s="269"/>
      <c r="AA47" s="269"/>
      <c r="AB47" s="269"/>
      <c r="AC47" s="269"/>
      <c r="AD47" s="269"/>
      <c r="AE47" s="269"/>
      <c r="AF47" s="269"/>
      <c r="AG47" s="269"/>
      <c r="AH47" s="269"/>
      <c r="AI47" s="269"/>
      <c r="AJ47" s="269"/>
      <c r="AK47" s="269"/>
      <c r="AL47" s="269"/>
      <c r="AM47" s="269"/>
      <c r="AN47" s="269"/>
      <c r="AO47" s="269"/>
      <c r="AP47" s="269"/>
      <c r="AQ47" s="269"/>
      <c r="AR47" s="269"/>
      <c r="AS47" s="269"/>
      <c r="AT47" s="269"/>
      <c r="AU47" s="269"/>
      <c r="AV47" s="269"/>
      <c r="AW47" s="269"/>
      <c r="AX47" s="269"/>
      <c r="AY47" s="269"/>
      <c r="AZ47" s="269"/>
      <c r="BA47" s="269"/>
      <c r="BB47" s="269"/>
      <c r="BC47" s="269"/>
      <c r="BD47" s="269"/>
      <c r="BE47" s="269"/>
      <c r="BF47" s="269"/>
      <c r="BG47" s="269"/>
      <c r="BH47" s="269"/>
      <c r="BI47" s="269"/>
      <c r="BJ47" s="269"/>
      <c r="BK47" s="269"/>
      <c r="BL47" s="269"/>
      <c r="BM47" s="269"/>
      <c r="BN47" s="269"/>
      <c r="BO47" s="273"/>
      <c r="BP47" s="274"/>
      <c r="BQ47" s="274"/>
      <c r="BR47" s="275"/>
      <c r="BS47" s="11"/>
      <c r="BT47" s="10"/>
      <c r="CB47" s="51"/>
      <c r="CC47" s="17"/>
      <c r="CD47" s="17"/>
      <c r="CE47" s="17"/>
      <c r="CF47" s="17"/>
      <c r="CG47" s="17"/>
      <c r="CH47" s="17"/>
      <c r="CI47" s="17"/>
      <c r="CJ47" s="17"/>
      <c r="CK47" s="17"/>
      <c r="CL47" s="17"/>
      <c r="CM47" s="374"/>
      <c r="CN47" s="375"/>
      <c r="CO47" s="375"/>
      <c r="CP47" s="375"/>
      <c r="CQ47" s="375"/>
      <c r="CR47" s="375"/>
      <c r="CS47" s="375"/>
      <c r="CT47" s="375"/>
      <c r="CU47" s="375"/>
      <c r="CV47" s="375"/>
      <c r="CW47" s="375"/>
      <c r="CX47" s="375"/>
      <c r="CY47" s="375"/>
      <c r="CZ47" s="375"/>
      <c r="DA47" s="375"/>
      <c r="DB47" s="375"/>
      <c r="DC47" s="375"/>
      <c r="DD47" s="375"/>
      <c r="DE47" s="375"/>
      <c r="DF47" s="375"/>
      <c r="DG47" s="375"/>
      <c r="DH47" s="375"/>
      <c r="DI47" s="375"/>
      <c r="DJ47" s="375"/>
      <c r="DK47" s="375"/>
      <c r="DL47" s="375"/>
      <c r="DM47" s="375"/>
      <c r="DN47" s="375"/>
      <c r="DO47" s="375"/>
      <c r="DP47" s="375"/>
      <c r="DQ47" s="375"/>
      <c r="DR47" s="375"/>
      <c r="DS47" s="375"/>
      <c r="DT47" s="375"/>
      <c r="DU47" s="375"/>
      <c r="DV47" s="375"/>
      <c r="DW47" s="375"/>
      <c r="DX47" s="375"/>
      <c r="DY47" s="375"/>
      <c r="DZ47" s="375"/>
      <c r="EA47" s="375"/>
      <c r="EB47" s="375"/>
      <c r="EC47" s="375"/>
      <c r="ED47" s="375"/>
      <c r="EE47" s="375"/>
      <c r="EF47" s="375"/>
      <c r="EG47" s="375"/>
      <c r="EH47" s="375"/>
      <c r="EI47" s="375"/>
      <c r="EJ47" s="375"/>
      <c r="EK47" s="376"/>
      <c r="EL47" s="17"/>
      <c r="EM47" s="17"/>
      <c r="EN47" s="17"/>
      <c r="EO47" s="17"/>
      <c r="EP47" s="17"/>
      <c r="EQ47" s="11"/>
      <c r="ER47" s="11"/>
      <c r="ES47" s="10"/>
    </row>
    <row r="48" spans="3:149" ht="16.25" customHeight="1">
      <c r="C48" s="21"/>
      <c r="D48" s="262" t="s">
        <v>110</v>
      </c>
      <c r="E48" s="263"/>
      <c r="F48" s="263"/>
      <c r="G48" s="263"/>
      <c r="H48" s="263"/>
      <c r="I48" s="263"/>
      <c r="J48" s="263"/>
      <c r="K48" s="263"/>
      <c r="L48" s="263"/>
      <c r="M48" s="264"/>
      <c r="N48" s="268" t="str">
        <f>VLOOKUP($D$11,調査票①!$A$9:$HJ$30,44,FALSE)&amp;""</f>
        <v>　</v>
      </c>
      <c r="O48" s="268"/>
      <c r="P48" s="268"/>
      <c r="Q48" s="268"/>
      <c r="R48" s="269" t="str">
        <f>VLOOKUP($D$11,調査票①!$A$9:$HJ$30,45,FALSE)&amp;""</f>
        <v>　</v>
      </c>
      <c r="S48" s="269"/>
      <c r="T48" s="269"/>
      <c r="U48" s="269"/>
      <c r="V48" s="269"/>
      <c r="W48" s="269"/>
      <c r="X48" s="269"/>
      <c r="Y48" s="269"/>
      <c r="Z48" s="269"/>
      <c r="AA48" s="269"/>
      <c r="AB48" s="269"/>
      <c r="AC48" s="269"/>
      <c r="AD48" s="269"/>
      <c r="AE48" s="269"/>
      <c r="AF48" s="269"/>
      <c r="AG48" s="269"/>
      <c r="AH48" s="269"/>
      <c r="AI48" s="269"/>
      <c r="AJ48" s="269"/>
      <c r="AK48" s="269"/>
      <c r="AL48" s="269"/>
      <c r="AM48" s="269"/>
      <c r="AN48" s="269"/>
      <c r="AO48" s="269"/>
      <c r="AP48" s="269"/>
      <c r="AQ48" s="269"/>
      <c r="AR48" s="269"/>
      <c r="AS48" s="269"/>
      <c r="AT48" s="269"/>
      <c r="AU48" s="269"/>
      <c r="AV48" s="269"/>
      <c r="AW48" s="269"/>
      <c r="AX48" s="269"/>
      <c r="AY48" s="269"/>
      <c r="AZ48" s="269"/>
      <c r="BA48" s="269"/>
      <c r="BB48" s="269"/>
      <c r="BC48" s="269"/>
      <c r="BD48" s="269"/>
      <c r="BE48" s="269"/>
      <c r="BF48" s="269"/>
      <c r="BG48" s="269"/>
      <c r="BH48" s="269"/>
      <c r="BI48" s="269"/>
      <c r="BJ48" s="269"/>
      <c r="BK48" s="269"/>
      <c r="BL48" s="269"/>
      <c r="BM48" s="269"/>
      <c r="BN48" s="269"/>
      <c r="BO48" s="270">
        <f>調査票①!AQ30</f>
        <v>1</v>
      </c>
      <c r="BP48" s="271"/>
      <c r="BQ48" s="271"/>
      <c r="BR48" s="272"/>
      <c r="BS48" s="11"/>
      <c r="BT48" s="10"/>
      <c r="CB48" s="51"/>
      <c r="CC48" s="17"/>
      <c r="CD48" s="17"/>
      <c r="CE48" s="17"/>
      <c r="CF48" s="17"/>
      <c r="CG48" s="17"/>
      <c r="CH48" s="17"/>
      <c r="CI48" s="17"/>
      <c r="CJ48" s="17"/>
      <c r="CK48" s="17"/>
      <c r="CL48" s="17"/>
      <c r="CM48" s="374"/>
      <c r="CN48" s="375"/>
      <c r="CO48" s="375"/>
      <c r="CP48" s="375"/>
      <c r="CQ48" s="375"/>
      <c r="CR48" s="375"/>
      <c r="CS48" s="375"/>
      <c r="CT48" s="375"/>
      <c r="CU48" s="375"/>
      <c r="CV48" s="375"/>
      <c r="CW48" s="375"/>
      <c r="CX48" s="375"/>
      <c r="CY48" s="375"/>
      <c r="CZ48" s="375"/>
      <c r="DA48" s="375"/>
      <c r="DB48" s="375"/>
      <c r="DC48" s="375"/>
      <c r="DD48" s="375"/>
      <c r="DE48" s="375"/>
      <c r="DF48" s="375"/>
      <c r="DG48" s="375"/>
      <c r="DH48" s="375"/>
      <c r="DI48" s="375"/>
      <c r="DJ48" s="375"/>
      <c r="DK48" s="375"/>
      <c r="DL48" s="375"/>
      <c r="DM48" s="375"/>
      <c r="DN48" s="375"/>
      <c r="DO48" s="375"/>
      <c r="DP48" s="375"/>
      <c r="DQ48" s="375"/>
      <c r="DR48" s="375"/>
      <c r="DS48" s="375"/>
      <c r="DT48" s="375"/>
      <c r="DU48" s="375"/>
      <c r="DV48" s="375"/>
      <c r="DW48" s="375"/>
      <c r="DX48" s="375"/>
      <c r="DY48" s="375"/>
      <c r="DZ48" s="375"/>
      <c r="EA48" s="375"/>
      <c r="EB48" s="375"/>
      <c r="EC48" s="375"/>
      <c r="ED48" s="375"/>
      <c r="EE48" s="375"/>
      <c r="EF48" s="375"/>
      <c r="EG48" s="375"/>
      <c r="EH48" s="375"/>
      <c r="EI48" s="375"/>
      <c r="EJ48" s="375"/>
      <c r="EK48" s="376"/>
      <c r="EL48" s="17"/>
      <c r="EM48" s="17"/>
      <c r="EN48" s="17"/>
      <c r="EO48" s="17"/>
      <c r="EP48" s="17"/>
      <c r="EQ48" s="11"/>
      <c r="ER48" s="11"/>
      <c r="ES48" s="10"/>
    </row>
    <row r="49" spans="1:155" ht="16.25" customHeight="1">
      <c r="C49" s="21"/>
      <c r="D49" s="265"/>
      <c r="E49" s="266"/>
      <c r="F49" s="266"/>
      <c r="G49" s="266"/>
      <c r="H49" s="266"/>
      <c r="I49" s="266"/>
      <c r="J49" s="266"/>
      <c r="K49" s="266"/>
      <c r="L49" s="266"/>
      <c r="M49" s="267"/>
      <c r="N49" s="268"/>
      <c r="O49" s="268"/>
      <c r="P49" s="268"/>
      <c r="Q49" s="268"/>
      <c r="R49" s="269"/>
      <c r="S49" s="269"/>
      <c r="T49" s="269"/>
      <c r="U49" s="269"/>
      <c r="V49" s="269"/>
      <c r="W49" s="269"/>
      <c r="X49" s="269"/>
      <c r="Y49" s="269"/>
      <c r="Z49" s="269"/>
      <c r="AA49" s="269"/>
      <c r="AB49" s="269"/>
      <c r="AC49" s="269"/>
      <c r="AD49" s="269"/>
      <c r="AE49" s="269"/>
      <c r="AF49" s="269"/>
      <c r="AG49" s="269"/>
      <c r="AH49" s="269"/>
      <c r="AI49" s="269"/>
      <c r="AJ49" s="269"/>
      <c r="AK49" s="269"/>
      <c r="AL49" s="269"/>
      <c r="AM49" s="269"/>
      <c r="AN49" s="269"/>
      <c r="AO49" s="269"/>
      <c r="AP49" s="269"/>
      <c r="AQ49" s="269"/>
      <c r="AR49" s="269"/>
      <c r="AS49" s="269"/>
      <c r="AT49" s="269"/>
      <c r="AU49" s="269"/>
      <c r="AV49" s="269"/>
      <c r="AW49" s="269"/>
      <c r="AX49" s="269"/>
      <c r="AY49" s="269"/>
      <c r="AZ49" s="269"/>
      <c r="BA49" s="269"/>
      <c r="BB49" s="269"/>
      <c r="BC49" s="269"/>
      <c r="BD49" s="269"/>
      <c r="BE49" s="269"/>
      <c r="BF49" s="269"/>
      <c r="BG49" s="269"/>
      <c r="BH49" s="269"/>
      <c r="BI49" s="269"/>
      <c r="BJ49" s="269"/>
      <c r="BK49" s="269"/>
      <c r="BL49" s="269"/>
      <c r="BM49" s="269"/>
      <c r="BN49" s="269"/>
      <c r="BO49" s="273"/>
      <c r="BP49" s="274"/>
      <c r="BQ49" s="274"/>
      <c r="BR49" s="275"/>
      <c r="BS49" s="11"/>
      <c r="BT49" s="10"/>
      <c r="CB49" s="51"/>
      <c r="CC49" s="17"/>
      <c r="CD49" s="11"/>
      <c r="CE49" s="17"/>
      <c r="CF49" s="17"/>
      <c r="CG49" s="17"/>
      <c r="CH49" s="17"/>
      <c r="CI49" s="11"/>
      <c r="CJ49" s="17"/>
      <c r="CK49" s="17"/>
      <c r="CL49" s="17"/>
      <c r="CM49" s="374"/>
      <c r="CN49" s="375"/>
      <c r="CO49" s="375"/>
      <c r="CP49" s="375"/>
      <c r="CQ49" s="375"/>
      <c r="CR49" s="375"/>
      <c r="CS49" s="375"/>
      <c r="CT49" s="375"/>
      <c r="CU49" s="375"/>
      <c r="CV49" s="375"/>
      <c r="CW49" s="375"/>
      <c r="CX49" s="375"/>
      <c r="CY49" s="375"/>
      <c r="CZ49" s="375"/>
      <c r="DA49" s="375"/>
      <c r="DB49" s="375"/>
      <c r="DC49" s="375"/>
      <c r="DD49" s="375"/>
      <c r="DE49" s="375"/>
      <c r="DF49" s="375"/>
      <c r="DG49" s="375"/>
      <c r="DH49" s="375"/>
      <c r="DI49" s="375"/>
      <c r="DJ49" s="375"/>
      <c r="DK49" s="375"/>
      <c r="DL49" s="375"/>
      <c r="DM49" s="375"/>
      <c r="DN49" s="375"/>
      <c r="DO49" s="375"/>
      <c r="DP49" s="375"/>
      <c r="DQ49" s="375"/>
      <c r="DR49" s="375"/>
      <c r="DS49" s="375"/>
      <c r="DT49" s="375"/>
      <c r="DU49" s="375"/>
      <c r="DV49" s="375"/>
      <c r="DW49" s="375"/>
      <c r="DX49" s="375"/>
      <c r="DY49" s="375"/>
      <c r="DZ49" s="375"/>
      <c r="EA49" s="375"/>
      <c r="EB49" s="375"/>
      <c r="EC49" s="375"/>
      <c r="ED49" s="375"/>
      <c r="EE49" s="375"/>
      <c r="EF49" s="375"/>
      <c r="EG49" s="375"/>
      <c r="EH49" s="375"/>
      <c r="EI49" s="375"/>
      <c r="EJ49" s="375"/>
      <c r="EK49" s="376"/>
      <c r="EL49" s="17"/>
      <c r="EM49" s="17"/>
      <c r="EN49" s="17"/>
      <c r="EO49" s="17"/>
      <c r="EP49" s="17"/>
      <c r="EQ49" s="11"/>
      <c r="ER49" s="11"/>
      <c r="ES49" s="10"/>
    </row>
    <row r="50" spans="1:155" ht="16.25" customHeight="1">
      <c r="C50" s="21"/>
      <c r="D50" s="380" t="s">
        <v>111</v>
      </c>
      <c r="E50" s="381"/>
      <c r="F50" s="381"/>
      <c r="G50" s="381"/>
      <c r="H50" s="381"/>
      <c r="I50" s="381"/>
      <c r="J50" s="381"/>
      <c r="K50" s="381"/>
      <c r="L50" s="381"/>
      <c r="M50" s="382"/>
      <c r="N50" s="268" t="str">
        <f>VLOOKUP($D$11,調査票①!$A$9:$HJ$30,47,FALSE)&amp;""</f>
        <v>　</v>
      </c>
      <c r="O50" s="268"/>
      <c r="P50" s="268"/>
      <c r="Q50" s="268"/>
      <c r="R50" s="269" t="str">
        <f>VLOOKUP($D$11,調査票①!$A$9:$HJ$30,48,FALSE)&amp;""</f>
        <v>　</v>
      </c>
      <c r="S50" s="269"/>
      <c r="T50" s="269"/>
      <c r="U50" s="269"/>
      <c r="V50" s="269"/>
      <c r="W50" s="269"/>
      <c r="X50" s="269"/>
      <c r="Y50" s="269"/>
      <c r="Z50" s="269"/>
      <c r="AA50" s="269"/>
      <c r="AB50" s="269"/>
      <c r="AC50" s="269"/>
      <c r="AD50" s="269"/>
      <c r="AE50" s="269"/>
      <c r="AF50" s="269"/>
      <c r="AG50" s="269"/>
      <c r="AH50" s="269"/>
      <c r="AI50" s="269"/>
      <c r="AJ50" s="269"/>
      <c r="AK50" s="269"/>
      <c r="AL50" s="269"/>
      <c r="AM50" s="269"/>
      <c r="AN50" s="269"/>
      <c r="AO50" s="269"/>
      <c r="AP50" s="269"/>
      <c r="AQ50" s="269"/>
      <c r="AR50" s="269"/>
      <c r="AS50" s="269"/>
      <c r="AT50" s="269"/>
      <c r="AU50" s="269"/>
      <c r="AV50" s="269"/>
      <c r="AW50" s="269"/>
      <c r="AX50" s="269"/>
      <c r="AY50" s="269"/>
      <c r="AZ50" s="269"/>
      <c r="BA50" s="269"/>
      <c r="BB50" s="269"/>
      <c r="BC50" s="269"/>
      <c r="BD50" s="269"/>
      <c r="BE50" s="269"/>
      <c r="BF50" s="269"/>
      <c r="BG50" s="269"/>
      <c r="BH50" s="269"/>
      <c r="BI50" s="269"/>
      <c r="BJ50" s="269"/>
      <c r="BK50" s="269"/>
      <c r="BL50" s="269"/>
      <c r="BM50" s="269"/>
      <c r="BN50" s="269"/>
      <c r="BO50" s="270">
        <f>調査票①!AT30</f>
        <v>1</v>
      </c>
      <c r="BP50" s="271"/>
      <c r="BQ50" s="271"/>
      <c r="BR50" s="272"/>
      <c r="BS50" s="11"/>
      <c r="BT50" s="10"/>
      <c r="CB50" s="51"/>
      <c r="CC50" s="17"/>
      <c r="CD50" s="17"/>
      <c r="CE50" s="17"/>
      <c r="CF50" s="17"/>
      <c r="CG50" s="17"/>
      <c r="CH50" s="17"/>
      <c r="CI50" s="17"/>
      <c r="CJ50" s="17"/>
      <c r="CK50" s="17"/>
      <c r="CL50" s="17"/>
      <c r="CM50" s="374"/>
      <c r="CN50" s="375"/>
      <c r="CO50" s="375"/>
      <c r="CP50" s="375"/>
      <c r="CQ50" s="375"/>
      <c r="CR50" s="375"/>
      <c r="CS50" s="375"/>
      <c r="CT50" s="375"/>
      <c r="CU50" s="375"/>
      <c r="CV50" s="375"/>
      <c r="CW50" s="375"/>
      <c r="CX50" s="375"/>
      <c r="CY50" s="375"/>
      <c r="CZ50" s="375"/>
      <c r="DA50" s="375"/>
      <c r="DB50" s="375"/>
      <c r="DC50" s="375"/>
      <c r="DD50" s="375"/>
      <c r="DE50" s="375"/>
      <c r="DF50" s="375"/>
      <c r="DG50" s="375"/>
      <c r="DH50" s="375"/>
      <c r="DI50" s="375"/>
      <c r="DJ50" s="375"/>
      <c r="DK50" s="375"/>
      <c r="DL50" s="375"/>
      <c r="DM50" s="375"/>
      <c r="DN50" s="375"/>
      <c r="DO50" s="375"/>
      <c r="DP50" s="375"/>
      <c r="DQ50" s="375"/>
      <c r="DR50" s="375"/>
      <c r="DS50" s="375"/>
      <c r="DT50" s="375"/>
      <c r="DU50" s="375"/>
      <c r="DV50" s="375"/>
      <c r="DW50" s="375"/>
      <c r="DX50" s="375"/>
      <c r="DY50" s="375"/>
      <c r="DZ50" s="375"/>
      <c r="EA50" s="375"/>
      <c r="EB50" s="375"/>
      <c r="EC50" s="375"/>
      <c r="ED50" s="375"/>
      <c r="EE50" s="375"/>
      <c r="EF50" s="375"/>
      <c r="EG50" s="375"/>
      <c r="EH50" s="375"/>
      <c r="EI50" s="375"/>
      <c r="EJ50" s="375"/>
      <c r="EK50" s="376"/>
      <c r="EL50" s="17"/>
      <c r="EM50" s="17"/>
      <c r="EN50" s="17"/>
      <c r="EO50" s="17"/>
      <c r="EP50" s="17"/>
      <c r="EQ50" s="11"/>
      <c r="ER50" s="11"/>
      <c r="ES50" s="10"/>
    </row>
    <row r="51" spans="1:155" ht="16.25" customHeight="1">
      <c r="C51" s="21"/>
      <c r="D51" s="383"/>
      <c r="E51" s="384"/>
      <c r="F51" s="384"/>
      <c r="G51" s="384"/>
      <c r="H51" s="384"/>
      <c r="I51" s="384"/>
      <c r="J51" s="384"/>
      <c r="K51" s="384"/>
      <c r="L51" s="384"/>
      <c r="M51" s="385"/>
      <c r="N51" s="268"/>
      <c r="O51" s="268"/>
      <c r="P51" s="268"/>
      <c r="Q51" s="268"/>
      <c r="R51" s="269"/>
      <c r="S51" s="269"/>
      <c r="T51" s="269"/>
      <c r="U51" s="269"/>
      <c r="V51" s="269"/>
      <c r="W51" s="269"/>
      <c r="X51" s="269"/>
      <c r="Y51" s="269"/>
      <c r="Z51" s="269"/>
      <c r="AA51" s="269"/>
      <c r="AB51" s="269"/>
      <c r="AC51" s="269"/>
      <c r="AD51" s="269"/>
      <c r="AE51" s="269"/>
      <c r="AF51" s="269"/>
      <c r="AG51" s="269"/>
      <c r="AH51" s="269"/>
      <c r="AI51" s="269"/>
      <c r="AJ51" s="269"/>
      <c r="AK51" s="269"/>
      <c r="AL51" s="269"/>
      <c r="AM51" s="269"/>
      <c r="AN51" s="269"/>
      <c r="AO51" s="269"/>
      <c r="AP51" s="269"/>
      <c r="AQ51" s="269"/>
      <c r="AR51" s="269"/>
      <c r="AS51" s="269"/>
      <c r="AT51" s="269"/>
      <c r="AU51" s="269"/>
      <c r="AV51" s="269"/>
      <c r="AW51" s="269"/>
      <c r="AX51" s="269"/>
      <c r="AY51" s="269"/>
      <c r="AZ51" s="269"/>
      <c r="BA51" s="269"/>
      <c r="BB51" s="269"/>
      <c r="BC51" s="269"/>
      <c r="BD51" s="269"/>
      <c r="BE51" s="269"/>
      <c r="BF51" s="269"/>
      <c r="BG51" s="269"/>
      <c r="BH51" s="269"/>
      <c r="BI51" s="269"/>
      <c r="BJ51" s="269"/>
      <c r="BK51" s="269"/>
      <c r="BL51" s="269"/>
      <c r="BM51" s="269"/>
      <c r="BN51" s="269"/>
      <c r="BO51" s="273"/>
      <c r="BP51" s="274"/>
      <c r="BQ51" s="274"/>
      <c r="BR51" s="275"/>
      <c r="BS51" s="11"/>
      <c r="BT51" s="10"/>
      <c r="CB51" s="51"/>
      <c r="CC51" s="17"/>
      <c r="CD51" s="17"/>
      <c r="CE51" s="17"/>
      <c r="CF51" s="17"/>
      <c r="CG51" s="17"/>
      <c r="CH51" s="17"/>
      <c r="CI51" s="17"/>
      <c r="CJ51" s="17"/>
      <c r="CK51" s="17"/>
      <c r="CL51" s="17"/>
      <c r="CM51" s="377"/>
      <c r="CN51" s="378"/>
      <c r="CO51" s="378"/>
      <c r="CP51" s="378"/>
      <c r="CQ51" s="378"/>
      <c r="CR51" s="378"/>
      <c r="CS51" s="378"/>
      <c r="CT51" s="378"/>
      <c r="CU51" s="378"/>
      <c r="CV51" s="378"/>
      <c r="CW51" s="378"/>
      <c r="CX51" s="378"/>
      <c r="CY51" s="378"/>
      <c r="CZ51" s="378"/>
      <c r="DA51" s="378"/>
      <c r="DB51" s="378"/>
      <c r="DC51" s="378"/>
      <c r="DD51" s="378"/>
      <c r="DE51" s="378"/>
      <c r="DF51" s="378"/>
      <c r="DG51" s="378"/>
      <c r="DH51" s="378"/>
      <c r="DI51" s="378"/>
      <c r="DJ51" s="378"/>
      <c r="DK51" s="378"/>
      <c r="DL51" s="378"/>
      <c r="DM51" s="378"/>
      <c r="DN51" s="378"/>
      <c r="DO51" s="378"/>
      <c r="DP51" s="378"/>
      <c r="DQ51" s="378"/>
      <c r="DR51" s="378"/>
      <c r="DS51" s="378"/>
      <c r="DT51" s="378"/>
      <c r="DU51" s="378"/>
      <c r="DV51" s="378"/>
      <c r="DW51" s="378"/>
      <c r="DX51" s="378"/>
      <c r="DY51" s="378"/>
      <c r="DZ51" s="378"/>
      <c r="EA51" s="378"/>
      <c r="EB51" s="378"/>
      <c r="EC51" s="378"/>
      <c r="ED51" s="378"/>
      <c r="EE51" s="378"/>
      <c r="EF51" s="378"/>
      <c r="EG51" s="378"/>
      <c r="EH51" s="378"/>
      <c r="EI51" s="378"/>
      <c r="EJ51" s="378"/>
      <c r="EK51" s="379"/>
      <c r="EL51" s="17"/>
      <c r="EM51" s="17"/>
      <c r="EN51" s="17"/>
      <c r="EO51" s="17"/>
      <c r="EP51" s="17"/>
      <c r="EQ51" s="11"/>
      <c r="ER51" s="11"/>
      <c r="ES51" s="10"/>
    </row>
    <row r="52" spans="1:155" ht="16.25" customHeight="1">
      <c r="C52" s="21"/>
      <c r="D52" s="365" t="s">
        <v>112</v>
      </c>
      <c r="E52" s="366"/>
      <c r="F52" s="366"/>
      <c r="G52" s="366"/>
      <c r="H52" s="366"/>
      <c r="I52" s="366"/>
      <c r="J52" s="366"/>
      <c r="K52" s="366"/>
      <c r="L52" s="366"/>
      <c r="M52" s="367"/>
      <c r="N52" s="268" t="str">
        <f>VLOOKUP($D$11,調査票①!$A$9:$HJ$30,50,FALSE)&amp;""</f>
        <v>　</v>
      </c>
      <c r="O52" s="268"/>
      <c r="P52" s="268"/>
      <c r="Q52" s="268"/>
      <c r="R52" s="269" t="str">
        <f>VLOOKUP($D$11,調査票①!$A$9:$HJ$30,51,FALSE)&amp;""</f>
        <v>　</v>
      </c>
      <c r="S52" s="269"/>
      <c r="T52" s="269"/>
      <c r="U52" s="269"/>
      <c r="V52" s="269"/>
      <c r="W52" s="269"/>
      <c r="X52" s="269"/>
      <c r="Y52" s="269"/>
      <c r="Z52" s="269"/>
      <c r="AA52" s="269"/>
      <c r="AB52" s="269"/>
      <c r="AC52" s="269"/>
      <c r="AD52" s="269"/>
      <c r="AE52" s="269"/>
      <c r="AF52" s="269"/>
      <c r="AG52" s="269"/>
      <c r="AH52" s="269"/>
      <c r="AI52" s="269"/>
      <c r="AJ52" s="269"/>
      <c r="AK52" s="269"/>
      <c r="AL52" s="269"/>
      <c r="AM52" s="269"/>
      <c r="AN52" s="269"/>
      <c r="AO52" s="269"/>
      <c r="AP52" s="269"/>
      <c r="AQ52" s="269"/>
      <c r="AR52" s="269"/>
      <c r="AS52" s="269"/>
      <c r="AT52" s="269"/>
      <c r="AU52" s="269"/>
      <c r="AV52" s="269"/>
      <c r="AW52" s="269"/>
      <c r="AX52" s="269"/>
      <c r="AY52" s="269"/>
      <c r="AZ52" s="269"/>
      <c r="BA52" s="269"/>
      <c r="BB52" s="269"/>
      <c r="BC52" s="269"/>
      <c r="BD52" s="269"/>
      <c r="BE52" s="269"/>
      <c r="BF52" s="269"/>
      <c r="BG52" s="269"/>
      <c r="BH52" s="269"/>
      <c r="BI52" s="269"/>
      <c r="BJ52" s="269"/>
      <c r="BK52" s="269"/>
      <c r="BL52" s="269"/>
      <c r="BM52" s="269"/>
      <c r="BN52" s="269"/>
      <c r="BO52" s="270">
        <f>調査票①!AW30</f>
        <v>1</v>
      </c>
      <c r="BP52" s="271"/>
      <c r="BQ52" s="271"/>
      <c r="BR52" s="272"/>
      <c r="BS52" s="11"/>
      <c r="BT52" s="10"/>
      <c r="CB52" s="51"/>
      <c r="CC52" s="17"/>
      <c r="CD52" s="17"/>
      <c r="CE52" s="73"/>
      <c r="CF52" s="73"/>
      <c r="CG52" s="73"/>
      <c r="CH52" s="73"/>
      <c r="CI52" s="73"/>
      <c r="CJ52" s="73"/>
      <c r="CK52" s="73"/>
      <c r="CL52" s="73"/>
      <c r="CM52" s="73"/>
      <c r="CN52" s="73"/>
      <c r="CO52" s="17"/>
      <c r="CP52" s="17"/>
      <c r="CQ52" s="17"/>
      <c r="CR52" s="17"/>
      <c r="CS52" s="17"/>
      <c r="CT52" s="17"/>
      <c r="CU52" s="17"/>
      <c r="CV52" s="17"/>
      <c r="CW52" s="17"/>
      <c r="CX52" s="17"/>
      <c r="CY52" s="17"/>
      <c r="CZ52" s="17"/>
      <c r="DA52" s="17"/>
      <c r="DB52" s="17"/>
      <c r="DC52" s="17"/>
      <c r="DD52" s="17"/>
      <c r="DE52" s="17"/>
      <c r="DF52" s="17"/>
      <c r="DG52" s="17"/>
      <c r="DH52" s="17"/>
      <c r="DI52" s="17"/>
      <c r="DJ52" s="11"/>
      <c r="DK52" s="17"/>
      <c r="DL52" s="17"/>
      <c r="DM52" s="17"/>
      <c r="DN52" s="17"/>
      <c r="DO52" s="17"/>
      <c r="DP52" s="17"/>
      <c r="DQ52" s="17"/>
      <c r="DR52" s="17"/>
      <c r="DS52" s="17"/>
      <c r="DT52" s="11"/>
      <c r="DU52" s="17"/>
      <c r="DV52" s="17"/>
      <c r="DW52" s="17"/>
      <c r="DX52" s="17"/>
      <c r="DY52" s="11"/>
      <c r="DZ52" s="17"/>
      <c r="EA52" s="17"/>
      <c r="EB52" s="17"/>
      <c r="EC52" s="17"/>
      <c r="ED52" s="17"/>
      <c r="EE52" s="17"/>
      <c r="EF52" s="17"/>
      <c r="EG52" s="17"/>
      <c r="EH52" s="17"/>
      <c r="EI52" s="11"/>
      <c r="EJ52" s="17"/>
      <c r="EK52" s="17"/>
      <c r="EL52" s="17"/>
      <c r="EM52" s="17"/>
      <c r="EN52" s="17"/>
      <c r="EO52" s="17"/>
      <c r="EP52" s="17"/>
      <c r="EQ52" s="11"/>
      <c r="ER52" s="11"/>
      <c r="ES52" s="10"/>
    </row>
    <row r="53" spans="1:155" ht="16.25" customHeight="1">
      <c r="C53" s="21"/>
      <c r="D53" s="368"/>
      <c r="E53" s="369"/>
      <c r="F53" s="369"/>
      <c r="G53" s="369"/>
      <c r="H53" s="369"/>
      <c r="I53" s="369"/>
      <c r="J53" s="369"/>
      <c r="K53" s="369"/>
      <c r="L53" s="369"/>
      <c r="M53" s="370"/>
      <c r="N53" s="268"/>
      <c r="O53" s="268"/>
      <c r="P53" s="268"/>
      <c r="Q53" s="268"/>
      <c r="R53" s="269"/>
      <c r="S53" s="269"/>
      <c r="T53" s="269"/>
      <c r="U53" s="269"/>
      <c r="V53" s="269"/>
      <c r="W53" s="269"/>
      <c r="X53" s="269"/>
      <c r="Y53" s="269"/>
      <c r="Z53" s="269"/>
      <c r="AA53" s="269"/>
      <c r="AB53" s="269"/>
      <c r="AC53" s="269"/>
      <c r="AD53" s="269"/>
      <c r="AE53" s="269"/>
      <c r="AF53" s="269"/>
      <c r="AG53" s="269"/>
      <c r="AH53" s="269"/>
      <c r="AI53" s="269"/>
      <c r="AJ53" s="269"/>
      <c r="AK53" s="269"/>
      <c r="AL53" s="269"/>
      <c r="AM53" s="269"/>
      <c r="AN53" s="269"/>
      <c r="AO53" s="269"/>
      <c r="AP53" s="269"/>
      <c r="AQ53" s="269"/>
      <c r="AR53" s="269"/>
      <c r="AS53" s="269"/>
      <c r="AT53" s="269"/>
      <c r="AU53" s="269"/>
      <c r="AV53" s="269"/>
      <c r="AW53" s="269"/>
      <c r="AX53" s="269"/>
      <c r="AY53" s="269"/>
      <c r="AZ53" s="269"/>
      <c r="BA53" s="269"/>
      <c r="BB53" s="269"/>
      <c r="BC53" s="269"/>
      <c r="BD53" s="269"/>
      <c r="BE53" s="269"/>
      <c r="BF53" s="269"/>
      <c r="BG53" s="269"/>
      <c r="BH53" s="269"/>
      <c r="BI53" s="269"/>
      <c r="BJ53" s="269"/>
      <c r="BK53" s="269"/>
      <c r="BL53" s="269"/>
      <c r="BM53" s="269"/>
      <c r="BN53" s="269"/>
      <c r="BO53" s="273"/>
      <c r="BP53" s="274"/>
      <c r="BQ53" s="274"/>
      <c r="BR53" s="275"/>
      <c r="BS53" s="11"/>
      <c r="BT53" s="10"/>
      <c r="CB53" s="51"/>
      <c r="CC53" s="73" t="s">
        <v>113</v>
      </c>
      <c r="CD53" s="73"/>
      <c r="CE53" s="73"/>
      <c r="CF53" s="73"/>
      <c r="CG53" s="73"/>
      <c r="CH53" s="73"/>
      <c r="CI53" s="73"/>
      <c r="CJ53" s="73"/>
      <c r="CK53" s="73"/>
      <c r="CL53" s="73"/>
      <c r="CM53" s="73"/>
      <c r="CN53" s="73"/>
      <c r="CO53" s="17"/>
      <c r="CP53" s="17"/>
      <c r="CQ53" s="17"/>
      <c r="CR53" s="17"/>
      <c r="CS53" s="17"/>
      <c r="CT53" s="17"/>
      <c r="CU53" s="17"/>
      <c r="CV53" s="17"/>
      <c r="CW53" s="17"/>
      <c r="CX53" s="17"/>
      <c r="CY53" s="17"/>
      <c r="CZ53" s="17"/>
      <c r="DA53" s="17"/>
      <c r="DB53" s="17"/>
      <c r="DC53" s="17"/>
      <c r="DD53" s="17"/>
      <c r="DE53" s="17"/>
      <c r="DF53" s="17"/>
      <c r="DG53" s="17"/>
      <c r="DH53" s="17"/>
      <c r="DI53" s="17"/>
      <c r="DJ53" s="11"/>
      <c r="DK53" s="17"/>
      <c r="DL53" s="17"/>
      <c r="DM53" s="17"/>
      <c r="DN53" s="17"/>
      <c r="DO53" s="17"/>
      <c r="DP53" s="17"/>
      <c r="DQ53" s="17"/>
      <c r="DR53" s="17"/>
      <c r="DS53" s="17"/>
      <c r="DT53" s="11"/>
      <c r="DU53" s="17"/>
      <c r="DV53" s="17"/>
      <c r="DW53" s="17"/>
      <c r="DX53" s="17"/>
      <c r="DY53" s="11"/>
      <c r="DZ53" s="17"/>
      <c r="EA53" s="17"/>
      <c r="EB53" s="17"/>
      <c r="EC53" s="17"/>
      <c r="ED53" s="17"/>
      <c r="EE53" s="17"/>
      <c r="EF53" s="17"/>
      <c r="EG53" s="17"/>
      <c r="EH53" s="17"/>
      <c r="EI53" s="11"/>
      <c r="EJ53" s="17"/>
      <c r="EK53" s="17"/>
      <c r="EL53" s="17"/>
      <c r="EM53" s="17"/>
      <c r="EN53" s="17"/>
      <c r="EO53" s="17"/>
      <c r="EP53" s="17"/>
      <c r="EQ53" s="11"/>
      <c r="ER53" s="11"/>
      <c r="ES53" s="10"/>
    </row>
    <row r="54" spans="1:155" ht="16.25" customHeight="1">
      <c r="C54" s="21"/>
      <c r="D54" s="262" t="s">
        <v>114</v>
      </c>
      <c r="E54" s="263"/>
      <c r="F54" s="263"/>
      <c r="G54" s="263"/>
      <c r="H54" s="263"/>
      <c r="I54" s="263"/>
      <c r="J54" s="263"/>
      <c r="K54" s="263"/>
      <c r="L54" s="263"/>
      <c r="M54" s="264"/>
      <c r="N54" s="268" t="str">
        <f>VLOOKUP($D$11,調査票①!$A$9:$HJ$30,53,FALSE)&amp;""</f>
        <v>　</v>
      </c>
      <c r="O54" s="268"/>
      <c r="P54" s="268"/>
      <c r="Q54" s="268"/>
      <c r="R54" s="317" t="str">
        <f>VLOOKUP($D$11,調査票①!$A$9:$HJ$30,54,FALSE)&amp;""</f>
        <v>　</v>
      </c>
      <c r="S54" s="317"/>
      <c r="T54" s="317"/>
      <c r="U54" s="317"/>
      <c r="V54" s="317"/>
      <c r="W54" s="317"/>
      <c r="X54" s="317"/>
      <c r="Y54" s="317"/>
      <c r="Z54" s="317"/>
      <c r="AA54" s="317"/>
      <c r="AB54" s="317"/>
      <c r="AC54" s="317"/>
      <c r="AD54" s="317"/>
      <c r="AE54" s="317"/>
      <c r="AF54" s="317"/>
      <c r="AG54" s="317"/>
      <c r="AH54" s="317"/>
      <c r="AI54" s="317"/>
      <c r="AJ54" s="317"/>
      <c r="AK54" s="317"/>
      <c r="AL54" s="317"/>
      <c r="AM54" s="317"/>
      <c r="AN54" s="317"/>
      <c r="AO54" s="317"/>
      <c r="AP54" s="317"/>
      <c r="AQ54" s="317"/>
      <c r="AR54" s="317"/>
      <c r="AS54" s="317"/>
      <c r="AT54" s="317"/>
      <c r="AU54" s="317"/>
      <c r="AV54" s="317"/>
      <c r="AW54" s="317"/>
      <c r="AX54" s="317"/>
      <c r="AY54" s="317"/>
      <c r="AZ54" s="317"/>
      <c r="BA54" s="317"/>
      <c r="BB54" s="317"/>
      <c r="BC54" s="317"/>
      <c r="BD54" s="317"/>
      <c r="BE54" s="317"/>
      <c r="BF54" s="317"/>
      <c r="BG54" s="317"/>
      <c r="BH54" s="317"/>
      <c r="BI54" s="317"/>
      <c r="BJ54" s="317"/>
      <c r="BK54" s="317"/>
      <c r="BL54" s="317"/>
      <c r="BM54" s="317"/>
      <c r="BN54" s="317"/>
      <c r="BO54" s="270">
        <f>調査票①!AZ30</f>
        <v>0.95</v>
      </c>
      <c r="BP54" s="271"/>
      <c r="BQ54" s="271"/>
      <c r="BR54" s="272"/>
      <c r="BS54" s="11"/>
      <c r="BT54" s="10"/>
      <c r="CB54" s="51"/>
      <c r="CC54" s="386" t="s">
        <v>57</v>
      </c>
      <c r="CD54" s="387"/>
      <c r="CE54" s="387"/>
      <c r="CF54" s="387"/>
      <c r="CG54" s="387"/>
      <c r="CH54" s="387"/>
      <c r="CI54" s="387"/>
      <c r="CJ54" s="387"/>
      <c r="CK54" s="387"/>
      <c r="CL54" s="388"/>
      <c r="CM54" s="395" t="str">
        <f>VLOOKUP($D$11,調査票①!$A$9:$HJ$30,209,FALSE)&amp;""</f>
        <v>　</v>
      </c>
      <c r="CN54" s="396"/>
      <c r="CO54" s="396"/>
      <c r="CP54" s="396"/>
      <c r="CQ54" s="396"/>
      <c r="CR54" s="396"/>
      <c r="CS54" s="396"/>
      <c r="CT54" s="396"/>
      <c r="CU54" s="396"/>
      <c r="CV54" s="397"/>
      <c r="CW54" s="17"/>
      <c r="CX54" s="17"/>
      <c r="CY54" s="17"/>
      <c r="CZ54" s="404" t="s">
        <v>61</v>
      </c>
      <c r="DA54" s="404"/>
      <c r="DB54" s="404"/>
      <c r="DC54" s="404"/>
      <c r="DD54" s="404"/>
      <c r="DE54" s="404"/>
      <c r="DF54" s="404"/>
      <c r="DG54" s="404"/>
      <c r="DH54" s="404"/>
      <c r="DI54" s="404"/>
      <c r="DJ54" s="331" t="str">
        <f>VLOOKUP($D$11,調査票①!$A$9:$HJ$30,210,FALSE)&amp;""</f>
        <v>　</v>
      </c>
      <c r="DK54" s="331"/>
      <c r="DL54" s="331"/>
      <c r="DM54" s="331"/>
      <c r="DN54" s="331"/>
      <c r="DO54" s="331"/>
      <c r="DP54" s="331"/>
      <c r="DQ54" s="331"/>
      <c r="DR54" s="331"/>
      <c r="DS54" s="331"/>
      <c r="DT54" s="17"/>
      <c r="DU54" s="17"/>
      <c r="DV54" s="17"/>
      <c r="DW54" s="17"/>
      <c r="DX54" s="17"/>
      <c r="DY54" s="17"/>
      <c r="DZ54" s="17"/>
      <c r="EA54" s="17"/>
      <c r="EB54" s="17"/>
      <c r="EC54" s="17"/>
      <c r="ED54" s="17"/>
      <c r="EE54" s="17"/>
      <c r="EF54" s="17"/>
      <c r="EG54" s="17"/>
      <c r="EH54" s="17"/>
      <c r="EI54" s="17"/>
      <c r="EJ54" s="17"/>
      <c r="EK54" s="17"/>
      <c r="EL54" s="17"/>
      <c r="EM54" s="17"/>
      <c r="EN54" s="17"/>
      <c r="EO54" s="17"/>
      <c r="EP54" s="17"/>
      <c r="EQ54" s="11"/>
      <c r="ER54" s="11"/>
      <c r="ES54" s="10"/>
    </row>
    <row r="55" spans="1:155" ht="16.25" customHeight="1">
      <c r="C55" s="21"/>
      <c r="D55" s="265"/>
      <c r="E55" s="266"/>
      <c r="F55" s="266"/>
      <c r="G55" s="266"/>
      <c r="H55" s="266"/>
      <c r="I55" s="266"/>
      <c r="J55" s="266"/>
      <c r="K55" s="266"/>
      <c r="L55" s="266"/>
      <c r="M55" s="267"/>
      <c r="N55" s="268"/>
      <c r="O55" s="268"/>
      <c r="P55" s="268"/>
      <c r="Q55" s="268"/>
      <c r="R55" s="317"/>
      <c r="S55" s="317"/>
      <c r="T55" s="317"/>
      <c r="U55" s="317"/>
      <c r="V55" s="317"/>
      <c r="W55" s="317"/>
      <c r="X55" s="317"/>
      <c r="Y55" s="317"/>
      <c r="Z55" s="317"/>
      <c r="AA55" s="317"/>
      <c r="AB55" s="317"/>
      <c r="AC55" s="317"/>
      <c r="AD55" s="317"/>
      <c r="AE55" s="317"/>
      <c r="AF55" s="317"/>
      <c r="AG55" s="317"/>
      <c r="AH55" s="317"/>
      <c r="AI55" s="317"/>
      <c r="AJ55" s="317"/>
      <c r="AK55" s="317"/>
      <c r="AL55" s="317"/>
      <c r="AM55" s="317"/>
      <c r="AN55" s="317"/>
      <c r="AO55" s="317"/>
      <c r="AP55" s="317"/>
      <c r="AQ55" s="317"/>
      <c r="AR55" s="317"/>
      <c r="AS55" s="317"/>
      <c r="AT55" s="317"/>
      <c r="AU55" s="317"/>
      <c r="AV55" s="317"/>
      <c r="AW55" s="317"/>
      <c r="AX55" s="317"/>
      <c r="AY55" s="317"/>
      <c r="AZ55" s="317"/>
      <c r="BA55" s="317"/>
      <c r="BB55" s="317"/>
      <c r="BC55" s="317"/>
      <c r="BD55" s="317"/>
      <c r="BE55" s="317"/>
      <c r="BF55" s="317"/>
      <c r="BG55" s="317"/>
      <c r="BH55" s="317"/>
      <c r="BI55" s="317"/>
      <c r="BJ55" s="317"/>
      <c r="BK55" s="317"/>
      <c r="BL55" s="317"/>
      <c r="BM55" s="317"/>
      <c r="BN55" s="317"/>
      <c r="BO55" s="273"/>
      <c r="BP55" s="274"/>
      <c r="BQ55" s="274"/>
      <c r="BR55" s="275"/>
      <c r="BS55" s="11"/>
      <c r="BT55" s="10"/>
      <c r="CA55" s="2"/>
      <c r="CB55" s="51"/>
      <c r="CC55" s="389"/>
      <c r="CD55" s="390"/>
      <c r="CE55" s="390"/>
      <c r="CF55" s="390"/>
      <c r="CG55" s="390"/>
      <c r="CH55" s="390"/>
      <c r="CI55" s="390"/>
      <c r="CJ55" s="390"/>
      <c r="CK55" s="390"/>
      <c r="CL55" s="391"/>
      <c r="CM55" s="398"/>
      <c r="CN55" s="399"/>
      <c r="CO55" s="399"/>
      <c r="CP55" s="399"/>
      <c r="CQ55" s="399"/>
      <c r="CR55" s="399"/>
      <c r="CS55" s="399"/>
      <c r="CT55" s="399"/>
      <c r="CU55" s="399"/>
      <c r="CV55" s="400"/>
      <c r="CW55" s="17"/>
      <c r="CX55" s="17"/>
      <c r="CY55" s="17"/>
      <c r="CZ55" s="404"/>
      <c r="DA55" s="404"/>
      <c r="DB55" s="404"/>
      <c r="DC55" s="404"/>
      <c r="DD55" s="404"/>
      <c r="DE55" s="404"/>
      <c r="DF55" s="404"/>
      <c r="DG55" s="404"/>
      <c r="DH55" s="404"/>
      <c r="DI55" s="404"/>
      <c r="DJ55" s="331"/>
      <c r="DK55" s="331"/>
      <c r="DL55" s="331"/>
      <c r="DM55" s="331"/>
      <c r="DN55" s="331"/>
      <c r="DO55" s="331"/>
      <c r="DP55" s="331"/>
      <c r="DQ55" s="331"/>
      <c r="DR55" s="331"/>
      <c r="DS55" s="331"/>
      <c r="DT55" s="17"/>
      <c r="DU55" s="17"/>
      <c r="DV55" s="17"/>
      <c r="DW55" s="17"/>
      <c r="DX55" s="17"/>
      <c r="DY55" s="17"/>
      <c r="DZ55" s="17"/>
      <c r="EA55" s="17"/>
      <c r="EB55" s="17"/>
      <c r="EC55" s="17"/>
      <c r="ED55" s="17"/>
      <c r="EE55" s="17"/>
      <c r="EF55" s="17"/>
      <c r="EG55" s="17"/>
      <c r="EH55" s="17"/>
      <c r="EI55" s="17"/>
      <c r="EJ55" s="17"/>
      <c r="EK55" s="17"/>
      <c r="EL55" s="17"/>
      <c r="EM55" s="17"/>
      <c r="EN55" s="17"/>
      <c r="EO55" s="17"/>
      <c r="EP55" s="17"/>
      <c r="EQ55" s="11"/>
      <c r="ER55" s="11"/>
      <c r="ES55" s="10"/>
    </row>
    <row r="56" spans="1:155" ht="12.65" customHeight="1">
      <c r="C56" s="21"/>
      <c r="D56" s="405" t="s">
        <v>467</v>
      </c>
      <c r="E56" s="405"/>
      <c r="F56" s="405"/>
      <c r="G56" s="405"/>
      <c r="H56" s="405"/>
      <c r="I56" s="405"/>
      <c r="J56" s="405"/>
      <c r="K56" s="405"/>
      <c r="L56" s="405"/>
      <c r="M56" s="405"/>
      <c r="N56" s="405"/>
      <c r="O56" s="405"/>
      <c r="P56" s="405"/>
      <c r="Q56" s="405"/>
      <c r="R56" s="405"/>
      <c r="S56" s="405"/>
      <c r="T56" s="405"/>
      <c r="U56" s="405"/>
      <c r="V56" s="405"/>
      <c r="W56" s="405"/>
      <c r="X56" s="405"/>
      <c r="Y56" s="405"/>
      <c r="Z56" s="405"/>
      <c r="AA56" s="405"/>
      <c r="AB56" s="52"/>
      <c r="AC56" s="52"/>
      <c r="AD56" s="53"/>
      <c r="AE56" s="53"/>
      <c r="AF56" s="53"/>
      <c r="AG56" s="53"/>
      <c r="AH56" s="53"/>
      <c r="AI56" s="53"/>
      <c r="AJ56" s="53"/>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0"/>
      <c r="BY56" s="2"/>
      <c r="CA56" s="2"/>
      <c r="CB56" s="51"/>
      <c r="CC56" s="392"/>
      <c r="CD56" s="393"/>
      <c r="CE56" s="393"/>
      <c r="CF56" s="393"/>
      <c r="CG56" s="393"/>
      <c r="CH56" s="393"/>
      <c r="CI56" s="393"/>
      <c r="CJ56" s="393"/>
      <c r="CK56" s="393"/>
      <c r="CL56" s="394"/>
      <c r="CM56" s="401"/>
      <c r="CN56" s="402"/>
      <c r="CO56" s="402"/>
      <c r="CP56" s="402"/>
      <c r="CQ56" s="402"/>
      <c r="CR56" s="402"/>
      <c r="CS56" s="402"/>
      <c r="CT56" s="402"/>
      <c r="CU56" s="402"/>
      <c r="CV56" s="403"/>
      <c r="CW56" s="17"/>
      <c r="CX56" s="17"/>
      <c r="CY56" s="17"/>
      <c r="CZ56" s="404"/>
      <c r="DA56" s="404"/>
      <c r="DB56" s="404"/>
      <c r="DC56" s="404"/>
      <c r="DD56" s="404"/>
      <c r="DE56" s="404"/>
      <c r="DF56" s="404"/>
      <c r="DG56" s="404"/>
      <c r="DH56" s="404"/>
      <c r="DI56" s="404"/>
      <c r="DJ56" s="331"/>
      <c r="DK56" s="331"/>
      <c r="DL56" s="331"/>
      <c r="DM56" s="331"/>
      <c r="DN56" s="331"/>
      <c r="DO56" s="331"/>
      <c r="DP56" s="331"/>
      <c r="DQ56" s="331"/>
      <c r="DR56" s="331"/>
      <c r="DS56" s="331"/>
      <c r="DT56" s="17"/>
      <c r="DU56" s="17"/>
      <c r="DV56" s="17"/>
      <c r="DW56" s="17"/>
      <c r="DX56" s="17"/>
      <c r="DY56" s="11"/>
      <c r="DZ56" s="17"/>
      <c r="EA56" s="17"/>
      <c r="EB56" s="17"/>
      <c r="EC56" s="17"/>
      <c r="ED56" s="17"/>
      <c r="EE56" s="17"/>
      <c r="EF56" s="17"/>
      <c r="EG56" s="17"/>
      <c r="EH56" s="17"/>
      <c r="EI56" s="11"/>
      <c r="EJ56" s="17"/>
      <c r="EK56" s="17"/>
      <c r="EL56" s="17"/>
      <c r="EM56" s="17"/>
      <c r="EN56" s="17"/>
      <c r="EO56" s="17"/>
      <c r="EP56" s="17"/>
      <c r="EQ56" s="11"/>
      <c r="ER56" s="11"/>
      <c r="ES56" s="10"/>
    </row>
    <row r="57" spans="1:155" ht="12.65" customHeight="1">
      <c r="C57" s="20"/>
      <c r="D57" s="406"/>
      <c r="E57" s="406"/>
      <c r="F57" s="406"/>
      <c r="G57" s="406"/>
      <c r="H57" s="406"/>
      <c r="I57" s="406"/>
      <c r="J57" s="406"/>
      <c r="K57" s="406"/>
      <c r="L57" s="406"/>
      <c r="M57" s="406"/>
      <c r="N57" s="406"/>
      <c r="O57" s="406"/>
      <c r="P57" s="406"/>
      <c r="Q57" s="406"/>
      <c r="R57" s="406"/>
      <c r="S57" s="406"/>
      <c r="T57" s="406"/>
      <c r="U57" s="406"/>
      <c r="V57" s="406"/>
      <c r="W57" s="406"/>
      <c r="X57" s="406"/>
      <c r="Y57" s="406"/>
      <c r="Z57" s="406"/>
      <c r="AA57" s="406"/>
      <c r="AB57" s="29"/>
      <c r="AC57" s="29"/>
      <c r="AD57" s="28"/>
      <c r="AE57" s="28"/>
      <c r="AF57" s="28"/>
      <c r="AG57" s="28"/>
      <c r="AH57" s="28"/>
      <c r="AI57" s="28"/>
      <c r="AJ57" s="28"/>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5"/>
      <c r="CA57" s="2"/>
      <c r="CB57" s="54"/>
      <c r="CC57" s="39"/>
      <c r="CD57" s="39"/>
      <c r="CE57" s="39"/>
      <c r="CF57" s="39"/>
      <c r="CG57" s="6"/>
      <c r="CH57" s="6"/>
      <c r="CI57" s="6"/>
      <c r="CJ57" s="6"/>
      <c r="CK57" s="39"/>
      <c r="CL57" s="39"/>
      <c r="CM57" s="39"/>
      <c r="CN57" s="39"/>
      <c r="CO57" s="39"/>
      <c r="CP57" s="39"/>
      <c r="CQ57" s="6"/>
      <c r="CR57" s="6"/>
      <c r="CS57" s="39"/>
      <c r="CT57" s="39"/>
      <c r="CU57" s="39"/>
      <c r="CV57" s="39"/>
      <c r="CW57" s="39"/>
      <c r="CX57" s="6"/>
      <c r="CY57" s="6"/>
      <c r="CZ57" s="6"/>
      <c r="DA57" s="6"/>
      <c r="DB57" s="39"/>
      <c r="DC57" s="39"/>
      <c r="DD57" s="39"/>
      <c r="DE57" s="39"/>
      <c r="DF57" s="39"/>
      <c r="DG57" s="39"/>
      <c r="DH57" s="6"/>
      <c r="DI57" s="6"/>
      <c r="DJ57" s="39"/>
      <c r="DK57" s="39"/>
      <c r="DL57" s="39"/>
      <c r="DM57" s="6"/>
      <c r="DN57" s="6"/>
      <c r="DO57" s="6"/>
      <c r="DP57" s="6"/>
      <c r="DQ57" s="39"/>
      <c r="DR57" s="39"/>
      <c r="DS57" s="39"/>
      <c r="DT57" s="39"/>
      <c r="DU57" s="39"/>
      <c r="DV57" s="6"/>
      <c r="DW57" s="6"/>
      <c r="DX57" s="6"/>
      <c r="DY57" s="6"/>
      <c r="DZ57" s="39"/>
      <c r="EA57" s="39"/>
      <c r="EB57" s="39"/>
      <c r="EC57" s="39"/>
      <c r="ED57" s="39"/>
      <c r="EE57" s="39"/>
      <c r="EF57" s="6"/>
      <c r="EG57" s="6"/>
      <c r="EH57" s="6"/>
      <c r="EI57" s="6"/>
      <c r="EJ57" s="39"/>
      <c r="EK57" s="39"/>
      <c r="EL57" s="39"/>
      <c r="EM57" s="39"/>
      <c r="EN57" s="6"/>
      <c r="EO57" s="6"/>
      <c r="EP57" s="6"/>
      <c r="EQ57" s="6"/>
      <c r="ER57" s="6"/>
      <c r="ES57" s="5"/>
    </row>
    <row r="58" spans="1:155" ht="12.65" customHeight="1">
      <c r="A58" s="19"/>
      <c r="B58" s="19"/>
      <c r="C58" s="7"/>
      <c r="D58" s="70"/>
      <c r="E58" s="70"/>
      <c r="F58" s="70"/>
      <c r="G58" s="70"/>
      <c r="H58" s="70"/>
      <c r="I58" s="70"/>
      <c r="J58" s="70"/>
      <c r="K58" s="70"/>
      <c r="L58" s="70"/>
      <c r="M58" s="70"/>
      <c r="N58" s="70"/>
      <c r="O58" s="70"/>
      <c r="P58" s="70"/>
      <c r="Q58" s="70"/>
      <c r="R58" s="70"/>
      <c r="S58" s="70"/>
      <c r="T58" s="70"/>
      <c r="U58" s="70"/>
      <c r="V58" s="70"/>
      <c r="W58" s="70"/>
      <c r="X58" s="70"/>
      <c r="Y58" s="70"/>
      <c r="Z58" s="70"/>
      <c r="AA58" s="70"/>
      <c r="AB58" s="71"/>
      <c r="AC58" s="71"/>
      <c r="AD58" s="72"/>
      <c r="AE58" s="72"/>
      <c r="AF58" s="72"/>
      <c r="AG58" s="72"/>
      <c r="AH58" s="72"/>
      <c r="AI58" s="72"/>
      <c r="AJ58" s="72"/>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X58" s="2"/>
      <c r="CA58" s="2"/>
      <c r="CB58" s="69"/>
      <c r="CC58" s="69"/>
      <c r="CD58" s="69"/>
      <c r="CE58" s="69"/>
      <c r="CF58" s="69"/>
      <c r="CG58" s="7"/>
      <c r="CH58" s="7"/>
      <c r="CI58" s="7"/>
      <c r="CJ58" s="7"/>
      <c r="CK58" s="69"/>
      <c r="CL58" s="69"/>
      <c r="CM58" s="69"/>
      <c r="CN58" s="69"/>
      <c r="CO58" s="69"/>
      <c r="CP58" s="69"/>
      <c r="CQ58" s="7"/>
      <c r="CR58" s="7"/>
      <c r="CS58" s="69"/>
      <c r="CT58" s="69"/>
      <c r="CU58" s="69"/>
      <c r="CV58" s="69"/>
      <c r="CW58" s="69"/>
      <c r="CX58" s="7"/>
      <c r="CY58" s="7"/>
      <c r="CZ58" s="7"/>
      <c r="DA58" s="7"/>
      <c r="DB58" s="69"/>
      <c r="DC58" s="69"/>
      <c r="DD58" s="69"/>
      <c r="DE58" s="69"/>
      <c r="DF58" s="69"/>
      <c r="DG58" s="69"/>
      <c r="DH58" s="7"/>
      <c r="DI58" s="7"/>
      <c r="DJ58" s="69"/>
      <c r="DK58" s="69"/>
      <c r="DL58" s="69"/>
      <c r="DM58" s="7"/>
      <c r="DN58" s="7"/>
      <c r="DO58" s="7"/>
      <c r="DP58" s="7"/>
      <c r="DQ58" s="69"/>
      <c r="DR58" s="69"/>
      <c r="DS58" s="69"/>
      <c r="DT58" s="69"/>
      <c r="DU58" s="69"/>
      <c r="DV58" s="7"/>
      <c r="DW58" s="7"/>
      <c r="DX58" s="7"/>
      <c r="DY58" s="7"/>
      <c r="DZ58" s="69"/>
      <c r="EA58" s="69"/>
      <c r="EB58" s="69"/>
      <c r="EC58" s="69"/>
      <c r="ED58" s="69"/>
      <c r="EE58" s="69"/>
      <c r="EF58" s="7"/>
      <c r="EG58" s="7"/>
      <c r="EH58" s="7"/>
      <c r="EI58" s="7"/>
      <c r="EJ58" s="69"/>
      <c r="EK58" s="69"/>
      <c r="EL58" s="69"/>
      <c r="EM58" s="69"/>
      <c r="EN58" s="7"/>
      <c r="EO58" s="7"/>
      <c r="EP58" s="7"/>
      <c r="EQ58" s="7"/>
      <c r="ER58" s="19"/>
      <c r="ES58" s="19"/>
    </row>
    <row r="59" spans="1:155" ht="12.65" customHeight="1">
      <c r="A59" s="19"/>
      <c r="B59" s="19"/>
      <c r="C59" s="7"/>
      <c r="D59" s="70"/>
      <c r="E59" s="70"/>
      <c r="F59" s="70"/>
      <c r="G59" s="70"/>
      <c r="H59" s="70"/>
      <c r="I59" s="70"/>
      <c r="J59" s="70"/>
      <c r="K59" s="70"/>
      <c r="L59" s="70"/>
      <c r="M59" s="70"/>
      <c r="N59" s="70"/>
      <c r="O59" s="70"/>
      <c r="P59" s="70"/>
      <c r="Q59" s="70"/>
      <c r="R59" s="70"/>
      <c r="S59" s="70"/>
      <c r="T59" s="70"/>
      <c r="U59" s="70"/>
      <c r="V59" s="70"/>
      <c r="W59" s="70"/>
      <c r="X59" s="70"/>
      <c r="Y59" s="70"/>
      <c r="Z59" s="70"/>
      <c r="AA59" s="70"/>
      <c r="AB59" s="71"/>
      <c r="AC59" s="71"/>
      <c r="AD59" s="72"/>
      <c r="AE59" s="72"/>
      <c r="AF59" s="72"/>
      <c r="AG59" s="72"/>
      <c r="AH59" s="72"/>
      <c r="AI59" s="72"/>
      <c r="AJ59" s="72"/>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CA59" s="2"/>
      <c r="CB59" s="69"/>
      <c r="CC59" s="69"/>
      <c r="CD59" s="69"/>
      <c r="CE59" s="69"/>
      <c r="CF59" s="69"/>
      <c r="CG59" s="7"/>
      <c r="CH59" s="7"/>
      <c r="CI59" s="7"/>
      <c r="CJ59" s="7"/>
      <c r="CK59" s="69"/>
      <c r="CL59" s="69"/>
      <c r="CM59" s="69"/>
      <c r="CN59" s="69"/>
      <c r="CO59" s="69"/>
      <c r="CP59" s="69"/>
      <c r="CQ59" s="7"/>
      <c r="CR59" s="7"/>
      <c r="CS59" s="69"/>
      <c r="CT59" s="69"/>
      <c r="CU59" s="69"/>
      <c r="CV59" s="69"/>
      <c r="CW59" s="69"/>
      <c r="CX59" s="7"/>
      <c r="CY59" s="7"/>
      <c r="CZ59" s="7"/>
      <c r="DA59" s="7"/>
      <c r="DB59" s="69"/>
      <c r="DC59" s="69"/>
      <c r="DD59" s="69"/>
      <c r="DE59" s="69"/>
      <c r="DF59" s="69"/>
      <c r="DG59" s="69"/>
      <c r="DH59" s="7"/>
      <c r="DI59" s="7"/>
      <c r="DJ59" s="69"/>
      <c r="DK59" s="69"/>
      <c r="DL59" s="69"/>
      <c r="DM59" s="7"/>
      <c r="DN59" s="7"/>
      <c r="DO59" s="7"/>
      <c r="DP59" s="7"/>
      <c r="DQ59" s="69"/>
      <c r="DR59" s="69"/>
      <c r="DS59" s="69"/>
      <c r="DT59" s="69"/>
      <c r="DU59" s="69"/>
      <c r="DV59" s="7"/>
      <c r="DW59" s="7"/>
      <c r="DX59" s="7"/>
      <c r="DY59" s="7"/>
      <c r="DZ59" s="69"/>
      <c r="EA59" s="69"/>
      <c r="EB59" s="69"/>
      <c r="EC59" s="69"/>
      <c r="ED59" s="69"/>
      <c r="EE59" s="69"/>
      <c r="EF59" s="7"/>
      <c r="EG59" s="7"/>
      <c r="EH59" s="7"/>
      <c r="EI59" s="7"/>
      <c r="EJ59" s="69"/>
      <c r="EK59" s="69"/>
      <c r="EL59" s="69"/>
      <c r="EM59" s="69"/>
      <c r="EN59" s="7"/>
      <c r="EO59" s="7"/>
      <c r="EP59" s="7"/>
      <c r="EQ59" s="7"/>
      <c r="ER59" s="19"/>
      <c r="ES59" s="19"/>
    </row>
    <row r="60" spans="1:155" ht="12.65" customHeight="1">
      <c r="C60" s="7"/>
      <c r="D60" s="70"/>
      <c r="E60" s="70"/>
      <c r="F60" s="70"/>
      <c r="G60" s="70"/>
      <c r="H60" s="70"/>
      <c r="I60" s="70"/>
      <c r="J60" s="70"/>
      <c r="K60" s="70"/>
      <c r="L60" s="70"/>
      <c r="M60" s="70"/>
      <c r="N60" s="70"/>
      <c r="O60" s="70"/>
      <c r="P60" s="70"/>
      <c r="Q60" s="70"/>
      <c r="R60" s="70"/>
      <c r="S60" s="70"/>
      <c r="T60" s="70"/>
      <c r="U60" s="70"/>
      <c r="V60" s="70"/>
      <c r="W60" s="70"/>
      <c r="X60" s="70"/>
      <c r="Y60" s="70"/>
      <c r="Z60" s="70"/>
      <c r="AA60" s="70"/>
      <c r="AB60" s="71"/>
      <c r="AC60" s="71"/>
      <c r="AD60" s="72"/>
      <c r="AE60" s="72"/>
      <c r="AF60" s="72"/>
      <c r="AG60" s="72"/>
      <c r="AH60" s="72"/>
      <c r="AI60" s="72"/>
      <c r="AJ60" s="72"/>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2"/>
      <c r="CL60" s="2"/>
      <c r="CM60" s="2"/>
    </row>
    <row r="61" spans="1:155" ht="12.65" customHeight="1">
      <c r="C61" s="7"/>
      <c r="D61" s="70"/>
      <c r="E61" s="70"/>
      <c r="F61" s="70"/>
      <c r="G61" s="70"/>
      <c r="H61" s="70"/>
      <c r="I61" s="70"/>
      <c r="J61" s="70"/>
      <c r="K61" s="70"/>
      <c r="L61" s="70"/>
      <c r="M61" s="70"/>
      <c r="N61" s="70"/>
      <c r="O61" s="70"/>
      <c r="P61" s="70"/>
      <c r="Q61" s="70"/>
      <c r="R61" s="70"/>
      <c r="S61" s="70"/>
      <c r="T61" s="70"/>
      <c r="U61" s="70"/>
      <c r="V61" s="70"/>
      <c r="W61" s="70"/>
      <c r="X61" s="70"/>
      <c r="Y61" s="70"/>
      <c r="Z61" s="70"/>
      <c r="AA61" s="70"/>
      <c r="AB61" s="71"/>
      <c r="AC61" s="71"/>
      <c r="AD61" s="72"/>
      <c r="AE61" s="72"/>
      <c r="AF61" s="72"/>
      <c r="AG61" s="72"/>
      <c r="AH61" s="72"/>
      <c r="AI61" s="72"/>
      <c r="AJ61" s="72"/>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CC61" s="16"/>
    </row>
    <row r="62" spans="1:155" ht="12.65" customHeight="1">
      <c r="BM62" s="27"/>
      <c r="BN62" s="27"/>
      <c r="BO62" s="27"/>
      <c r="BP62" s="55"/>
      <c r="BQ62" s="2"/>
      <c r="BR62" s="56"/>
      <c r="CB62" s="23"/>
      <c r="CC62" s="15"/>
      <c r="CD62" s="15"/>
      <c r="CE62" s="15"/>
      <c r="CF62" s="15"/>
      <c r="CG62" s="15"/>
      <c r="CH62" s="15"/>
      <c r="CI62" s="15"/>
      <c r="CJ62" s="15"/>
      <c r="CK62" s="15"/>
      <c r="CL62" s="15"/>
      <c r="CM62" s="15"/>
      <c r="CN62" s="15"/>
      <c r="CO62" s="15"/>
      <c r="CP62" s="15"/>
      <c r="CQ62" s="15"/>
      <c r="CR62" s="15"/>
      <c r="CS62" s="15"/>
      <c r="CT62" s="15"/>
      <c r="CU62" s="15"/>
      <c r="CV62" s="15"/>
      <c r="CW62" s="14"/>
      <c r="CX62" s="14"/>
      <c r="CY62" s="14"/>
      <c r="CZ62" s="14"/>
      <c r="DA62" s="14"/>
      <c r="DB62" s="14"/>
      <c r="DC62" s="14"/>
      <c r="DD62" s="14"/>
      <c r="DE62" s="14"/>
      <c r="DF62" s="14"/>
      <c r="DG62" s="14"/>
      <c r="DH62" s="14"/>
      <c r="DI62" s="14"/>
      <c r="DJ62" s="14"/>
      <c r="DK62" s="14"/>
      <c r="DL62" s="14"/>
      <c r="DM62" s="14"/>
      <c r="DN62" s="14"/>
      <c r="DO62" s="14"/>
      <c r="DP62" s="14"/>
      <c r="DQ62" s="14"/>
      <c r="DR62" s="14"/>
      <c r="DS62" s="14"/>
      <c r="DT62" s="14"/>
      <c r="DU62" s="14"/>
      <c r="DV62" s="14"/>
      <c r="DW62" s="14"/>
      <c r="DX62" s="14"/>
      <c r="DY62" s="14"/>
      <c r="DZ62" s="14"/>
      <c r="EA62" s="14"/>
      <c r="EB62" s="14"/>
      <c r="EC62" s="14"/>
      <c r="ED62" s="14"/>
      <c r="EE62" s="14"/>
      <c r="EF62" s="14"/>
      <c r="EG62" s="14"/>
      <c r="EH62" s="14"/>
      <c r="EI62" s="14"/>
      <c r="EJ62" s="14"/>
      <c r="EK62" s="57" t="s">
        <v>82</v>
      </c>
      <c r="EL62" s="48"/>
      <c r="EM62" s="48"/>
      <c r="EN62" s="48"/>
      <c r="EO62" s="48"/>
      <c r="EP62" s="48"/>
      <c r="EQ62" s="48"/>
      <c r="ER62" s="48"/>
      <c r="ES62" s="13"/>
      <c r="EV62" s="122"/>
      <c r="EW62" s="122"/>
      <c r="EX62" s="122"/>
      <c r="EY62" s="122"/>
    </row>
    <row r="63" spans="1:155" ht="12.65" customHeight="1">
      <c r="A63" s="11"/>
      <c r="C63" s="23"/>
      <c r="D63" s="15"/>
      <c r="E63" s="15"/>
      <c r="F63" s="15"/>
      <c r="G63" s="15"/>
      <c r="H63" s="15"/>
      <c r="I63" s="15"/>
      <c r="J63" s="15"/>
      <c r="K63" s="15"/>
      <c r="L63" s="15"/>
      <c r="M63" s="15"/>
      <c r="N63" s="15"/>
      <c r="O63" s="15"/>
      <c r="P63" s="15"/>
      <c r="Q63" s="15"/>
      <c r="R63" s="15"/>
      <c r="S63" s="15"/>
      <c r="T63" s="15"/>
      <c r="U63" s="15"/>
      <c r="V63" s="15"/>
      <c r="W63" s="15"/>
      <c r="X63" s="15"/>
      <c r="Y63" s="15"/>
      <c r="Z63" s="15"/>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26"/>
      <c r="BN63" s="26"/>
      <c r="BO63" s="26"/>
      <c r="BP63" s="14"/>
      <c r="BQ63" s="14"/>
      <c r="BR63" s="14"/>
      <c r="BS63" s="14"/>
      <c r="BT63" s="13"/>
      <c r="CB63" s="21"/>
      <c r="CC63" s="11"/>
      <c r="CD63" s="11"/>
      <c r="CE63" s="11"/>
      <c r="CF63" s="11"/>
      <c r="CG63" s="11"/>
      <c r="CH63" s="11"/>
      <c r="CI63" s="11"/>
      <c r="CJ63" s="11"/>
      <c r="CK63" s="11"/>
      <c r="CL63" s="11"/>
      <c r="CM63" s="11"/>
      <c r="CN63" s="11"/>
      <c r="CO63" s="11"/>
      <c r="CP63" s="11"/>
      <c r="CQ63" s="11"/>
      <c r="CR63" s="11"/>
      <c r="CS63" s="11"/>
      <c r="CT63" s="11"/>
      <c r="CU63" s="11"/>
      <c r="CV63" s="11"/>
      <c r="CW63" s="11"/>
      <c r="CX63" s="11"/>
      <c r="CY63" s="12"/>
      <c r="CZ63" s="12"/>
      <c r="DA63" s="11"/>
      <c r="DB63" s="11"/>
      <c r="DC63" s="11"/>
      <c r="DD63" s="12"/>
      <c r="DE63" s="12"/>
      <c r="DF63" s="12"/>
      <c r="DG63" s="12"/>
      <c r="DH63" s="12"/>
      <c r="DI63" s="12"/>
      <c r="DJ63" s="12"/>
      <c r="DK63" s="12"/>
      <c r="DL63" s="12"/>
      <c r="DM63" s="12"/>
      <c r="DN63" s="12"/>
      <c r="DO63" s="12"/>
      <c r="DP63" s="12"/>
      <c r="DQ63" s="12"/>
      <c r="DR63" s="12"/>
      <c r="DS63" s="12"/>
      <c r="DT63" s="12"/>
      <c r="DU63" s="12"/>
      <c r="DV63" s="12"/>
      <c r="DW63" s="12"/>
      <c r="DX63" s="124"/>
      <c r="DY63" s="124"/>
      <c r="DZ63" s="124"/>
      <c r="EA63" s="124"/>
      <c r="EB63" s="124"/>
      <c r="EC63" s="124"/>
      <c r="ED63" s="124"/>
      <c r="EE63" s="124"/>
      <c r="EF63" s="124"/>
      <c r="EG63" s="124"/>
      <c r="EH63" s="124"/>
      <c r="EI63" s="124"/>
      <c r="EJ63" s="10"/>
      <c r="EK63" s="425" t="s">
        <v>115</v>
      </c>
      <c r="EL63" s="426"/>
      <c r="EM63" s="426"/>
      <c r="EN63" s="426"/>
      <c r="EO63" s="426"/>
      <c r="EP63" s="426"/>
      <c r="EQ63" s="426"/>
      <c r="ER63" s="427"/>
      <c r="ES63" s="38"/>
      <c r="EV63" s="122"/>
      <c r="EW63" s="122"/>
      <c r="EX63" s="122"/>
      <c r="EY63" s="122"/>
    </row>
    <row r="64" spans="1:155" ht="16.25" customHeight="1">
      <c r="C64" s="21"/>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24"/>
      <c r="BN64" s="24"/>
      <c r="BO64" s="11"/>
      <c r="BP64" s="11"/>
      <c r="BQ64" s="11"/>
      <c r="BR64" s="11"/>
      <c r="BS64" s="11"/>
      <c r="BT64" s="10"/>
      <c r="BU64" s="32"/>
      <c r="BV64" s="32"/>
      <c r="BW64" s="32"/>
      <c r="BX64" s="32"/>
      <c r="CB64" s="21"/>
      <c r="CC64" s="12"/>
      <c r="CD64" s="12"/>
      <c r="CE64" s="12"/>
      <c r="CF64" s="12"/>
      <c r="CG64" s="12"/>
      <c r="CH64" s="12"/>
      <c r="CI64" s="12"/>
      <c r="CJ64" s="12"/>
      <c r="CK64" s="12"/>
      <c r="CL64" s="12"/>
      <c r="CM64" s="12"/>
      <c r="CN64" s="12"/>
      <c r="CO64" s="12"/>
      <c r="CP64" s="12"/>
      <c r="CQ64" s="12"/>
      <c r="CR64" s="12"/>
      <c r="CS64" s="12"/>
      <c r="CT64" s="12"/>
      <c r="CU64" s="12"/>
      <c r="CV64" s="12"/>
      <c r="CW64" s="12"/>
      <c r="CX64" s="12"/>
      <c r="CY64" s="12"/>
      <c r="CZ64" s="12"/>
      <c r="DA64" s="11"/>
      <c r="DB64" s="11"/>
      <c r="DC64" s="11"/>
      <c r="DD64" s="12"/>
      <c r="DE64" s="12"/>
      <c r="DF64" s="12"/>
      <c r="DG64" s="12"/>
      <c r="DH64" s="12"/>
      <c r="DI64" s="12"/>
      <c r="DJ64" s="12"/>
      <c r="DK64" s="12"/>
      <c r="DL64" s="12"/>
      <c r="DM64" s="12"/>
      <c r="DN64" s="12"/>
      <c r="DO64" s="12"/>
      <c r="DP64" s="12"/>
      <c r="DQ64" s="12"/>
      <c r="DR64" s="12"/>
      <c r="DS64" s="12"/>
      <c r="DT64" s="12"/>
      <c r="DU64" s="12"/>
      <c r="DV64" s="12"/>
      <c r="DW64" s="12"/>
      <c r="DX64" s="124"/>
      <c r="DY64" s="124"/>
      <c r="DZ64" s="124"/>
      <c r="EA64" s="124"/>
      <c r="EB64" s="124"/>
      <c r="EC64" s="124"/>
      <c r="ED64" s="124"/>
      <c r="EE64" s="124"/>
      <c r="EF64" s="124"/>
      <c r="EG64" s="124"/>
      <c r="EH64" s="124"/>
      <c r="EI64" s="124"/>
      <c r="EJ64" s="10"/>
      <c r="EK64" s="428"/>
      <c r="EL64" s="429"/>
      <c r="EM64" s="429"/>
      <c r="EN64" s="429"/>
      <c r="EO64" s="429"/>
      <c r="EP64" s="429"/>
      <c r="EQ64" s="429"/>
      <c r="ER64" s="430"/>
      <c r="ES64" s="10"/>
      <c r="EV64" s="109"/>
      <c r="EW64" s="109"/>
      <c r="EX64" s="109"/>
      <c r="EY64" s="109"/>
    </row>
    <row r="65" spans="3:155" ht="16.25" customHeight="1">
      <c r="C65" s="21"/>
      <c r="D65" s="11"/>
      <c r="E65" s="11"/>
      <c r="F65" s="11"/>
      <c r="G65" s="11"/>
      <c r="H65" s="11"/>
      <c r="I65" s="11"/>
      <c r="J65" s="11"/>
      <c r="K65" s="11"/>
      <c r="L65" s="11"/>
      <c r="M65" s="11"/>
      <c r="N65" s="11"/>
      <c r="O65" s="11"/>
      <c r="P65" s="11"/>
      <c r="Q65" s="11"/>
      <c r="R65" s="11"/>
      <c r="S65" s="11"/>
      <c r="T65" s="11"/>
      <c r="U65" s="11"/>
      <c r="V65" s="25"/>
      <c r="W65" s="25"/>
      <c r="X65" s="25"/>
      <c r="Y65" s="25"/>
      <c r="Z65" s="25"/>
      <c r="AA65" s="25"/>
      <c r="AB65" s="25"/>
      <c r="AC65" s="25"/>
      <c r="AD65" s="25"/>
      <c r="AE65" s="25"/>
      <c r="AF65" s="25"/>
      <c r="AG65" s="25"/>
      <c r="AH65" s="25"/>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22"/>
      <c r="BN65" s="24"/>
      <c r="BO65" s="431" t="s">
        <v>82</v>
      </c>
      <c r="BP65" s="431"/>
      <c r="BQ65" s="431"/>
      <c r="BR65" s="431"/>
      <c r="BS65" s="11"/>
      <c r="BT65" s="10"/>
      <c r="BU65" s="32"/>
      <c r="BV65" s="32"/>
      <c r="BW65" s="32"/>
      <c r="BX65" s="32"/>
      <c r="CB65" s="21"/>
      <c r="CC65" s="12"/>
      <c r="CD65" s="12"/>
      <c r="CE65" s="12"/>
      <c r="CF65" s="12"/>
      <c r="CG65" s="12"/>
      <c r="CH65" s="12"/>
      <c r="CI65" s="12"/>
      <c r="CJ65" s="12"/>
      <c r="CK65" s="12"/>
      <c r="CL65" s="12"/>
      <c r="CM65" s="12"/>
      <c r="CN65" s="12"/>
      <c r="CO65" s="12"/>
      <c r="CP65" s="12"/>
      <c r="CQ65" s="12"/>
      <c r="CR65" s="12"/>
      <c r="CS65" s="12"/>
      <c r="CT65" s="12"/>
      <c r="CU65" s="12"/>
      <c r="CV65" s="12"/>
      <c r="CW65" s="12"/>
      <c r="CX65" s="12"/>
      <c r="CY65" s="12"/>
      <c r="CZ65" s="12"/>
      <c r="DA65" s="11"/>
      <c r="DB65" s="11"/>
      <c r="DC65" s="11"/>
      <c r="DD65" s="12"/>
      <c r="DE65" s="12"/>
      <c r="DF65" s="12"/>
      <c r="DG65" s="12"/>
      <c r="DH65" s="12"/>
      <c r="DI65" s="12"/>
      <c r="DJ65" s="12"/>
      <c r="DK65" s="12"/>
      <c r="DL65" s="118"/>
      <c r="DM65" s="118"/>
      <c r="DN65" s="118"/>
      <c r="DO65" s="118"/>
      <c r="DP65" s="118"/>
      <c r="DQ65" s="118"/>
      <c r="DR65" s="118"/>
      <c r="DS65" s="118"/>
      <c r="DT65" s="118"/>
      <c r="DU65" s="118"/>
      <c r="DV65" s="118"/>
      <c r="DW65" s="118"/>
      <c r="DX65" s="118"/>
      <c r="DY65" s="118"/>
      <c r="DZ65" s="118"/>
      <c r="EA65" s="118"/>
      <c r="EB65" s="118"/>
      <c r="EC65" s="118"/>
      <c r="ED65" s="118"/>
      <c r="EE65" s="118"/>
      <c r="EF65" s="118"/>
      <c r="EG65" s="118"/>
      <c r="EH65" s="118"/>
      <c r="EI65" s="118"/>
      <c r="EJ65" s="10"/>
      <c r="EK65" s="432" t="s">
        <v>119</v>
      </c>
      <c r="EL65" s="433"/>
      <c r="EM65" s="433"/>
      <c r="EN65" s="434"/>
      <c r="EO65" s="438" t="s">
        <v>10</v>
      </c>
      <c r="EP65" s="433"/>
      <c r="EQ65" s="433"/>
      <c r="ER65" s="434"/>
      <c r="ES65" s="10"/>
      <c r="EV65" s="109"/>
      <c r="EW65" s="109"/>
      <c r="EX65" s="109"/>
      <c r="EY65" s="109"/>
    </row>
    <row r="66" spans="3:155" ht="16.25" customHeight="1">
      <c r="C66" s="21"/>
      <c r="D66" s="413"/>
      <c r="E66" s="413"/>
      <c r="F66" s="413"/>
      <c r="G66" s="413"/>
      <c r="H66" s="413"/>
      <c r="I66" s="413"/>
      <c r="J66" s="413"/>
      <c r="K66" s="413"/>
      <c r="L66" s="414" t="s">
        <v>116</v>
      </c>
      <c r="M66" s="415"/>
      <c r="N66" s="415"/>
      <c r="O66" s="416" t="s">
        <v>41</v>
      </c>
      <c r="P66" s="417"/>
      <c r="Q66" s="417"/>
      <c r="R66" s="418" t="s">
        <v>117</v>
      </c>
      <c r="S66" s="418"/>
      <c r="T66" s="418"/>
      <c r="U66" s="419" t="s">
        <v>118</v>
      </c>
      <c r="V66" s="420"/>
      <c r="W66" s="420"/>
      <c r="X66" s="420"/>
      <c r="Y66" s="420"/>
      <c r="Z66" s="420"/>
      <c r="AA66" s="420"/>
      <c r="AB66" s="420"/>
      <c r="AC66" s="420"/>
      <c r="AD66" s="420"/>
      <c r="AE66" s="420"/>
      <c r="AF66" s="420"/>
      <c r="AG66" s="420"/>
      <c r="AH66" s="420"/>
      <c r="AI66" s="421"/>
      <c r="AJ66" s="414" t="s">
        <v>59</v>
      </c>
      <c r="AK66" s="415"/>
      <c r="AL66" s="415"/>
      <c r="AM66" s="459" t="s">
        <v>43</v>
      </c>
      <c r="AN66" s="459"/>
      <c r="AO66" s="459"/>
      <c r="AP66" s="459"/>
      <c r="AQ66" s="459"/>
      <c r="AR66" s="459"/>
      <c r="AS66" s="459"/>
      <c r="AT66" s="459"/>
      <c r="AU66" s="459"/>
      <c r="AV66" s="459"/>
      <c r="AW66" s="459"/>
      <c r="AX66" s="459"/>
      <c r="AY66" s="459"/>
      <c r="AZ66" s="459"/>
      <c r="BA66" s="459"/>
      <c r="BB66" s="459"/>
      <c r="BC66" s="459"/>
      <c r="BD66" s="459"/>
      <c r="BE66" s="459"/>
      <c r="BF66" s="459"/>
      <c r="BG66" s="459"/>
      <c r="BH66" s="459"/>
      <c r="BI66" s="459"/>
      <c r="BJ66" s="459"/>
      <c r="BK66" s="459"/>
      <c r="BL66" s="459"/>
      <c r="BM66" s="459"/>
      <c r="BN66" s="460"/>
      <c r="BO66" s="463" t="s">
        <v>349</v>
      </c>
      <c r="BP66" s="464"/>
      <c r="BQ66" s="464"/>
      <c r="BR66" s="465"/>
      <c r="BS66" s="11"/>
      <c r="BT66" s="10"/>
      <c r="CB66" s="21"/>
      <c r="CC66" s="11"/>
      <c r="CD66" s="11"/>
      <c r="CE66" s="11"/>
      <c r="CF66" s="11"/>
      <c r="CG66" s="11"/>
      <c r="CH66" s="11"/>
      <c r="CI66" s="11"/>
      <c r="CJ66" s="11"/>
      <c r="CK66" s="11"/>
      <c r="CL66" s="11"/>
      <c r="CM66" s="11"/>
      <c r="CN66" s="11"/>
      <c r="CO66" s="11"/>
      <c r="CP66" s="11"/>
      <c r="CQ66" s="11"/>
      <c r="CR66" s="11"/>
      <c r="CS66" s="11"/>
      <c r="CT66" s="11"/>
      <c r="CU66" s="11"/>
      <c r="CV66" s="11"/>
      <c r="CW66" s="11"/>
      <c r="CX66" s="11"/>
      <c r="CY66" s="12"/>
      <c r="CZ66" s="12"/>
      <c r="DA66" s="11"/>
      <c r="DB66" s="11"/>
      <c r="DC66" s="11"/>
      <c r="DD66" s="296" t="s">
        <v>52</v>
      </c>
      <c r="DE66" s="297"/>
      <c r="DF66" s="297"/>
      <c r="DG66" s="297"/>
      <c r="DH66" s="297"/>
      <c r="DI66" s="297"/>
      <c r="DJ66" s="297"/>
      <c r="DK66" s="297"/>
      <c r="DL66" s="297"/>
      <c r="DM66" s="297"/>
      <c r="DN66" s="298"/>
      <c r="DO66" s="453"/>
      <c r="DP66" s="454"/>
      <c r="DQ66" s="454"/>
      <c r="DR66" s="454"/>
      <c r="DS66" s="454"/>
      <c r="DT66" s="454"/>
      <c r="DU66" s="454"/>
      <c r="DV66" s="454"/>
      <c r="DW66" s="454"/>
      <c r="DX66" s="454"/>
      <c r="DY66" s="454"/>
      <c r="DZ66" s="454"/>
      <c r="EA66" s="454"/>
      <c r="EB66" s="454"/>
      <c r="EC66" s="455"/>
      <c r="ED66" s="118"/>
      <c r="EE66" s="118"/>
      <c r="EF66" s="118"/>
      <c r="EG66" s="118"/>
      <c r="EH66" s="118"/>
      <c r="EI66" s="118"/>
      <c r="EJ66" s="10"/>
      <c r="EK66" s="435"/>
      <c r="EL66" s="436"/>
      <c r="EM66" s="436"/>
      <c r="EN66" s="437"/>
      <c r="EO66" s="435"/>
      <c r="EP66" s="436"/>
      <c r="EQ66" s="436"/>
      <c r="ER66" s="437"/>
      <c r="ES66" s="10"/>
      <c r="EV66" s="123"/>
      <c r="EW66" s="123"/>
      <c r="EX66" s="123"/>
      <c r="EY66" s="123"/>
    </row>
    <row r="67" spans="3:155" ht="16.25" customHeight="1">
      <c r="C67" s="21"/>
      <c r="D67" s="413"/>
      <c r="E67" s="413"/>
      <c r="F67" s="413"/>
      <c r="G67" s="413"/>
      <c r="H67" s="413"/>
      <c r="I67" s="413"/>
      <c r="J67" s="413"/>
      <c r="K67" s="413"/>
      <c r="L67" s="415"/>
      <c r="M67" s="415"/>
      <c r="N67" s="415"/>
      <c r="O67" s="417"/>
      <c r="P67" s="417"/>
      <c r="Q67" s="417"/>
      <c r="R67" s="418"/>
      <c r="S67" s="418"/>
      <c r="T67" s="418"/>
      <c r="U67" s="422"/>
      <c r="V67" s="423"/>
      <c r="W67" s="423"/>
      <c r="X67" s="423"/>
      <c r="Y67" s="423"/>
      <c r="Z67" s="423"/>
      <c r="AA67" s="423"/>
      <c r="AB67" s="423"/>
      <c r="AC67" s="423"/>
      <c r="AD67" s="423"/>
      <c r="AE67" s="423"/>
      <c r="AF67" s="423"/>
      <c r="AG67" s="423"/>
      <c r="AH67" s="423"/>
      <c r="AI67" s="424"/>
      <c r="AJ67" s="415"/>
      <c r="AK67" s="415"/>
      <c r="AL67" s="415"/>
      <c r="AM67" s="461"/>
      <c r="AN67" s="461"/>
      <c r="AO67" s="461"/>
      <c r="AP67" s="461"/>
      <c r="AQ67" s="461"/>
      <c r="AR67" s="461"/>
      <c r="AS67" s="461"/>
      <c r="AT67" s="461"/>
      <c r="AU67" s="461"/>
      <c r="AV67" s="461"/>
      <c r="AW67" s="461"/>
      <c r="AX67" s="461"/>
      <c r="AY67" s="461"/>
      <c r="AZ67" s="461"/>
      <c r="BA67" s="461"/>
      <c r="BB67" s="461"/>
      <c r="BC67" s="461"/>
      <c r="BD67" s="461"/>
      <c r="BE67" s="461"/>
      <c r="BF67" s="461"/>
      <c r="BG67" s="461"/>
      <c r="BH67" s="461"/>
      <c r="BI67" s="461"/>
      <c r="BJ67" s="461"/>
      <c r="BK67" s="461"/>
      <c r="BL67" s="461"/>
      <c r="BM67" s="461"/>
      <c r="BN67" s="462"/>
      <c r="BO67" s="466"/>
      <c r="BP67" s="467"/>
      <c r="BQ67" s="467"/>
      <c r="BR67" s="468"/>
      <c r="BS67" s="11"/>
      <c r="BT67" s="10"/>
      <c r="CB67" s="21"/>
      <c r="CC67" s="12"/>
      <c r="CD67" s="12"/>
      <c r="CE67" s="12"/>
      <c r="CF67" s="12"/>
      <c r="CG67" s="12"/>
      <c r="CH67" s="12"/>
      <c r="CI67" s="12"/>
      <c r="CJ67" s="12"/>
      <c r="CK67" s="12"/>
      <c r="CL67" s="12"/>
      <c r="CM67" s="12"/>
      <c r="CN67" s="12"/>
      <c r="CO67" s="12"/>
      <c r="CP67" s="12"/>
      <c r="CQ67" s="12"/>
      <c r="CR67" s="12"/>
      <c r="CS67" s="12"/>
      <c r="CT67" s="12"/>
      <c r="CU67" s="12"/>
      <c r="CV67" s="12"/>
      <c r="CW67" s="12"/>
      <c r="CX67" s="12"/>
      <c r="CY67" s="12"/>
      <c r="CZ67" s="12"/>
      <c r="DA67" s="11"/>
      <c r="DB67" s="11"/>
      <c r="DC67" s="11"/>
      <c r="DD67" s="299"/>
      <c r="DE67" s="300"/>
      <c r="DF67" s="300"/>
      <c r="DG67" s="300"/>
      <c r="DH67" s="300"/>
      <c r="DI67" s="300"/>
      <c r="DJ67" s="300"/>
      <c r="DK67" s="300"/>
      <c r="DL67" s="300"/>
      <c r="DM67" s="300"/>
      <c r="DN67" s="301"/>
      <c r="DO67" s="456"/>
      <c r="DP67" s="457"/>
      <c r="DQ67" s="457"/>
      <c r="DR67" s="457"/>
      <c r="DS67" s="457"/>
      <c r="DT67" s="457"/>
      <c r="DU67" s="457"/>
      <c r="DV67" s="457"/>
      <c r="DW67" s="457"/>
      <c r="DX67" s="457"/>
      <c r="DY67" s="457"/>
      <c r="DZ67" s="457"/>
      <c r="EA67" s="457"/>
      <c r="EB67" s="457"/>
      <c r="EC67" s="458"/>
      <c r="ED67" s="516"/>
      <c r="EE67" s="166"/>
      <c r="EF67" s="166"/>
      <c r="EG67" s="166"/>
      <c r="EH67" s="166"/>
      <c r="EI67" s="166"/>
      <c r="EJ67" s="11"/>
      <c r="EK67" s="407">
        <f>調査票①!HD30</f>
        <v>0</v>
      </c>
      <c r="EL67" s="408"/>
      <c r="EM67" s="408"/>
      <c r="EN67" s="409"/>
      <c r="EO67" s="407">
        <f>1-EK67</f>
        <v>1</v>
      </c>
      <c r="EP67" s="408"/>
      <c r="EQ67" s="408"/>
      <c r="ER67" s="409"/>
      <c r="ES67" s="10"/>
      <c r="EV67" s="123"/>
      <c r="EW67" s="123"/>
      <c r="EX67" s="123"/>
      <c r="EY67" s="123"/>
    </row>
    <row r="68" spans="3:155" ht="20.5" customHeight="1">
      <c r="C68" s="21"/>
      <c r="D68" s="418" t="s">
        <v>120</v>
      </c>
      <c r="E68" s="418"/>
      <c r="F68" s="418"/>
      <c r="G68" s="418"/>
      <c r="H68" s="418"/>
      <c r="I68" s="418"/>
      <c r="J68" s="418"/>
      <c r="K68" s="418"/>
      <c r="L68" s="439" t="str">
        <f>VLOOKUP($D$11,調査票①!$A$9:$HJ$30,55,FALSE)&amp;""</f>
        <v>15</v>
      </c>
      <c r="M68" s="439"/>
      <c r="N68" s="439"/>
      <c r="O68" s="439" t="str">
        <f>VLOOKUP($D$11,調査票①!$A$9:$HJ$30,56,FALSE)&amp;""</f>
        <v>15</v>
      </c>
      <c r="P68" s="439"/>
      <c r="Q68" s="439"/>
      <c r="R68" s="440">
        <f>VLOOKUP($D$11,調査票①!$A$9:$HJ$30,57,FALSE)</f>
        <v>1</v>
      </c>
      <c r="S68" s="440"/>
      <c r="T68" s="440"/>
      <c r="U68" s="441" t="str">
        <f>VLOOKUP($D$11,調査票①!$A$9:$HJ$30,58,FALSE)&amp;""</f>
        <v>　</v>
      </c>
      <c r="V68" s="442"/>
      <c r="W68" s="442"/>
      <c r="X68" s="442"/>
      <c r="Y68" s="442"/>
      <c r="Z68" s="442"/>
      <c r="AA68" s="442"/>
      <c r="AB68" s="442"/>
      <c r="AC68" s="442"/>
      <c r="AD68" s="442"/>
      <c r="AE68" s="442"/>
      <c r="AF68" s="442"/>
      <c r="AG68" s="442"/>
      <c r="AH68" s="442"/>
      <c r="AI68" s="443"/>
      <c r="AJ68" s="418" t="str">
        <f>VLOOKUP($D$11,調査票①!$A$9:$HJ$30,59,FALSE)&amp;""</f>
        <v>0</v>
      </c>
      <c r="AK68" s="418"/>
      <c r="AL68" s="418"/>
      <c r="AM68" s="447" t="str">
        <f>VLOOKUP($D$11,調査票①!$A$9:$HJ$30,60,FALSE)&amp;""</f>
        <v>　</v>
      </c>
      <c r="AN68" s="448"/>
      <c r="AO68" s="448"/>
      <c r="AP68" s="448"/>
      <c r="AQ68" s="448"/>
      <c r="AR68" s="448"/>
      <c r="AS68" s="448"/>
      <c r="AT68" s="448"/>
      <c r="AU68" s="448"/>
      <c r="AV68" s="448"/>
      <c r="AW68" s="448"/>
      <c r="AX68" s="448"/>
      <c r="AY68" s="448"/>
      <c r="AZ68" s="448"/>
      <c r="BA68" s="448"/>
      <c r="BB68" s="448"/>
      <c r="BC68" s="448"/>
      <c r="BD68" s="448"/>
      <c r="BE68" s="448"/>
      <c r="BF68" s="448"/>
      <c r="BG68" s="448"/>
      <c r="BH68" s="448"/>
      <c r="BI68" s="448"/>
      <c r="BJ68" s="448"/>
      <c r="BK68" s="448"/>
      <c r="BL68" s="448"/>
      <c r="BM68" s="448"/>
      <c r="BN68" s="449"/>
      <c r="BO68" s="270">
        <f>調査票①!BE29</f>
        <v>0.92170818505338081</v>
      </c>
      <c r="BP68" s="271"/>
      <c r="BQ68" s="271"/>
      <c r="BR68" s="272"/>
      <c r="BS68" s="11"/>
      <c r="BT68" s="10"/>
      <c r="CB68" s="21"/>
      <c r="CC68" s="296" t="s">
        <v>8</v>
      </c>
      <c r="CD68" s="297"/>
      <c r="CE68" s="297"/>
      <c r="CF68" s="297"/>
      <c r="CG68" s="297"/>
      <c r="CH68" s="297"/>
      <c r="CI68" s="297"/>
      <c r="CJ68" s="297"/>
      <c r="CK68" s="297"/>
      <c r="CL68" s="298"/>
      <c r="CM68" s="296" t="str">
        <f>VLOOKUP($D$11,調査票①!$A$9:$HJ$30,211,FALSE)&amp;""</f>
        <v/>
      </c>
      <c r="CN68" s="297"/>
      <c r="CO68" s="297"/>
      <c r="CP68" s="297"/>
      <c r="CQ68" s="297"/>
      <c r="CR68" s="297"/>
      <c r="CS68" s="297"/>
      <c r="CT68" s="297"/>
      <c r="CU68" s="297"/>
      <c r="CV68" s="297"/>
      <c r="CW68" s="297"/>
      <c r="CX68" s="297"/>
      <c r="CY68" s="297"/>
      <c r="CZ68" s="298"/>
      <c r="DA68" s="11"/>
      <c r="DB68" s="11"/>
      <c r="DC68" s="11"/>
      <c r="DD68" s="497" t="s">
        <v>51</v>
      </c>
      <c r="DE68" s="497"/>
      <c r="DF68" s="497"/>
      <c r="DG68" s="497"/>
      <c r="DH68" s="497"/>
      <c r="DI68" s="497"/>
      <c r="DJ68" s="497"/>
      <c r="DK68" s="497"/>
      <c r="DL68" s="497"/>
      <c r="DM68" s="497"/>
      <c r="DN68" s="497"/>
      <c r="DO68" s="498" t="str">
        <f>VLOOKUP($D$11,調査票①!$A$9:$HJ$30,212,FALSE)&amp;""</f>
        <v/>
      </c>
      <c r="DP68" s="498"/>
      <c r="DQ68" s="498"/>
      <c r="DR68" s="498"/>
      <c r="DS68" s="498"/>
      <c r="DT68" s="498"/>
      <c r="DU68" s="498"/>
      <c r="DV68" s="498"/>
      <c r="DW68" s="498"/>
      <c r="DX68" s="498"/>
      <c r="DY68" s="498"/>
      <c r="DZ68" s="498"/>
      <c r="EA68" s="498"/>
      <c r="EB68" s="498"/>
      <c r="EC68" s="498"/>
      <c r="ED68" s="165"/>
      <c r="EE68" s="166"/>
      <c r="EF68" s="166"/>
      <c r="EG68" s="166"/>
      <c r="EH68" s="166"/>
      <c r="EI68" s="166"/>
      <c r="EJ68" s="10"/>
      <c r="EK68" s="410"/>
      <c r="EL68" s="411"/>
      <c r="EM68" s="411"/>
      <c r="EN68" s="412"/>
      <c r="EO68" s="410"/>
      <c r="EP68" s="411"/>
      <c r="EQ68" s="411"/>
      <c r="ER68" s="412"/>
      <c r="ES68" s="10"/>
    </row>
    <row r="69" spans="3:155" ht="20.5" customHeight="1">
      <c r="C69" s="21"/>
      <c r="D69" s="418"/>
      <c r="E69" s="418"/>
      <c r="F69" s="418"/>
      <c r="G69" s="418"/>
      <c r="H69" s="418"/>
      <c r="I69" s="418"/>
      <c r="J69" s="418"/>
      <c r="K69" s="418"/>
      <c r="L69" s="439"/>
      <c r="M69" s="439"/>
      <c r="N69" s="439"/>
      <c r="O69" s="439"/>
      <c r="P69" s="439"/>
      <c r="Q69" s="439"/>
      <c r="R69" s="440"/>
      <c r="S69" s="440"/>
      <c r="T69" s="440"/>
      <c r="U69" s="444"/>
      <c r="V69" s="445"/>
      <c r="W69" s="445"/>
      <c r="X69" s="445"/>
      <c r="Y69" s="445"/>
      <c r="Z69" s="445"/>
      <c r="AA69" s="445"/>
      <c r="AB69" s="445"/>
      <c r="AC69" s="445"/>
      <c r="AD69" s="445"/>
      <c r="AE69" s="445"/>
      <c r="AF69" s="445"/>
      <c r="AG69" s="445"/>
      <c r="AH69" s="445"/>
      <c r="AI69" s="446"/>
      <c r="AJ69" s="418"/>
      <c r="AK69" s="418"/>
      <c r="AL69" s="418"/>
      <c r="AM69" s="450"/>
      <c r="AN69" s="451"/>
      <c r="AO69" s="451"/>
      <c r="AP69" s="451"/>
      <c r="AQ69" s="451"/>
      <c r="AR69" s="451"/>
      <c r="AS69" s="451"/>
      <c r="AT69" s="451"/>
      <c r="AU69" s="451"/>
      <c r="AV69" s="451"/>
      <c r="AW69" s="451"/>
      <c r="AX69" s="451"/>
      <c r="AY69" s="451"/>
      <c r="AZ69" s="451"/>
      <c r="BA69" s="451"/>
      <c r="BB69" s="451"/>
      <c r="BC69" s="451"/>
      <c r="BD69" s="451"/>
      <c r="BE69" s="451"/>
      <c r="BF69" s="451"/>
      <c r="BG69" s="451"/>
      <c r="BH69" s="451"/>
      <c r="BI69" s="451"/>
      <c r="BJ69" s="451"/>
      <c r="BK69" s="451"/>
      <c r="BL69" s="451"/>
      <c r="BM69" s="451"/>
      <c r="BN69" s="452"/>
      <c r="BO69" s="273"/>
      <c r="BP69" s="274"/>
      <c r="BQ69" s="274"/>
      <c r="BR69" s="275"/>
      <c r="BS69" s="11"/>
      <c r="BT69" s="10"/>
      <c r="CB69" s="21"/>
      <c r="CC69" s="502"/>
      <c r="CD69" s="503"/>
      <c r="CE69" s="503"/>
      <c r="CF69" s="503"/>
      <c r="CG69" s="503"/>
      <c r="CH69" s="503"/>
      <c r="CI69" s="503"/>
      <c r="CJ69" s="503"/>
      <c r="CK69" s="503"/>
      <c r="CL69" s="504"/>
      <c r="CM69" s="502"/>
      <c r="CN69" s="503"/>
      <c r="CO69" s="503"/>
      <c r="CP69" s="503"/>
      <c r="CQ69" s="503"/>
      <c r="CR69" s="503"/>
      <c r="CS69" s="503"/>
      <c r="CT69" s="503"/>
      <c r="CU69" s="503"/>
      <c r="CV69" s="503"/>
      <c r="CW69" s="503"/>
      <c r="CX69" s="503"/>
      <c r="CY69" s="503"/>
      <c r="CZ69" s="504"/>
      <c r="DA69" s="11"/>
      <c r="DB69" s="11"/>
      <c r="DC69" s="11"/>
      <c r="DD69" s="497"/>
      <c r="DE69" s="497"/>
      <c r="DF69" s="497"/>
      <c r="DG69" s="497"/>
      <c r="DH69" s="497"/>
      <c r="DI69" s="497"/>
      <c r="DJ69" s="497"/>
      <c r="DK69" s="497"/>
      <c r="DL69" s="497"/>
      <c r="DM69" s="497"/>
      <c r="DN69" s="497"/>
      <c r="DO69" s="498"/>
      <c r="DP69" s="498"/>
      <c r="DQ69" s="498"/>
      <c r="DR69" s="498"/>
      <c r="DS69" s="498"/>
      <c r="DT69" s="498"/>
      <c r="DU69" s="498"/>
      <c r="DV69" s="498"/>
      <c r="DW69" s="498"/>
      <c r="DX69" s="498"/>
      <c r="DY69" s="498"/>
      <c r="DZ69" s="498"/>
      <c r="EA69" s="498"/>
      <c r="EB69" s="498"/>
      <c r="EC69" s="498"/>
      <c r="ED69" s="58"/>
      <c r="EE69" s="58"/>
      <c r="EF69" s="58"/>
      <c r="EG69" s="58"/>
      <c r="EH69" s="58"/>
      <c r="EI69" s="58"/>
      <c r="EJ69" s="11"/>
      <c r="EK69" s="17"/>
      <c r="EL69" s="37"/>
      <c r="EM69" s="17"/>
      <c r="EN69" s="17"/>
      <c r="EO69" s="17"/>
      <c r="EP69" s="17"/>
      <c r="EQ69" s="11"/>
      <c r="ER69" s="11"/>
      <c r="ES69" s="10"/>
    </row>
    <row r="70" spans="3:155" ht="20.5" customHeight="1">
      <c r="C70" s="21"/>
      <c r="D70" s="469" t="s">
        <v>145</v>
      </c>
      <c r="E70" s="418"/>
      <c r="F70" s="418"/>
      <c r="G70" s="418"/>
      <c r="H70" s="418"/>
      <c r="I70" s="418"/>
      <c r="J70" s="418"/>
      <c r="K70" s="418"/>
      <c r="L70" s="439" t="str">
        <f>VLOOKUP($D$11,調査票①!$A$9:$HJ$30,61,FALSE)&amp;""</f>
        <v>10</v>
      </c>
      <c r="M70" s="439"/>
      <c r="N70" s="439"/>
      <c r="O70" s="439" t="str">
        <f>VLOOKUP($D$11,調査票①!$A$9:$HJ$30,62,FALSE)&amp;""</f>
        <v>7</v>
      </c>
      <c r="P70" s="439"/>
      <c r="Q70" s="439"/>
      <c r="R70" s="440">
        <f>VLOOKUP($D$11,調査票①!$A$9:$HJ$30,63,FALSE)</f>
        <v>0.7</v>
      </c>
      <c r="S70" s="440"/>
      <c r="T70" s="440"/>
      <c r="U70" s="470" t="str">
        <f>VLOOKUP($D$11,調査票①!$A$9:$HJ$30,64,FALSE)&amp;""</f>
        <v>・利用者が限定されているとともに、管理者の常駐管理を必要とせず、管理費用が極めて少額であるため
・都市公園法に基づき管理許可をしており、維持管理費を負担する条件で使用料を免除しているため、本市の財政的負担を軽減できており、効率的な管理運営がなされているため。</v>
      </c>
      <c r="V70" s="471"/>
      <c r="W70" s="471"/>
      <c r="X70" s="471"/>
      <c r="Y70" s="471"/>
      <c r="Z70" s="471"/>
      <c r="AA70" s="471"/>
      <c r="AB70" s="471"/>
      <c r="AC70" s="471"/>
      <c r="AD70" s="471"/>
      <c r="AE70" s="471"/>
      <c r="AF70" s="471"/>
      <c r="AG70" s="471"/>
      <c r="AH70" s="471"/>
      <c r="AI70" s="472"/>
      <c r="AJ70" s="418" t="str">
        <f>VLOOKUP($D$11,調査票①!$A$9:$HJ$30,65,FALSE)&amp;""</f>
        <v>0</v>
      </c>
      <c r="AK70" s="418"/>
      <c r="AL70" s="418"/>
      <c r="AM70" s="447" t="str">
        <f>VLOOKUP($D$11,調査票①!$A$9:$HJ$30,66,FALSE)&amp;""</f>
        <v>　</v>
      </c>
      <c r="AN70" s="448"/>
      <c r="AO70" s="448"/>
      <c r="AP70" s="448"/>
      <c r="AQ70" s="448"/>
      <c r="AR70" s="448"/>
      <c r="AS70" s="448"/>
      <c r="AT70" s="448"/>
      <c r="AU70" s="448"/>
      <c r="AV70" s="448"/>
      <c r="AW70" s="448"/>
      <c r="AX70" s="448"/>
      <c r="AY70" s="448"/>
      <c r="AZ70" s="448"/>
      <c r="BA70" s="448"/>
      <c r="BB70" s="448"/>
      <c r="BC70" s="448"/>
      <c r="BD70" s="448"/>
      <c r="BE70" s="448"/>
      <c r="BF70" s="448"/>
      <c r="BG70" s="448"/>
      <c r="BH70" s="448"/>
      <c r="BI70" s="448"/>
      <c r="BJ70" s="448"/>
      <c r="BK70" s="448"/>
      <c r="BL70" s="448"/>
      <c r="BM70" s="448"/>
      <c r="BN70" s="449"/>
      <c r="BO70" s="270">
        <f>調査票①!BK29</f>
        <v>0.64049586776859502</v>
      </c>
      <c r="BP70" s="271"/>
      <c r="BQ70" s="271"/>
      <c r="BR70" s="272"/>
      <c r="BS70" s="11"/>
      <c r="BT70" s="10"/>
      <c r="CB70" s="21"/>
      <c r="CC70" s="502"/>
      <c r="CD70" s="503"/>
      <c r="CE70" s="503"/>
      <c r="CF70" s="503"/>
      <c r="CG70" s="503"/>
      <c r="CH70" s="503"/>
      <c r="CI70" s="503"/>
      <c r="CJ70" s="503"/>
      <c r="CK70" s="503"/>
      <c r="CL70" s="504"/>
      <c r="CM70" s="502"/>
      <c r="CN70" s="503"/>
      <c r="CO70" s="503"/>
      <c r="CP70" s="503"/>
      <c r="CQ70" s="503"/>
      <c r="CR70" s="503"/>
      <c r="CS70" s="503"/>
      <c r="CT70" s="503"/>
      <c r="CU70" s="503"/>
      <c r="CV70" s="503"/>
      <c r="CW70" s="503"/>
      <c r="CX70" s="503"/>
      <c r="CY70" s="503"/>
      <c r="CZ70" s="504"/>
      <c r="DA70" s="11"/>
      <c r="DB70" s="11"/>
      <c r="DC70" s="11"/>
      <c r="DD70" s="497"/>
      <c r="DE70" s="497"/>
      <c r="DF70" s="497"/>
      <c r="DG70" s="497"/>
      <c r="DH70" s="497"/>
      <c r="DI70" s="497"/>
      <c r="DJ70" s="497"/>
      <c r="DK70" s="497"/>
      <c r="DL70" s="497"/>
      <c r="DM70" s="497"/>
      <c r="DN70" s="497"/>
      <c r="DO70" s="498"/>
      <c r="DP70" s="498"/>
      <c r="DQ70" s="498"/>
      <c r="DR70" s="498"/>
      <c r="DS70" s="498"/>
      <c r="DT70" s="498"/>
      <c r="DU70" s="498"/>
      <c r="DV70" s="498"/>
      <c r="DW70" s="498"/>
      <c r="DX70" s="498"/>
      <c r="DY70" s="498"/>
      <c r="DZ70" s="498"/>
      <c r="EA70" s="498"/>
      <c r="EB70" s="498"/>
      <c r="EC70" s="498"/>
      <c r="ED70" s="12"/>
      <c r="EE70" s="12"/>
      <c r="EF70" s="12"/>
      <c r="EG70" s="12"/>
      <c r="EH70" s="12"/>
      <c r="EI70" s="12"/>
      <c r="EJ70" s="11"/>
      <c r="EK70" s="17"/>
      <c r="EL70" s="17"/>
      <c r="EM70" s="17"/>
      <c r="EN70" s="17"/>
      <c r="EO70" s="17"/>
      <c r="EP70" s="17"/>
      <c r="EQ70" s="11"/>
      <c r="ER70" s="11"/>
      <c r="ES70" s="10"/>
    </row>
    <row r="71" spans="3:155" ht="20.5" customHeight="1">
      <c r="C71" s="21"/>
      <c r="D71" s="418"/>
      <c r="E71" s="418"/>
      <c r="F71" s="418"/>
      <c r="G71" s="418"/>
      <c r="H71" s="418"/>
      <c r="I71" s="418"/>
      <c r="J71" s="418"/>
      <c r="K71" s="418"/>
      <c r="L71" s="439"/>
      <c r="M71" s="439"/>
      <c r="N71" s="439"/>
      <c r="O71" s="439"/>
      <c r="P71" s="439"/>
      <c r="Q71" s="439"/>
      <c r="R71" s="440"/>
      <c r="S71" s="440"/>
      <c r="T71" s="440"/>
      <c r="U71" s="473"/>
      <c r="V71" s="474"/>
      <c r="W71" s="474"/>
      <c r="X71" s="474"/>
      <c r="Y71" s="474"/>
      <c r="Z71" s="474"/>
      <c r="AA71" s="474"/>
      <c r="AB71" s="474"/>
      <c r="AC71" s="474"/>
      <c r="AD71" s="474"/>
      <c r="AE71" s="474"/>
      <c r="AF71" s="474"/>
      <c r="AG71" s="474"/>
      <c r="AH71" s="474"/>
      <c r="AI71" s="475"/>
      <c r="AJ71" s="418"/>
      <c r="AK71" s="418"/>
      <c r="AL71" s="418"/>
      <c r="AM71" s="450"/>
      <c r="AN71" s="451"/>
      <c r="AO71" s="451"/>
      <c r="AP71" s="451"/>
      <c r="AQ71" s="451"/>
      <c r="AR71" s="451"/>
      <c r="AS71" s="451"/>
      <c r="AT71" s="451"/>
      <c r="AU71" s="451"/>
      <c r="AV71" s="451"/>
      <c r="AW71" s="451"/>
      <c r="AX71" s="451"/>
      <c r="AY71" s="451"/>
      <c r="AZ71" s="451"/>
      <c r="BA71" s="451"/>
      <c r="BB71" s="451"/>
      <c r="BC71" s="451"/>
      <c r="BD71" s="451"/>
      <c r="BE71" s="451"/>
      <c r="BF71" s="451"/>
      <c r="BG71" s="451"/>
      <c r="BH71" s="451"/>
      <c r="BI71" s="451"/>
      <c r="BJ71" s="451"/>
      <c r="BK71" s="451"/>
      <c r="BL71" s="451"/>
      <c r="BM71" s="451"/>
      <c r="BN71" s="452"/>
      <c r="BO71" s="273"/>
      <c r="BP71" s="274"/>
      <c r="BQ71" s="274"/>
      <c r="BR71" s="275"/>
      <c r="BS71" s="11"/>
      <c r="BT71" s="10"/>
      <c r="CB71" s="21"/>
      <c r="CC71" s="299"/>
      <c r="CD71" s="300"/>
      <c r="CE71" s="300"/>
      <c r="CF71" s="300"/>
      <c r="CG71" s="300"/>
      <c r="CH71" s="300"/>
      <c r="CI71" s="300"/>
      <c r="CJ71" s="300"/>
      <c r="CK71" s="300"/>
      <c r="CL71" s="301"/>
      <c r="CM71" s="299"/>
      <c r="CN71" s="300"/>
      <c r="CO71" s="300"/>
      <c r="CP71" s="300"/>
      <c r="CQ71" s="300"/>
      <c r="CR71" s="300"/>
      <c r="CS71" s="300"/>
      <c r="CT71" s="300"/>
      <c r="CU71" s="300"/>
      <c r="CV71" s="300"/>
      <c r="CW71" s="300"/>
      <c r="CX71" s="300"/>
      <c r="CY71" s="300"/>
      <c r="CZ71" s="301"/>
      <c r="DA71" s="11"/>
      <c r="DB71" s="11"/>
      <c r="DC71" s="11"/>
      <c r="DD71" s="497" t="s">
        <v>50</v>
      </c>
      <c r="DE71" s="497"/>
      <c r="DF71" s="497"/>
      <c r="DG71" s="497"/>
      <c r="DH71" s="497"/>
      <c r="DI71" s="497"/>
      <c r="DJ71" s="497"/>
      <c r="DK71" s="497"/>
      <c r="DL71" s="497"/>
      <c r="DM71" s="497"/>
      <c r="DN71" s="497"/>
      <c r="DO71" s="498" t="str">
        <f>IF(VLOOKUP($D$11,調査票①!$A$9:$HJ$30,212,FALSE)="○","","○")</f>
        <v>○</v>
      </c>
      <c r="DP71" s="498"/>
      <c r="DQ71" s="498"/>
      <c r="DR71" s="498"/>
      <c r="DS71" s="498"/>
      <c r="DT71" s="498"/>
      <c r="DU71" s="498"/>
      <c r="DV71" s="498"/>
      <c r="DW71" s="498"/>
      <c r="DX71" s="498"/>
      <c r="DY71" s="498"/>
      <c r="DZ71" s="498"/>
      <c r="EA71" s="498"/>
      <c r="EB71" s="498"/>
      <c r="EC71" s="498"/>
      <c r="ED71" s="12"/>
      <c r="EE71" s="12"/>
      <c r="EF71" s="12"/>
      <c r="EG71" s="12"/>
      <c r="EH71" s="12"/>
      <c r="EI71" s="12"/>
      <c r="EJ71" s="11"/>
      <c r="EK71" s="17"/>
      <c r="EL71" s="17"/>
      <c r="EM71" s="17"/>
      <c r="EN71" s="17"/>
      <c r="EO71" s="17"/>
      <c r="EP71" s="17"/>
      <c r="EQ71" s="11"/>
      <c r="ER71" s="11"/>
      <c r="ES71" s="10"/>
    </row>
    <row r="72" spans="3:155" ht="20.5" customHeight="1">
      <c r="C72" s="21"/>
      <c r="D72" s="418" t="s">
        <v>121</v>
      </c>
      <c r="E72" s="418"/>
      <c r="F72" s="418"/>
      <c r="G72" s="418"/>
      <c r="H72" s="418"/>
      <c r="I72" s="418"/>
      <c r="J72" s="418"/>
      <c r="K72" s="418"/>
      <c r="L72" s="439" t="str">
        <f>VLOOKUP($D$11,調査票①!$A$9:$HJ$30,67,FALSE)&amp;""</f>
        <v>9</v>
      </c>
      <c r="M72" s="439"/>
      <c r="N72" s="439"/>
      <c r="O72" s="439" t="str">
        <f>VLOOKUP($D$11,調査票①!$A$9:$HJ$30,68,FALSE)&amp;""</f>
        <v>9</v>
      </c>
      <c r="P72" s="439"/>
      <c r="Q72" s="439"/>
      <c r="R72" s="440">
        <f>VLOOKUP($D$11,調査票①!$A$9:$HJ$30,69,FALSE)</f>
        <v>1</v>
      </c>
      <c r="S72" s="440"/>
      <c r="T72" s="440"/>
      <c r="U72" s="441" t="str">
        <f>VLOOKUP($D$11,調査票①!$A$9:$HJ$30,70,FALSE)&amp;""</f>
        <v>　</v>
      </c>
      <c r="V72" s="442"/>
      <c r="W72" s="442"/>
      <c r="X72" s="442"/>
      <c r="Y72" s="442"/>
      <c r="Z72" s="442"/>
      <c r="AA72" s="442"/>
      <c r="AB72" s="442"/>
      <c r="AC72" s="442"/>
      <c r="AD72" s="442"/>
      <c r="AE72" s="442"/>
      <c r="AF72" s="442"/>
      <c r="AG72" s="442"/>
      <c r="AH72" s="442"/>
      <c r="AI72" s="443"/>
      <c r="AJ72" s="418" t="str">
        <f>VLOOKUP($D$11,調査票①!$A$9:$HJ$30,71,FALSE)&amp;""</f>
        <v>0</v>
      </c>
      <c r="AK72" s="418"/>
      <c r="AL72" s="418"/>
      <c r="AM72" s="447" t="str">
        <f>VLOOKUP($D$11,調査票①!$A$9:$HJ$30,72,FALSE)&amp;""</f>
        <v>　</v>
      </c>
      <c r="AN72" s="448"/>
      <c r="AO72" s="448"/>
      <c r="AP72" s="448"/>
      <c r="AQ72" s="448"/>
      <c r="AR72" s="448"/>
      <c r="AS72" s="448"/>
      <c r="AT72" s="448"/>
      <c r="AU72" s="448"/>
      <c r="AV72" s="448"/>
      <c r="AW72" s="448"/>
      <c r="AX72" s="448"/>
      <c r="AY72" s="448"/>
      <c r="AZ72" s="448"/>
      <c r="BA72" s="448"/>
      <c r="BB72" s="448"/>
      <c r="BC72" s="448"/>
      <c r="BD72" s="448"/>
      <c r="BE72" s="448"/>
      <c r="BF72" s="448"/>
      <c r="BG72" s="448"/>
      <c r="BH72" s="448"/>
      <c r="BI72" s="448"/>
      <c r="BJ72" s="448"/>
      <c r="BK72" s="448"/>
      <c r="BL72" s="448"/>
      <c r="BM72" s="448"/>
      <c r="BN72" s="449"/>
      <c r="BO72" s="270">
        <f>調査票①!BQ29</f>
        <v>0.9285714285714286</v>
      </c>
      <c r="BP72" s="271"/>
      <c r="BQ72" s="271"/>
      <c r="BR72" s="272"/>
      <c r="BS72" s="11"/>
      <c r="BT72" s="10"/>
      <c r="CB72" s="21"/>
      <c r="CC72" s="12"/>
      <c r="CD72" s="12"/>
      <c r="CE72" s="12"/>
      <c r="CF72" s="12"/>
      <c r="CG72" s="12"/>
      <c r="CH72" s="12"/>
      <c r="CI72" s="12"/>
      <c r="CJ72" s="12"/>
      <c r="CK72" s="12"/>
      <c r="CL72" s="12"/>
      <c r="CM72" s="12"/>
      <c r="CN72" s="12"/>
      <c r="CO72" s="12"/>
      <c r="CP72" s="12"/>
      <c r="CQ72" s="12"/>
      <c r="CR72" s="12"/>
      <c r="CS72" s="12"/>
      <c r="CT72" s="12"/>
      <c r="CU72" s="12"/>
      <c r="CV72" s="12"/>
      <c r="CW72" s="12"/>
      <c r="CX72" s="12"/>
      <c r="CY72" s="12"/>
      <c r="CZ72" s="12"/>
      <c r="DA72" s="11"/>
      <c r="DB72" s="11"/>
      <c r="DC72" s="11"/>
      <c r="DD72" s="497"/>
      <c r="DE72" s="497"/>
      <c r="DF72" s="497"/>
      <c r="DG72" s="497"/>
      <c r="DH72" s="497"/>
      <c r="DI72" s="497"/>
      <c r="DJ72" s="497"/>
      <c r="DK72" s="497"/>
      <c r="DL72" s="497"/>
      <c r="DM72" s="497"/>
      <c r="DN72" s="497"/>
      <c r="DO72" s="498"/>
      <c r="DP72" s="498"/>
      <c r="DQ72" s="498"/>
      <c r="DR72" s="498"/>
      <c r="DS72" s="498"/>
      <c r="DT72" s="498"/>
      <c r="DU72" s="498"/>
      <c r="DV72" s="498"/>
      <c r="DW72" s="498"/>
      <c r="DX72" s="498"/>
      <c r="DY72" s="498"/>
      <c r="DZ72" s="498"/>
      <c r="EA72" s="498"/>
      <c r="EB72" s="498"/>
      <c r="EC72" s="498"/>
      <c r="ED72" s="118"/>
      <c r="EE72" s="118"/>
      <c r="EF72" s="118"/>
      <c r="EG72" s="118"/>
      <c r="EH72" s="118"/>
      <c r="EI72" s="118"/>
      <c r="EJ72" s="11"/>
      <c r="EK72" s="17"/>
      <c r="EL72" s="17"/>
      <c r="EM72" s="17"/>
      <c r="EN72" s="17"/>
      <c r="EO72" s="17"/>
      <c r="EP72" s="17"/>
      <c r="EQ72" s="11"/>
      <c r="ER72" s="11"/>
      <c r="ES72" s="10"/>
    </row>
    <row r="73" spans="3:155" ht="20.5" customHeight="1">
      <c r="C73" s="21"/>
      <c r="D73" s="418"/>
      <c r="E73" s="418"/>
      <c r="F73" s="418"/>
      <c r="G73" s="418"/>
      <c r="H73" s="418"/>
      <c r="I73" s="418"/>
      <c r="J73" s="418"/>
      <c r="K73" s="418"/>
      <c r="L73" s="439"/>
      <c r="M73" s="439"/>
      <c r="N73" s="439"/>
      <c r="O73" s="439"/>
      <c r="P73" s="439"/>
      <c r="Q73" s="439"/>
      <c r="R73" s="440"/>
      <c r="S73" s="440"/>
      <c r="T73" s="440"/>
      <c r="U73" s="444"/>
      <c r="V73" s="445"/>
      <c r="W73" s="445"/>
      <c r="X73" s="445"/>
      <c r="Y73" s="445"/>
      <c r="Z73" s="445"/>
      <c r="AA73" s="445"/>
      <c r="AB73" s="445"/>
      <c r="AC73" s="445"/>
      <c r="AD73" s="445"/>
      <c r="AE73" s="445"/>
      <c r="AF73" s="445"/>
      <c r="AG73" s="445"/>
      <c r="AH73" s="445"/>
      <c r="AI73" s="446"/>
      <c r="AJ73" s="418"/>
      <c r="AK73" s="418"/>
      <c r="AL73" s="418"/>
      <c r="AM73" s="450"/>
      <c r="AN73" s="451"/>
      <c r="AO73" s="451"/>
      <c r="AP73" s="451"/>
      <c r="AQ73" s="451"/>
      <c r="AR73" s="451"/>
      <c r="AS73" s="451"/>
      <c r="AT73" s="451"/>
      <c r="AU73" s="451"/>
      <c r="AV73" s="451"/>
      <c r="AW73" s="451"/>
      <c r="AX73" s="451"/>
      <c r="AY73" s="451"/>
      <c r="AZ73" s="451"/>
      <c r="BA73" s="451"/>
      <c r="BB73" s="451"/>
      <c r="BC73" s="451"/>
      <c r="BD73" s="451"/>
      <c r="BE73" s="451"/>
      <c r="BF73" s="451"/>
      <c r="BG73" s="451"/>
      <c r="BH73" s="451"/>
      <c r="BI73" s="451"/>
      <c r="BJ73" s="451"/>
      <c r="BK73" s="451"/>
      <c r="BL73" s="451"/>
      <c r="BM73" s="451"/>
      <c r="BN73" s="452"/>
      <c r="BO73" s="273"/>
      <c r="BP73" s="274"/>
      <c r="BQ73" s="274"/>
      <c r="BR73" s="275"/>
      <c r="BS73" s="11"/>
      <c r="BT73" s="10"/>
      <c r="CB73" s="21"/>
      <c r="CC73" s="12"/>
      <c r="CD73" s="12"/>
      <c r="CE73" s="12"/>
      <c r="CF73" s="12"/>
      <c r="CG73" s="12"/>
      <c r="CH73" s="12"/>
      <c r="CI73" s="12"/>
      <c r="CJ73" s="12"/>
      <c r="CK73" s="12"/>
      <c r="CL73" s="12"/>
      <c r="CM73" s="12"/>
      <c r="CN73" s="12"/>
      <c r="CO73" s="12"/>
      <c r="CP73" s="12"/>
      <c r="CQ73" s="12"/>
      <c r="CR73" s="12"/>
      <c r="CS73" s="12"/>
      <c r="CT73" s="12"/>
      <c r="CU73" s="12"/>
      <c r="CV73" s="12"/>
      <c r="CW73" s="12"/>
      <c r="CX73" s="12"/>
      <c r="CY73" s="12"/>
      <c r="CZ73" s="12"/>
      <c r="DA73" s="11"/>
      <c r="DB73" s="11"/>
      <c r="DC73" s="11"/>
      <c r="DD73" s="497"/>
      <c r="DE73" s="497"/>
      <c r="DF73" s="497"/>
      <c r="DG73" s="497"/>
      <c r="DH73" s="497"/>
      <c r="DI73" s="497"/>
      <c r="DJ73" s="497"/>
      <c r="DK73" s="497"/>
      <c r="DL73" s="497"/>
      <c r="DM73" s="497"/>
      <c r="DN73" s="497"/>
      <c r="DO73" s="498"/>
      <c r="DP73" s="498"/>
      <c r="DQ73" s="498"/>
      <c r="DR73" s="498"/>
      <c r="DS73" s="498"/>
      <c r="DT73" s="498"/>
      <c r="DU73" s="498"/>
      <c r="DV73" s="498"/>
      <c r="DW73" s="498"/>
      <c r="DX73" s="498"/>
      <c r="DY73" s="498"/>
      <c r="DZ73" s="498"/>
      <c r="EA73" s="498"/>
      <c r="EB73" s="498"/>
      <c r="EC73" s="498"/>
      <c r="ED73" s="118"/>
      <c r="EE73" s="118"/>
      <c r="EF73" s="118"/>
      <c r="EG73" s="118"/>
      <c r="EH73" s="118"/>
      <c r="EI73" s="118"/>
      <c r="EJ73" s="11"/>
      <c r="EK73" s="17"/>
      <c r="EL73" s="17"/>
      <c r="EM73" s="17"/>
      <c r="EN73" s="17"/>
      <c r="EO73" s="17"/>
      <c r="EP73" s="17"/>
      <c r="EQ73" s="11"/>
      <c r="ER73" s="11"/>
      <c r="ES73" s="10"/>
    </row>
    <row r="74" spans="3:155" ht="20.5" customHeight="1">
      <c r="C74" s="21"/>
      <c r="D74" s="418" t="s">
        <v>122</v>
      </c>
      <c r="E74" s="418"/>
      <c r="F74" s="418"/>
      <c r="G74" s="418"/>
      <c r="H74" s="418"/>
      <c r="I74" s="418"/>
      <c r="J74" s="418"/>
      <c r="K74" s="418"/>
      <c r="L74" s="439" t="str">
        <f>VLOOKUP($D$11,調査票①!$A$9:$HJ$30,73,FALSE)&amp;""</f>
        <v>0</v>
      </c>
      <c r="M74" s="439"/>
      <c r="N74" s="439"/>
      <c r="O74" s="439" t="str">
        <f>VLOOKUP($D$11,調査票①!$A$9:$HJ$30,74,FALSE)&amp;""</f>
        <v>0</v>
      </c>
      <c r="P74" s="439"/>
      <c r="Q74" s="439"/>
      <c r="R74" s="440" t="str">
        <f>VLOOKUP($D$11,調査票①!$A$9:$HJ$30,75,FALSE)</f>
        <v/>
      </c>
      <c r="S74" s="440"/>
      <c r="T74" s="440"/>
      <c r="U74" s="441" t="str">
        <f>VLOOKUP($D$11,調査票①!$A$9:$HJ$30,76,FALSE)&amp;""</f>
        <v>　</v>
      </c>
      <c r="V74" s="442"/>
      <c r="W74" s="442"/>
      <c r="X74" s="442"/>
      <c r="Y74" s="442"/>
      <c r="Z74" s="442"/>
      <c r="AA74" s="442"/>
      <c r="AB74" s="442"/>
      <c r="AC74" s="442"/>
      <c r="AD74" s="442"/>
      <c r="AE74" s="442"/>
      <c r="AF74" s="442"/>
      <c r="AG74" s="442"/>
      <c r="AH74" s="442"/>
      <c r="AI74" s="443"/>
      <c r="AJ74" s="418" t="str">
        <f>VLOOKUP($D$11,調査票①!$A$9:$HJ$30,77,FALSE)&amp;""</f>
        <v>0</v>
      </c>
      <c r="AK74" s="418"/>
      <c r="AL74" s="418"/>
      <c r="AM74" s="447" t="str">
        <f>VLOOKUP($D$11,調査票①!$A$9:$HJ$30,78,FALSE)&amp;""</f>
        <v>　</v>
      </c>
      <c r="AN74" s="448"/>
      <c r="AO74" s="448"/>
      <c r="AP74" s="448"/>
      <c r="AQ74" s="448"/>
      <c r="AR74" s="448"/>
      <c r="AS74" s="448"/>
      <c r="AT74" s="448"/>
      <c r="AU74" s="448"/>
      <c r="AV74" s="448"/>
      <c r="AW74" s="448"/>
      <c r="AX74" s="448"/>
      <c r="AY74" s="448"/>
      <c r="AZ74" s="448"/>
      <c r="BA74" s="448"/>
      <c r="BB74" s="448"/>
      <c r="BC74" s="448"/>
      <c r="BD74" s="448"/>
      <c r="BE74" s="448"/>
      <c r="BF74" s="448"/>
      <c r="BG74" s="448"/>
      <c r="BH74" s="448"/>
      <c r="BI74" s="448"/>
      <c r="BJ74" s="448"/>
      <c r="BK74" s="448"/>
      <c r="BL74" s="448"/>
      <c r="BM74" s="448"/>
      <c r="BN74" s="449"/>
      <c r="BO74" s="270">
        <f>調査票①!BW29</f>
        <v>0.33333333333333331</v>
      </c>
      <c r="BP74" s="271"/>
      <c r="BQ74" s="271"/>
      <c r="BR74" s="272"/>
      <c r="BS74" s="11"/>
      <c r="BT74" s="10"/>
      <c r="CB74" s="21"/>
      <c r="CC74" s="12"/>
      <c r="CD74" s="12"/>
      <c r="CE74" s="12"/>
      <c r="CF74" s="12"/>
      <c r="CG74" s="12"/>
      <c r="CH74" s="12"/>
      <c r="CI74" s="12"/>
      <c r="CJ74" s="12"/>
      <c r="CK74" s="12"/>
      <c r="CL74" s="12"/>
      <c r="CM74" s="12"/>
      <c r="CN74" s="12"/>
      <c r="CO74" s="12"/>
      <c r="CP74" s="12"/>
      <c r="CQ74" s="12"/>
      <c r="CR74" s="12"/>
      <c r="CS74" s="12"/>
      <c r="CT74" s="12"/>
      <c r="CU74" s="12"/>
      <c r="CV74" s="12"/>
      <c r="CW74" s="12"/>
      <c r="CX74" s="12"/>
      <c r="CY74" s="12"/>
      <c r="CZ74" s="12"/>
      <c r="DA74" s="11"/>
      <c r="DB74" s="11"/>
      <c r="DC74" s="11"/>
      <c r="DD74" s="12"/>
      <c r="DE74" s="12"/>
      <c r="DF74" s="12"/>
      <c r="DG74" s="12"/>
      <c r="DH74" s="12"/>
      <c r="DI74" s="12"/>
      <c r="DJ74" s="12"/>
      <c r="DK74" s="12"/>
      <c r="DL74" s="118"/>
      <c r="DM74" s="118"/>
      <c r="DN74" s="118"/>
      <c r="DO74" s="118"/>
      <c r="DP74" s="118"/>
      <c r="DQ74" s="118"/>
      <c r="DR74" s="118"/>
      <c r="DS74" s="118"/>
      <c r="DT74" s="118"/>
      <c r="DU74" s="118"/>
      <c r="DV74" s="118"/>
      <c r="DW74" s="118"/>
      <c r="DX74" s="118"/>
      <c r="DY74" s="118"/>
      <c r="DZ74" s="118"/>
      <c r="EA74" s="118"/>
      <c r="EB74" s="118"/>
      <c r="EC74" s="118"/>
      <c r="ED74" s="118"/>
      <c r="EE74" s="118"/>
      <c r="EF74" s="118"/>
      <c r="EG74" s="118"/>
      <c r="EH74" s="118"/>
      <c r="EI74" s="118"/>
      <c r="EJ74" s="11"/>
      <c r="EK74" s="11"/>
      <c r="EL74" s="11"/>
      <c r="EM74" s="17"/>
      <c r="EN74" s="17"/>
      <c r="EO74" s="17"/>
      <c r="EP74" s="17"/>
      <c r="EQ74" s="11"/>
      <c r="ER74" s="11"/>
      <c r="ES74" s="10"/>
    </row>
    <row r="75" spans="3:155" ht="20.5" customHeight="1">
      <c r="C75" s="21"/>
      <c r="D75" s="418"/>
      <c r="E75" s="418"/>
      <c r="F75" s="418"/>
      <c r="G75" s="418"/>
      <c r="H75" s="418"/>
      <c r="I75" s="418"/>
      <c r="J75" s="418"/>
      <c r="K75" s="418"/>
      <c r="L75" s="439"/>
      <c r="M75" s="439"/>
      <c r="N75" s="439"/>
      <c r="O75" s="439"/>
      <c r="P75" s="439"/>
      <c r="Q75" s="439"/>
      <c r="R75" s="440"/>
      <c r="S75" s="440"/>
      <c r="T75" s="440"/>
      <c r="U75" s="444"/>
      <c r="V75" s="445"/>
      <c r="W75" s="445"/>
      <c r="X75" s="445"/>
      <c r="Y75" s="445"/>
      <c r="Z75" s="445"/>
      <c r="AA75" s="445"/>
      <c r="AB75" s="445"/>
      <c r="AC75" s="445"/>
      <c r="AD75" s="445"/>
      <c r="AE75" s="445"/>
      <c r="AF75" s="445"/>
      <c r="AG75" s="445"/>
      <c r="AH75" s="445"/>
      <c r="AI75" s="446"/>
      <c r="AJ75" s="418"/>
      <c r="AK75" s="418"/>
      <c r="AL75" s="418"/>
      <c r="AM75" s="450"/>
      <c r="AN75" s="451"/>
      <c r="AO75" s="451"/>
      <c r="AP75" s="451"/>
      <c r="AQ75" s="451"/>
      <c r="AR75" s="451"/>
      <c r="AS75" s="451"/>
      <c r="AT75" s="451"/>
      <c r="AU75" s="451"/>
      <c r="AV75" s="451"/>
      <c r="AW75" s="451"/>
      <c r="AX75" s="451"/>
      <c r="AY75" s="451"/>
      <c r="AZ75" s="451"/>
      <c r="BA75" s="451"/>
      <c r="BB75" s="451"/>
      <c r="BC75" s="451"/>
      <c r="BD75" s="451"/>
      <c r="BE75" s="451"/>
      <c r="BF75" s="451"/>
      <c r="BG75" s="451"/>
      <c r="BH75" s="451"/>
      <c r="BI75" s="451"/>
      <c r="BJ75" s="451"/>
      <c r="BK75" s="451"/>
      <c r="BL75" s="451"/>
      <c r="BM75" s="451"/>
      <c r="BN75" s="452"/>
      <c r="BO75" s="273"/>
      <c r="BP75" s="274"/>
      <c r="BQ75" s="274"/>
      <c r="BR75" s="275"/>
      <c r="BS75" s="11"/>
      <c r="BT75" s="10"/>
      <c r="CB75" s="20"/>
      <c r="CC75" s="60"/>
      <c r="CD75" s="60"/>
      <c r="CE75" s="60"/>
      <c r="CF75" s="60"/>
      <c r="CG75" s="60"/>
      <c r="CH75" s="60"/>
      <c r="CI75" s="60"/>
      <c r="CJ75" s="60"/>
      <c r="CK75" s="60"/>
      <c r="CL75" s="60"/>
      <c r="CM75" s="60"/>
      <c r="CN75" s="60"/>
      <c r="CO75" s="60"/>
      <c r="CP75" s="60"/>
      <c r="CQ75" s="60"/>
      <c r="CR75" s="60"/>
      <c r="CS75" s="60"/>
      <c r="CT75" s="60"/>
      <c r="CU75" s="60"/>
      <c r="CV75" s="60"/>
      <c r="CW75" s="60"/>
      <c r="CX75" s="60"/>
      <c r="CY75" s="60"/>
      <c r="CZ75" s="60"/>
      <c r="DA75" s="6"/>
      <c r="DB75" s="6"/>
      <c r="DC75" s="6"/>
      <c r="DD75" s="60"/>
      <c r="DE75" s="60"/>
      <c r="DF75" s="60"/>
      <c r="DG75" s="60"/>
      <c r="DH75" s="60"/>
      <c r="DI75" s="60"/>
      <c r="DJ75" s="60"/>
      <c r="DK75" s="60"/>
      <c r="DL75" s="119"/>
      <c r="DM75" s="119"/>
      <c r="DN75" s="119"/>
      <c r="DO75" s="119"/>
      <c r="DP75" s="119"/>
      <c r="DQ75" s="119"/>
      <c r="DR75" s="119"/>
      <c r="DS75" s="119"/>
      <c r="DT75" s="119"/>
      <c r="DU75" s="119"/>
      <c r="DV75" s="119"/>
      <c r="DW75" s="119"/>
      <c r="DX75" s="119"/>
      <c r="DY75" s="119"/>
      <c r="DZ75" s="119"/>
      <c r="EA75" s="119"/>
      <c r="EB75" s="119"/>
      <c r="EC75" s="119"/>
      <c r="ED75" s="119"/>
      <c r="EE75" s="119"/>
      <c r="EF75" s="119"/>
      <c r="EG75" s="119"/>
      <c r="EH75" s="119"/>
      <c r="EI75" s="119"/>
      <c r="EJ75" s="6"/>
      <c r="EK75" s="6"/>
      <c r="EL75" s="6"/>
      <c r="EM75" s="6"/>
      <c r="EN75" s="39"/>
      <c r="EO75" s="39"/>
      <c r="EP75" s="39"/>
      <c r="EQ75" s="6"/>
      <c r="ER75" s="6"/>
      <c r="ES75" s="5"/>
    </row>
    <row r="76" spans="3:155" ht="20.5" customHeight="1">
      <c r="C76" s="21"/>
      <c r="D76" s="476" t="s">
        <v>142</v>
      </c>
      <c r="E76" s="415"/>
      <c r="F76" s="415"/>
      <c r="G76" s="415"/>
      <c r="H76" s="415"/>
      <c r="I76" s="415"/>
      <c r="J76" s="415"/>
      <c r="K76" s="415"/>
      <c r="L76" s="439" t="str">
        <f>VLOOKUP($D$11,調査票①!$A$9:$HJ$30,79,FALSE)&amp;""</f>
        <v>1</v>
      </c>
      <c r="M76" s="439"/>
      <c r="N76" s="439"/>
      <c r="O76" s="439" t="str">
        <f>VLOOKUP($D$11,調査票①!$A$9:$HJ$30,80,FALSE)&amp;""</f>
        <v>1</v>
      </c>
      <c r="P76" s="439"/>
      <c r="Q76" s="439"/>
      <c r="R76" s="440">
        <f>VLOOKUP($D$11,調査票①!$A$9:$HJ$30,81,FALSE)</f>
        <v>1</v>
      </c>
      <c r="S76" s="440"/>
      <c r="T76" s="440"/>
      <c r="U76" s="441" t="str">
        <f>VLOOKUP($D$11,調査票①!$A$9:$HJ$30,82,FALSE)&amp;""</f>
        <v>　</v>
      </c>
      <c r="V76" s="442"/>
      <c r="W76" s="442"/>
      <c r="X76" s="442"/>
      <c r="Y76" s="442"/>
      <c r="Z76" s="442"/>
      <c r="AA76" s="442"/>
      <c r="AB76" s="442"/>
      <c r="AC76" s="442"/>
      <c r="AD76" s="442"/>
      <c r="AE76" s="442"/>
      <c r="AF76" s="442"/>
      <c r="AG76" s="442"/>
      <c r="AH76" s="442"/>
      <c r="AI76" s="443"/>
      <c r="AJ76" s="418" t="str">
        <f>VLOOKUP($D$11,調査票①!$A$9:$HJ$30,83,FALSE)&amp;""</f>
        <v>0</v>
      </c>
      <c r="AK76" s="418"/>
      <c r="AL76" s="418"/>
      <c r="AM76" s="447" t="str">
        <f>VLOOKUP($D$11,調査票①!$A$9:$HJ$30,84,FALSE)&amp;""</f>
        <v>　</v>
      </c>
      <c r="AN76" s="448"/>
      <c r="AO76" s="448"/>
      <c r="AP76" s="448"/>
      <c r="AQ76" s="448"/>
      <c r="AR76" s="448"/>
      <c r="AS76" s="448"/>
      <c r="AT76" s="448"/>
      <c r="AU76" s="448"/>
      <c r="AV76" s="448"/>
      <c r="AW76" s="448"/>
      <c r="AX76" s="448"/>
      <c r="AY76" s="448"/>
      <c r="AZ76" s="448"/>
      <c r="BA76" s="448"/>
      <c r="BB76" s="448"/>
      <c r="BC76" s="448"/>
      <c r="BD76" s="448"/>
      <c r="BE76" s="448"/>
      <c r="BF76" s="448"/>
      <c r="BG76" s="448"/>
      <c r="BH76" s="448"/>
      <c r="BI76" s="448"/>
      <c r="BJ76" s="448"/>
      <c r="BK76" s="448"/>
      <c r="BL76" s="448"/>
      <c r="BM76" s="448"/>
      <c r="BN76" s="449"/>
      <c r="BO76" s="270">
        <f>調査票①!CC29</f>
        <v>1</v>
      </c>
      <c r="BP76" s="271"/>
      <c r="BQ76" s="271"/>
      <c r="BR76" s="272"/>
      <c r="BS76" s="11"/>
      <c r="BT76" s="10"/>
      <c r="CB76" s="7"/>
      <c r="CC76" s="7"/>
      <c r="CD76" s="7"/>
      <c r="CE76" s="7"/>
      <c r="CF76" s="7"/>
      <c r="CG76" s="7"/>
      <c r="CH76" s="7"/>
      <c r="CI76" s="7"/>
      <c r="CJ76" s="7"/>
      <c r="CK76" s="7"/>
      <c r="CL76" s="7"/>
      <c r="CM76" s="7"/>
      <c r="CN76" s="7"/>
      <c r="CO76" s="7"/>
      <c r="CP76" s="7"/>
      <c r="CQ76" s="7"/>
      <c r="CR76" s="7"/>
      <c r="CS76" s="7"/>
      <c r="CT76" s="7"/>
      <c r="CU76" s="7"/>
      <c r="CV76" s="7"/>
      <c r="CW76" s="7"/>
      <c r="CX76" s="7"/>
      <c r="CY76" s="7"/>
      <c r="CZ76" s="7"/>
      <c r="DA76" s="7"/>
      <c r="DB76" s="7"/>
      <c r="DC76" s="7"/>
      <c r="DD76" s="7"/>
      <c r="DE76" s="7"/>
      <c r="DF76" s="114"/>
      <c r="DG76" s="114"/>
      <c r="DH76" s="114"/>
      <c r="DI76" s="114"/>
      <c r="DJ76" s="115"/>
      <c r="DK76" s="115"/>
      <c r="DL76" s="115"/>
      <c r="DM76" s="115"/>
      <c r="DN76" s="7"/>
      <c r="DO76" s="7"/>
      <c r="DP76" s="7"/>
      <c r="DQ76" s="7"/>
      <c r="DR76" s="7"/>
      <c r="DS76" s="7"/>
      <c r="DT76" s="7"/>
      <c r="DU76" s="7"/>
      <c r="DV76" s="7"/>
      <c r="DW76" s="7"/>
      <c r="DX76" s="7"/>
      <c r="DY76" s="7"/>
      <c r="DZ76" s="7"/>
      <c r="EA76" s="7"/>
      <c r="EB76" s="7"/>
      <c r="EC76" s="7"/>
      <c r="ED76" s="7"/>
      <c r="EE76" s="7"/>
      <c r="EF76" s="7"/>
      <c r="EG76" s="7"/>
      <c r="EH76" s="7"/>
      <c r="EI76" s="7"/>
      <c r="EJ76" s="7"/>
      <c r="EK76" s="7"/>
      <c r="EL76" s="7"/>
      <c r="EM76" s="7"/>
      <c r="EN76" s="7"/>
      <c r="EO76" s="7"/>
      <c r="EP76" s="7"/>
      <c r="EQ76" s="7"/>
      <c r="ER76" s="7"/>
      <c r="ES76" s="7"/>
    </row>
    <row r="77" spans="3:155" ht="20.5" customHeight="1">
      <c r="C77" s="21"/>
      <c r="D77" s="415"/>
      <c r="E77" s="415"/>
      <c r="F77" s="415"/>
      <c r="G77" s="415"/>
      <c r="H77" s="415"/>
      <c r="I77" s="415"/>
      <c r="J77" s="415"/>
      <c r="K77" s="415"/>
      <c r="L77" s="439"/>
      <c r="M77" s="439"/>
      <c r="N77" s="439"/>
      <c r="O77" s="439"/>
      <c r="P77" s="439"/>
      <c r="Q77" s="439"/>
      <c r="R77" s="440"/>
      <c r="S77" s="440"/>
      <c r="T77" s="440"/>
      <c r="U77" s="444"/>
      <c r="V77" s="445"/>
      <c r="W77" s="445"/>
      <c r="X77" s="445"/>
      <c r="Y77" s="445"/>
      <c r="Z77" s="445"/>
      <c r="AA77" s="445"/>
      <c r="AB77" s="445"/>
      <c r="AC77" s="445"/>
      <c r="AD77" s="445"/>
      <c r="AE77" s="445"/>
      <c r="AF77" s="445"/>
      <c r="AG77" s="445"/>
      <c r="AH77" s="445"/>
      <c r="AI77" s="446"/>
      <c r="AJ77" s="418"/>
      <c r="AK77" s="418"/>
      <c r="AL77" s="418"/>
      <c r="AM77" s="450"/>
      <c r="AN77" s="451"/>
      <c r="AO77" s="451"/>
      <c r="AP77" s="451"/>
      <c r="AQ77" s="451"/>
      <c r="AR77" s="451"/>
      <c r="AS77" s="451"/>
      <c r="AT77" s="451"/>
      <c r="AU77" s="451"/>
      <c r="AV77" s="451"/>
      <c r="AW77" s="451"/>
      <c r="AX77" s="451"/>
      <c r="AY77" s="451"/>
      <c r="AZ77" s="451"/>
      <c r="BA77" s="451"/>
      <c r="BB77" s="451"/>
      <c r="BC77" s="451"/>
      <c r="BD77" s="451"/>
      <c r="BE77" s="451"/>
      <c r="BF77" s="451"/>
      <c r="BG77" s="451"/>
      <c r="BH77" s="451"/>
      <c r="BI77" s="451"/>
      <c r="BJ77" s="451"/>
      <c r="BK77" s="451"/>
      <c r="BL77" s="451"/>
      <c r="BM77" s="451"/>
      <c r="BN77" s="452"/>
      <c r="BO77" s="273"/>
      <c r="BP77" s="274"/>
      <c r="BQ77" s="274"/>
      <c r="BR77" s="275"/>
      <c r="BS77" s="11"/>
      <c r="BT77" s="10"/>
      <c r="CB77" s="7"/>
      <c r="CC77" s="7"/>
      <c r="CD77" s="7"/>
      <c r="CE77" s="7"/>
      <c r="CF77" s="7"/>
      <c r="CG77" s="7"/>
      <c r="CH77" s="7"/>
      <c r="CI77" s="7"/>
      <c r="CJ77" s="7"/>
      <c r="CK77" s="7"/>
      <c r="CL77" s="7"/>
      <c r="CM77" s="7"/>
      <c r="CN77" s="7"/>
      <c r="CO77" s="7"/>
      <c r="CP77" s="7"/>
      <c r="CQ77" s="7"/>
      <c r="CR77" s="7"/>
      <c r="CS77" s="7"/>
      <c r="CT77" s="7"/>
      <c r="CU77" s="7"/>
      <c r="CV77" s="7"/>
      <c r="CW77" s="7"/>
      <c r="CX77" s="7"/>
      <c r="CY77" s="7"/>
      <c r="CZ77" s="7"/>
      <c r="DA77" s="7"/>
      <c r="DB77" s="7"/>
      <c r="DC77" s="7"/>
      <c r="DD77" s="114"/>
      <c r="DE77" s="114"/>
      <c r="DF77" s="114"/>
      <c r="DG77" s="114"/>
      <c r="DH77" s="114"/>
      <c r="DI77" s="114"/>
      <c r="DJ77" s="114"/>
      <c r="DK77" s="114"/>
      <c r="DL77" s="116"/>
      <c r="DM77" s="116"/>
      <c r="DN77" s="7"/>
      <c r="DO77" s="7"/>
      <c r="DP77" s="7"/>
      <c r="DQ77" s="7"/>
      <c r="DR77" s="7"/>
      <c r="DS77" s="7"/>
      <c r="DT77" s="7"/>
      <c r="DU77" s="7"/>
      <c r="DV77" s="7"/>
      <c r="DW77" s="7"/>
      <c r="DX77" s="7"/>
      <c r="DY77" s="7"/>
      <c r="DZ77" s="7"/>
      <c r="EA77" s="7"/>
      <c r="EB77" s="7"/>
      <c r="EC77" s="7"/>
      <c r="ED77" s="7"/>
      <c r="EE77" s="7"/>
      <c r="EF77" s="7"/>
      <c r="EG77" s="7"/>
      <c r="EH77" s="7"/>
      <c r="EI77" s="7"/>
      <c r="EJ77" s="7"/>
      <c r="EK77" s="7"/>
      <c r="EL77" s="7"/>
      <c r="EM77" s="7"/>
      <c r="EN77" s="7"/>
      <c r="EO77" s="7"/>
      <c r="EP77" s="7"/>
      <c r="EQ77" s="7"/>
      <c r="ER77" s="7"/>
      <c r="ES77" s="7"/>
    </row>
    <row r="78" spans="3:155" ht="20.5" customHeight="1">
      <c r="C78" s="21"/>
      <c r="D78" s="476" t="s">
        <v>143</v>
      </c>
      <c r="E78" s="415"/>
      <c r="F78" s="415"/>
      <c r="G78" s="415"/>
      <c r="H78" s="415"/>
      <c r="I78" s="415"/>
      <c r="J78" s="415"/>
      <c r="K78" s="415"/>
      <c r="L78" s="439" t="str">
        <f>VLOOKUP($D$11,調査票①!$A$9:$HJ$30,85,FALSE)&amp;""</f>
        <v>1</v>
      </c>
      <c r="M78" s="439"/>
      <c r="N78" s="439"/>
      <c r="O78" s="439" t="str">
        <f>VLOOKUP($D$11,調査票①!$A$9:$HJ$30,86,FALSE)&amp;""</f>
        <v>1</v>
      </c>
      <c r="P78" s="439"/>
      <c r="Q78" s="439"/>
      <c r="R78" s="440">
        <f>VLOOKUP($D$11,調査票①!$A$9:$HJ$30,87,FALSE)</f>
        <v>1</v>
      </c>
      <c r="S78" s="440"/>
      <c r="T78" s="440"/>
      <c r="U78" s="441" t="str">
        <f>VLOOKUP($D$11,調査票①!$A$9:$HJ$30,88,FALSE)&amp;""</f>
        <v>　</v>
      </c>
      <c r="V78" s="442"/>
      <c r="W78" s="442"/>
      <c r="X78" s="442"/>
      <c r="Y78" s="442"/>
      <c r="Z78" s="442"/>
      <c r="AA78" s="442"/>
      <c r="AB78" s="442"/>
      <c r="AC78" s="442"/>
      <c r="AD78" s="442"/>
      <c r="AE78" s="442"/>
      <c r="AF78" s="442"/>
      <c r="AG78" s="442"/>
      <c r="AH78" s="442"/>
      <c r="AI78" s="443"/>
      <c r="AJ78" s="418" t="str">
        <f>VLOOKUP($D$11,調査票①!$A$9:$HJ$30,89,FALSE)&amp;""</f>
        <v>0</v>
      </c>
      <c r="AK78" s="418"/>
      <c r="AL78" s="418"/>
      <c r="AM78" s="447" t="str">
        <f>VLOOKUP($D$11,調査票①!$A$9:$HJ$30,90,FALSE)&amp;""</f>
        <v>　</v>
      </c>
      <c r="AN78" s="448"/>
      <c r="AO78" s="448"/>
      <c r="AP78" s="448"/>
      <c r="AQ78" s="448"/>
      <c r="AR78" s="448"/>
      <c r="AS78" s="448"/>
      <c r="AT78" s="448"/>
      <c r="AU78" s="448"/>
      <c r="AV78" s="448"/>
      <c r="AW78" s="448"/>
      <c r="AX78" s="448"/>
      <c r="AY78" s="448"/>
      <c r="AZ78" s="448"/>
      <c r="BA78" s="448"/>
      <c r="BB78" s="448"/>
      <c r="BC78" s="448"/>
      <c r="BD78" s="448"/>
      <c r="BE78" s="448"/>
      <c r="BF78" s="448"/>
      <c r="BG78" s="448"/>
      <c r="BH78" s="448"/>
      <c r="BI78" s="448"/>
      <c r="BJ78" s="448"/>
      <c r="BK78" s="448"/>
      <c r="BL78" s="448"/>
      <c r="BM78" s="448"/>
      <c r="BN78" s="449"/>
      <c r="BO78" s="270">
        <f>調査票①!CI29</f>
        <v>0.94444444444444442</v>
      </c>
      <c r="BP78" s="271"/>
      <c r="BQ78" s="271"/>
      <c r="BR78" s="272"/>
      <c r="BS78" s="11"/>
      <c r="BT78" s="10"/>
      <c r="CB78" s="7"/>
      <c r="CC78" s="9"/>
      <c r="CD78" s="9"/>
      <c r="CE78" s="9"/>
      <c r="CF78" s="9"/>
      <c r="CG78" s="9"/>
      <c r="CH78" s="9"/>
      <c r="CI78" s="9"/>
      <c r="CJ78" s="9"/>
      <c r="CK78" s="9"/>
      <c r="CL78" s="9"/>
      <c r="CM78" s="9"/>
      <c r="CN78" s="9"/>
      <c r="CO78" s="9"/>
      <c r="CP78" s="9"/>
      <c r="CQ78" s="9"/>
      <c r="CR78" s="9"/>
      <c r="CS78" s="9"/>
      <c r="CT78" s="9"/>
      <c r="CU78" s="9"/>
      <c r="CV78" s="9"/>
      <c r="CW78" s="9"/>
      <c r="CX78" s="9"/>
      <c r="CY78" s="9"/>
      <c r="CZ78" s="9"/>
      <c r="DA78" s="7"/>
      <c r="DB78" s="7"/>
      <c r="DC78" s="7"/>
      <c r="DD78" s="117"/>
      <c r="DE78" s="117"/>
      <c r="DF78" s="117"/>
      <c r="DG78" s="117"/>
      <c r="DH78" s="117"/>
      <c r="DI78" s="117"/>
      <c r="DJ78" s="117"/>
      <c r="DK78" s="117"/>
      <c r="DL78" s="117"/>
      <c r="DM78" s="117"/>
      <c r="DN78" s="117"/>
      <c r="DO78" s="117"/>
      <c r="DP78" s="117"/>
      <c r="DQ78" s="117"/>
      <c r="DR78" s="117"/>
      <c r="DS78" s="117"/>
      <c r="DT78" s="117"/>
      <c r="DU78" s="117"/>
      <c r="DV78" s="117"/>
      <c r="DW78" s="117"/>
      <c r="DX78" s="117"/>
      <c r="DY78" s="117"/>
      <c r="DZ78" s="117"/>
      <c r="EA78" s="117"/>
      <c r="EB78" s="117"/>
      <c r="EC78" s="117"/>
      <c r="ED78" s="117"/>
      <c r="EE78" s="117"/>
      <c r="EF78" s="117"/>
      <c r="EG78" s="117"/>
      <c r="EH78" s="117"/>
      <c r="EI78" s="117"/>
      <c r="EJ78" s="117"/>
      <c r="EK78" s="117"/>
      <c r="EL78" s="117"/>
      <c r="EM78" s="117"/>
      <c r="EN78" s="117"/>
      <c r="EO78" s="117"/>
      <c r="EP78" s="117"/>
      <c r="EQ78" s="7"/>
      <c r="ER78" s="7"/>
      <c r="ES78" s="7"/>
    </row>
    <row r="79" spans="3:155" ht="20.5" customHeight="1">
      <c r="C79" s="21"/>
      <c r="D79" s="415"/>
      <c r="E79" s="415"/>
      <c r="F79" s="415"/>
      <c r="G79" s="415"/>
      <c r="H79" s="415"/>
      <c r="I79" s="415"/>
      <c r="J79" s="415"/>
      <c r="K79" s="415"/>
      <c r="L79" s="439"/>
      <c r="M79" s="439"/>
      <c r="N79" s="439"/>
      <c r="O79" s="439"/>
      <c r="P79" s="439"/>
      <c r="Q79" s="439"/>
      <c r="R79" s="440"/>
      <c r="S79" s="440"/>
      <c r="T79" s="440"/>
      <c r="U79" s="444"/>
      <c r="V79" s="445"/>
      <c r="W79" s="445"/>
      <c r="X79" s="445"/>
      <c r="Y79" s="445"/>
      <c r="Z79" s="445"/>
      <c r="AA79" s="445"/>
      <c r="AB79" s="445"/>
      <c r="AC79" s="445"/>
      <c r="AD79" s="445"/>
      <c r="AE79" s="445"/>
      <c r="AF79" s="445"/>
      <c r="AG79" s="445"/>
      <c r="AH79" s="445"/>
      <c r="AI79" s="446"/>
      <c r="AJ79" s="418"/>
      <c r="AK79" s="418"/>
      <c r="AL79" s="418"/>
      <c r="AM79" s="450"/>
      <c r="AN79" s="451"/>
      <c r="AO79" s="451"/>
      <c r="AP79" s="451"/>
      <c r="AQ79" s="451"/>
      <c r="AR79" s="451"/>
      <c r="AS79" s="451"/>
      <c r="AT79" s="451"/>
      <c r="AU79" s="451"/>
      <c r="AV79" s="451"/>
      <c r="AW79" s="451"/>
      <c r="AX79" s="451"/>
      <c r="AY79" s="451"/>
      <c r="AZ79" s="451"/>
      <c r="BA79" s="451"/>
      <c r="BB79" s="451"/>
      <c r="BC79" s="451"/>
      <c r="BD79" s="451"/>
      <c r="BE79" s="451"/>
      <c r="BF79" s="451"/>
      <c r="BG79" s="451"/>
      <c r="BH79" s="451"/>
      <c r="BI79" s="451"/>
      <c r="BJ79" s="451"/>
      <c r="BK79" s="451"/>
      <c r="BL79" s="451"/>
      <c r="BM79" s="451"/>
      <c r="BN79" s="452"/>
      <c r="BO79" s="273"/>
      <c r="BP79" s="274"/>
      <c r="BQ79" s="274"/>
      <c r="BR79" s="275"/>
      <c r="BS79" s="11"/>
      <c r="BT79" s="10"/>
      <c r="CB79" s="23"/>
      <c r="CC79" s="15"/>
      <c r="CD79" s="15"/>
      <c r="CE79" s="15"/>
      <c r="CF79" s="15"/>
      <c r="CG79" s="15"/>
      <c r="CH79" s="15"/>
      <c r="CI79" s="15"/>
      <c r="CJ79" s="15"/>
      <c r="CK79" s="15"/>
      <c r="CL79" s="15"/>
      <c r="CM79" s="15"/>
      <c r="CN79" s="15"/>
      <c r="CO79" s="15"/>
      <c r="CP79" s="15"/>
      <c r="CQ79" s="15"/>
      <c r="CR79" s="15"/>
      <c r="CS79" s="15"/>
      <c r="CT79" s="15"/>
      <c r="CU79" s="15"/>
      <c r="CV79" s="15"/>
      <c r="CW79" s="15"/>
      <c r="CX79" s="87" t="s">
        <v>468</v>
      </c>
      <c r="CY79" s="15"/>
      <c r="CZ79" s="15"/>
      <c r="DA79" s="14"/>
      <c r="DB79" s="14"/>
      <c r="DC79" s="14"/>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c r="EB79" s="14"/>
      <c r="EC79" s="14"/>
      <c r="ED79" s="14"/>
      <c r="EE79" s="14"/>
      <c r="EF79" s="14"/>
      <c r="EG79" s="14"/>
      <c r="EH79" s="14"/>
      <c r="EI79" s="14"/>
      <c r="EJ79" s="14"/>
      <c r="EK79" s="14"/>
      <c r="EL79" s="14"/>
      <c r="EM79" s="14"/>
      <c r="EN79" s="14"/>
      <c r="EO79" s="14"/>
      <c r="EP79" s="14"/>
      <c r="EQ79" s="14"/>
      <c r="ER79" s="14"/>
      <c r="ES79" s="13"/>
    </row>
    <row r="80" spans="3:155" ht="20.5" customHeight="1">
      <c r="C80" s="21"/>
      <c r="D80" s="418" t="s">
        <v>123</v>
      </c>
      <c r="E80" s="418"/>
      <c r="F80" s="418"/>
      <c r="G80" s="418"/>
      <c r="H80" s="418"/>
      <c r="I80" s="418"/>
      <c r="J80" s="418"/>
      <c r="K80" s="418"/>
      <c r="L80" s="439" t="str">
        <f>VLOOKUP($D$11,調査票①!$A$9:$HJ$30,91,FALSE)&amp;""</f>
        <v>1</v>
      </c>
      <c r="M80" s="439"/>
      <c r="N80" s="439"/>
      <c r="O80" s="439" t="str">
        <f>VLOOKUP($D$11,調査票①!$A$9:$HJ$30,92,FALSE)&amp;""</f>
        <v>1</v>
      </c>
      <c r="P80" s="439"/>
      <c r="Q80" s="439"/>
      <c r="R80" s="440">
        <f>VLOOKUP($D$11,調査票①!$A$9:$HJ$30,93,FALSE)</f>
        <v>1</v>
      </c>
      <c r="S80" s="440"/>
      <c r="T80" s="440"/>
      <c r="U80" s="441" t="str">
        <f>VLOOKUP($D$11,調査票①!$A$9:$HJ$30,94,FALSE)&amp;""</f>
        <v>　</v>
      </c>
      <c r="V80" s="442"/>
      <c r="W80" s="442"/>
      <c r="X80" s="442"/>
      <c r="Y80" s="442"/>
      <c r="Z80" s="442"/>
      <c r="AA80" s="442"/>
      <c r="AB80" s="442"/>
      <c r="AC80" s="442"/>
      <c r="AD80" s="442"/>
      <c r="AE80" s="442"/>
      <c r="AF80" s="442"/>
      <c r="AG80" s="442"/>
      <c r="AH80" s="442"/>
      <c r="AI80" s="443"/>
      <c r="AJ80" s="418" t="str">
        <f>VLOOKUP($D$11,調査票①!$A$9:$HJ$30,95,FALSE)&amp;""</f>
        <v>0</v>
      </c>
      <c r="AK80" s="418"/>
      <c r="AL80" s="418"/>
      <c r="AM80" s="447" t="str">
        <f>VLOOKUP($D$11,調査票①!$A$9:$HJ$30,96,FALSE)&amp;""</f>
        <v>　</v>
      </c>
      <c r="AN80" s="448"/>
      <c r="AO80" s="448"/>
      <c r="AP80" s="448"/>
      <c r="AQ80" s="448"/>
      <c r="AR80" s="448"/>
      <c r="AS80" s="448"/>
      <c r="AT80" s="448"/>
      <c r="AU80" s="448"/>
      <c r="AV80" s="448"/>
      <c r="AW80" s="448"/>
      <c r="AX80" s="448"/>
      <c r="AY80" s="448"/>
      <c r="AZ80" s="448"/>
      <c r="BA80" s="448"/>
      <c r="BB80" s="448"/>
      <c r="BC80" s="448"/>
      <c r="BD80" s="448"/>
      <c r="BE80" s="448"/>
      <c r="BF80" s="448"/>
      <c r="BG80" s="448"/>
      <c r="BH80" s="448"/>
      <c r="BI80" s="448"/>
      <c r="BJ80" s="448"/>
      <c r="BK80" s="448"/>
      <c r="BL80" s="448"/>
      <c r="BM80" s="448"/>
      <c r="BN80" s="449"/>
      <c r="BO80" s="270">
        <f>調査票①!CO29</f>
        <v>0.81818181818181823</v>
      </c>
      <c r="BP80" s="271"/>
      <c r="BQ80" s="271"/>
      <c r="BR80" s="272"/>
      <c r="BS80" s="11"/>
      <c r="BT80" s="10"/>
      <c r="CB80" s="21"/>
      <c r="CC80" s="11"/>
      <c r="CD80" s="11"/>
      <c r="CE80" s="11"/>
      <c r="CF80" s="11"/>
      <c r="CG80" s="11"/>
      <c r="CH80" s="11"/>
      <c r="CI80" s="11"/>
      <c r="CJ80" s="11"/>
      <c r="CK80" s="11"/>
      <c r="CL80" s="11"/>
      <c r="CM80" s="11"/>
      <c r="CN80" s="11"/>
      <c r="CO80" s="11"/>
      <c r="CP80" s="11"/>
      <c r="CQ80" s="11"/>
      <c r="CR80" s="11"/>
      <c r="CS80" s="11"/>
      <c r="CT80" s="11"/>
      <c r="CU80" s="11"/>
      <c r="CV80" s="11"/>
      <c r="CW80" s="11"/>
      <c r="CX80" s="11"/>
      <c r="CY80" s="11"/>
      <c r="CZ80" s="11"/>
      <c r="DA80" s="11"/>
      <c r="DB80" s="11"/>
      <c r="DC80" s="11"/>
      <c r="DD80" s="11"/>
      <c r="DE80" s="11"/>
      <c r="DF80" s="11"/>
      <c r="DG80" s="11"/>
      <c r="DH80" s="11"/>
      <c r="DI80" s="11"/>
      <c r="DJ80" s="11"/>
      <c r="DK80" s="11"/>
      <c r="DL80" s="11"/>
      <c r="DM80" s="11"/>
      <c r="DN80" s="11"/>
      <c r="DO80" s="11"/>
      <c r="DP80" s="11"/>
      <c r="DQ80" s="11"/>
      <c r="DR80" s="11"/>
      <c r="DS80" s="11"/>
      <c r="DT80" s="11"/>
      <c r="DU80" s="11"/>
      <c r="DV80" s="11"/>
      <c r="DW80" s="11"/>
      <c r="DX80" s="11"/>
      <c r="DY80" s="11"/>
      <c r="DZ80" s="11"/>
      <c r="EA80" s="11"/>
      <c r="EB80" s="11"/>
      <c r="EC80" s="11"/>
      <c r="ED80" s="11"/>
      <c r="EE80" s="11"/>
      <c r="EF80" s="11"/>
      <c r="EG80" s="11"/>
      <c r="EH80" s="11"/>
      <c r="EI80" s="11"/>
      <c r="EJ80" s="11"/>
      <c r="EK80" s="11"/>
      <c r="EL80" s="11"/>
      <c r="EM80" s="11"/>
      <c r="EN80" s="11"/>
      <c r="EO80" s="11"/>
      <c r="EP80" s="11"/>
      <c r="EQ80" s="11"/>
      <c r="ER80" s="11"/>
      <c r="ES80" s="10"/>
    </row>
    <row r="81" spans="3:149" ht="20.5" customHeight="1">
      <c r="C81" s="21"/>
      <c r="D81" s="418"/>
      <c r="E81" s="418"/>
      <c r="F81" s="418"/>
      <c r="G81" s="418"/>
      <c r="H81" s="418"/>
      <c r="I81" s="418"/>
      <c r="J81" s="418"/>
      <c r="K81" s="418"/>
      <c r="L81" s="439"/>
      <c r="M81" s="439"/>
      <c r="N81" s="439"/>
      <c r="O81" s="439"/>
      <c r="P81" s="439"/>
      <c r="Q81" s="439"/>
      <c r="R81" s="440"/>
      <c r="S81" s="440"/>
      <c r="T81" s="440"/>
      <c r="U81" s="444"/>
      <c r="V81" s="445"/>
      <c r="W81" s="445"/>
      <c r="X81" s="445"/>
      <c r="Y81" s="445"/>
      <c r="Z81" s="445"/>
      <c r="AA81" s="445"/>
      <c r="AB81" s="445"/>
      <c r="AC81" s="445"/>
      <c r="AD81" s="445"/>
      <c r="AE81" s="445"/>
      <c r="AF81" s="445"/>
      <c r="AG81" s="445"/>
      <c r="AH81" s="445"/>
      <c r="AI81" s="446"/>
      <c r="AJ81" s="418"/>
      <c r="AK81" s="418"/>
      <c r="AL81" s="418"/>
      <c r="AM81" s="450"/>
      <c r="AN81" s="451"/>
      <c r="AO81" s="451"/>
      <c r="AP81" s="451"/>
      <c r="AQ81" s="451"/>
      <c r="AR81" s="451"/>
      <c r="AS81" s="451"/>
      <c r="AT81" s="451"/>
      <c r="AU81" s="451"/>
      <c r="AV81" s="451"/>
      <c r="AW81" s="451"/>
      <c r="AX81" s="451"/>
      <c r="AY81" s="451"/>
      <c r="AZ81" s="451"/>
      <c r="BA81" s="451"/>
      <c r="BB81" s="451"/>
      <c r="BC81" s="451"/>
      <c r="BD81" s="451"/>
      <c r="BE81" s="451"/>
      <c r="BF81" s="451"/>
      <c r="BG81" s="451"/>
      <c r="BH81" s="451"/>
      <c r="BI81" s="451"/>
      <c r="BJ81" s="451"/>
      <c r="BK81" s="451"/>
      <c r="BL81" s="451"/>
      <c r="BM81" s="451"/>
      <c r="BN81" s="452"/>
      <c r="BO81" s="273"/>
      <c r="BP81" s="274"/>
      <c r="BQ81" s="274"/>
      <c r="BR81" s="275"/>
      <c r="BS81" s="11"/>
      <c r="BT81" s="10"/>
      <c r="CB81" s="21"/>
      <c r="CC81" s="11"/>
      <c r="CD81" s="11"/>
      <c r="CE81" s="11"/>
      <c r="CF81" s="11"/>
      <c r="CG81" s="11"/>
      <c r="CH81" s="11"/>
      <c r="CI81" s="11"/>
      <c r="CJ81" s="11"/>
      <c r="CK81" s="11"/>
      <c r="CL81" s="11"/>
      <c r="CM81" s="11"/>
      <c r="CN81" s="11"/>
      <c r="CO81" s="11"/>
      <c r="CP81" s="11"/>
      <c r="CQ81" s="11"/>
      <c r="CR81" s="11"/>
      <c r="CS81" s="11"/>
      <c r="CT81" s="11"/>
      <c r="CU81" s="11"/>
      <c r="CV81" s="11"/>
      <c r="CW81" s="11"/>
      <c r="CX81" s="11"/>
      <c r="CY81" s="11"/>
      <c r="CZ81" s="11"/>
      <c r="DA81" s="11"/>
      <c r="DB81" s="11"/>
      <c r="DC81" s="11"/>
      <c r="DD81" s="11"/>
      <c r="DE81" s="11"/>
      <c r="DF81" s="11"/>
      <c r="DG81" s="11"/>
      <c r="DH81" s="11"/>
      <c r="DI81" s="11"/>
      <c r="DJ81" s="11"/>
      <c r="DK81" s="11"/>
      <c r="DL81" s="11"/>
      <c r="DM81" s="11"/>
      <c r="DN81" s="11"/>
      <c r="DO81" s="11"/>
      <c r="DP81" s="11"/>
      <c r="DQ81" s="11"/>
      <c r="DR81" s="11"/>
      <c r="DS81" s="11"/>
      <c r="DT81" s="11"/>
      <c r="DU81" s="11"/>
      <c r="DV81" s="11"/>
      <c r="DW81" s="11"/>
      <c r="DX81" s="11"/>
      <c r="DY81" s="11"/>
      <c r="DZ81" s="11"/>
      <c r="EA81" s="11"/>
      <c r="EB81" s="11"/>
      <c r="EC81" s="11"/>
      <c r="ED81" s="11"/>
      <c r="EE81" s="11"/>
      <c r="EF81" s="11"/>
      <c r="EG81" s="11"/>
      <c r="EH81" s="11"/>
      <c r="EI81" s="11"/>
      <c r="EJ81" s="11"/>
      <c r="EK81" s="11"/>
      <c r="EL81" s="11"/>
      <c r="EM81" s="11"/>
      <c r="EN81" s="11"/>
      <c r="EO81" s="11"/>
      <c r="EP81" s="11"/>
      <c r="EQ81" s="11"/>
      <c r="ER81" s="11"/>
      <c r="ES81" s="10"/>
    </row>
    <row r="82" spans="3:149" ht="20.5" customHeight="1">
      <c r="C82" s="21"/>
      <c r="D82" s="418" t="s">
        <v>124</v>
      </c>
      <c r="E82" s="418"/>
      <c r="F82" s="418"/>
      <c r="G82" s="418"/>
      <c r="H82" s="418"/>
      <c r="I82" s="418"/>
      <c r="J82" s="418"/>
      <c r="K82" s="418"/>
      <c r="L82" s="439" t="str">
        <f>VLOOKUP($D$11,調査票①!$A$9:$HJ$30,97,FALSE)&amp;""</f>
        <v>1</v>
      </c>
      <c r="M82" s="439"/>
      <c r="N82" s="439"/>
      <c r="O82" s="439" t="str">
        <f>VLOOKUP($D$11,調査票①!$A$9:$HJ$30,98,FALSE)&amp;""</f>
        <v>1</v>
      </c>
      <c r="P82" s="439"/>
      <c r="Q82" s="439"/>
      <c r="R82" s="440">
        <f>VLOOKUP($D$11,調査票①!$A$9:$HJ$30,99,FALSE)</f>
        <v>1</v>
      </c>
      <c r="S82" s="440"/>
      <c r="T82" s="440"/>
      <c r="U82" s="441" t="str">
        <f>VLOOKUP($D$11,調査票①!$A$9:$HJ$30,100,FALSE)&amp;""</f>
        <v>　</v>
      </c>
      <c r="V82" s="442"/>
      <c r="W82" s="442"/>
      <c r="X82" s="442"/>
      <c r="Y82" s="442"/>
      <c r="Z82" s="442"/>
      <c r="AA82" s="442"/>
      <c r="AB82" s="442"/>
      <c r="AC82" s="442"/>
      <c r="AD82" s="442"/>
      <c r="AE82" s="442"/>
      <c r="AF82" s="442"/>
      <c r="AG82" s="442"/>
      <c r="AH82" s="442"/>
      <c r="AI82" s="443"/>
      <c r="AJ82" s="477" t="str">
        <f>VLOOKUP($D$11,調査票①!$A$9:$HJ$30,101,FALSE)&amp;""</f>
        <v>0</v>
      </c>
      <c r="AK82" s="477"/>
      <c r="AL82" s="477"/>
      <c r="AM82" s="447" t="str">
        <f>VLOOKUP($D$11,調査票①!$A$9:$HJ$30,102,FALSE)&amp;""</f>
        <v>　</v>
      </c>
      <c r="AN82" s="448"/>
      <c r="AO82" s="448"/>
      <c r="AP82" s="448"/>
      <c r="AQ82" s="448"/>
      <c r="AR82" s="448"/>
      <c r="AS82" s="448"/>
      <c r="AT82" s="448"/>
      <c r="AU82" s="448"/>
      <c r="AV82" s="448"/>
      <c r="AW82" s="448"/>
      <c r="AX82" s="448"/>
      <c r="AY82" s="448"/>
      <c r="AZ82" s="448"/>
      <c r="BA82" s="448"/>
      <c r="BB82" s="448"/>
      <c r="BC82" s="448"/>
      <c r="BD82" s="448"/>
      <c r="BE82" s="448"/>
      <c r="BF82" s="448"/>
      <c r="BG82" s="448"/>
      <c r="BH82" s="448"/>
      <c r="BI82" s="448"/>
      <c r="BJ82" s="448"/>
      <c r="BK82" s="448"/>
      <c r="BL82" s="448"/>
      <c r="BM82" s="448"/>
      <c r="BN82" s="449"/>
      <c r="BO82" s="270">
        <f>調査票①!CU29</f>
        <v>0.83870967741935487</v>
      </c>
      <c r="BP82" s="271"/>
      <c r="BQ82" s="271"/>
      <c r="BR82" s="272"/>
      <c r="BS82" s="11"/>
      <c r="BT82" s="10"/>
      <c r="CB82" s="21"/>
      <c r="CC82" s="497" t="s">
        <v>263</v>
      </c>
      <c r="CD82" s="497"/>
      <c r="CE82" s="497"/>
      <c r="CF82" s="497"/>
      <c r="CG82" s="497"/>
      <c r="CH82" s="497"/>
      <c r="CI82" s="497"/>
      <c r="CJ82" s="497"/>
      <c r="CK82" s="497"/>
      <c r="CL82" s="497"/>
      <c r="CM82" s="497" t="str">
        <f>VLOOKUP($D$11,調査票①!$A$9:$HJ$30,213,FALSE)&amp;""</f>
        <v>○</v>
      </c>
      <c r="CN82" s="497"/>
      <c r="CO82" s="497"/>
      <c r="CP82" s="497"/>
      <c r="CQ82" s="497"/>
      <c r="CR82" s="497"/>
      <c r="CS82" s="497"/>
      <c r="CT82" s="497"/>
      <c r="CU82" s="497"/>
      <c r="CV82" s="497"/>
      <c r="CW82" s="497"/>
      <c r="CX82" s="497"/>
      <c r="CY82" s="497"/>
      <c r="CZ82" s="497"/>
      <c r="DA82" s="11"/>
      <c r="DB82" s="497" t="s">
        <v>11</v>
      </c>
      <c r="DC82" s="497"/>
      <c r="DD82" s="497"/>
      <c r="DE82" s="497"/>
      <c r="DF82" s="497"/>
      <c r="DG82" s="497"/>
      <c r="DH82" s="497"/>
      <c r="DI82" s="497"/>
      <c r="DJ82" s="497"/>
      <c r="DK82" s="497"/>
      <c r="DL82" s="497" t="str">
        <f>VLOOKUP($D$11,調査票①!$A$9:$HJ$30,214,FALSE)&amp;""</f>
        <v>－</v>
      </c>
      <c r="DM82" s="497"/>
      <c r="DN82" s="497"/>
      <c r="DO82" s="497"/>
      <c r="DP82" s="497"/>
      <c r="DQ82" s="497"/>
      <c r="DR82" s="497"/>
      <c r="DS82" s="497"/>
      <c r="DT82" s="497"/>
      <c r="DU82" s="497"/>
      <c r="DV82" s="11"/>
      <c r="DW82" s="11"/>
      <c r="DX82" s="11"/>
      <c r="DY82" s="497" t="s">
        <v>132</v>
      </c>
      <c r="DZ82" s="497"/>
      <c r="EA82" s="497"/>
      <c r="EB82" s="497"/>
      <c r="EC82" s="497"/>
      <c r="ED82" s="497"/>
      <c r="EE82" s="497"/>
      <c r="EF82" s="497"/>
      <c r="EG82" s="505" t="str">
        <f>VLOOKUP($D$11,調査票①!$A$9:$HJ$30,215,FALSE)&amp;""</f>
        <v>－</v>
      </c>
      <c r="EH82" s="505"/>
      <c r="EI82" s="505"/>
      <c r="EJ82" s="505"/>
      <c r="EK82" s="505"/>
      <c r="EL82" s="505"/>
      <c r="EM82" s="505"/>
      <c r="EN82" s="505"/>
      <c r="EO82" s="505"/>
      <c r="EP82" s="11"/>
      <c r="EQ82" s="11"/>
      <c r="ER82" s="11"/>
      <c r="ES82" s="10"/>
    </row>
    <row r="83" spans="3:149" ht="20.5" customHeight="1">
      <c r="C83" s="21"/>
      <c r="D83" s="418"/>
      <c r="E83" s="418"/>
      <c r="F83" s="418"/>
      <c r="G83" s="418"/>
      <c r="H83" s="418"/>
      <c r="I83" s="418"/>
      <c r="J83" s="418"/>
      <c r="K83" s="418"/>
      <c r="L83" s="439"/>
      <c r="M83" s="439"/>
      <c r="N83" s="439"/>
      <c r="O83" s="439"/>
      <c r="P83" s="439"/>
      <c r="Q83" s="439"/>
      <c r="R83" s="440"/>
      <c r="S83" s="440"/>
      <c r="T83" s="440"/>
      <c r="U83" s="444"/>
      <c r="V83" s="445"/>
      <c r="W83" s="445"/>
      <c r="X83" s="445"/>
      <c r="Y83" s="445"/>
      <c r="Z83" s="445"/>
      <c r="AA83" s="445"/>
      <c r="AB83" s="445"/>
      <c r="AC83" s="445"/>
      <c r="AD83" s="445"/>
      <c r="AE83" s="445"/>
      <c r="AF83" s="445"/>
      <c r="AG83" s="445"/>
      <c r="AH83" s="445"/>
      <c r="AI83" s="446"/>
      <c r="AJ83" s="477"/>
      <c r="AK83" s="477"/>
      <c r="AL83" s="477"/>
      <c r="AM83" s="450"/>
      <c r="AN83" s="451"/>
      <c r="AO83" s="451"/>
      <c r="AP83" s="451"/>
      <c r="AQ83" s="451"/>
      <c r="AR83" s="451"/>
      <c r="AS83" s="451"/>
      <c r="AT83" s="451"/>
      <c r="AU83" s="451"/>
      <c r="AV83" s="451"/>
      <c r="AW83" s="451"/>
      <c r="AX83" s="451"/>
      <c r="AY83" s="451"/>
      <c r="AZ83" s="451"/>
      <c r="BA83" s="451"/>
      <c r="BB83" s="451"/>
      <c r="BC83" s="451"/>
      <c r="BD83" s="451"/>
      <c r="BE83" s="451"/>
      <c r="BF83" s="451"/>
      <c r="BG83" s="451"/>
      <c r="BH83" s="451"/>
      <c r="BI83" s="451"/>
      <c r="BJ83" s="451"/>
      <c r="BK83" s="451"/>
      <c r="BL83" s="451"/>
      <c r="BM83" s="451"/>
      <c r="BN83" s="452"/>
      <c r="BO83" s="273"/>
      <c r="BP83" s="274"/>
      <c r="BQ83" s="274"/>
      <c r="BR83" s="275"/>
      <c r="BS83" s="11"/>
      <c r="BT83" s="10"/>
      <c r="CB83" s="21"/>
      <c r="CC83" s="497"/>
      <c r="CD83" s="497"/>
      <c r="CE83" s="497"/>
      <c r="CF83" s="497"/>
      <c r="CG83" s="497"/>
      <c r="CH83" s="497"/>
      <c r="CI83" s="497"/>
      <c r="CJ83" s="497"/>
      <c r="CK83" s="497"/>
      <c r="CL83" s="497"/>
      <c r="CM83" s="497"/>
      <c r="CN83" s="497"/>
      <c r="CO83" s="497"/>
      <c r="CP83" s="497"/>
      <c r="CQ83" s="497"/>
      <c r="CR83" s="497"/>
      <c r="CS83" s="497"/>
      <c r="CT83" s="497"/>
      <c r="CU83" s="497"/>
      <c r="CV83" s="497"/>
      <c r="CW83" s="497"/>
      <c r="CX83" s="497"/>
      <c r="CY83" s="497"/>
      <c r="CZ83" s="497"/>
      <c r="DA83" s="11"/>
      <c r="DB83" s="497"/>
      <c r="DC83" s="497"/>
      <c r="DD83" s="497"/>
      <c r="DE83" s="497"/>
      <c r="DF83" s="497"/>
      <c r="DG83" s="497"/>
      <c r="DH83" s="497"/>
      <c r="DI83" s="497"/>
      <c r="DJ83" s="497"/>
      <c r="DK83" s="497"/>
      <c r="DL83" s="497"/>
      <c r="DM83" s="497"/>
      <c r="DN83" s="497"/>
      <c r="DO83" s="497"/>
      <c r="DP83" s="497"/>
      <c r="DQ83" s="497"/>
      <c r="DR83" s="497"/>
      <c r="DS83" s="497"/>
      <c r="DT83" s="497"/>
      <c r="DU83" s="497"/>
      <c r="DV83" s="11"/>
      <c r="DW83" s="11"/>
      <c r="DX83" s="11"/>
      <c r="DY83" s="497"/>
      <c r="DZ83" s="497"/>
      <c r="EA83" s="497"/>
      <c r="EB83" s="497"/>
      <c r="EC83" s="497"/>
      <c r="ED83" s="497"/>
      <c r="EE83" s="497"/>
      <c r="EF83" s="497"/>
      <c r="EG83" s="505"/>
      <c r="EH83" s="505"/>
      <c r="EI83" s="505"/>
      <c r="EJ83" s="505"/>
      <c r="EK83" s="505"/>
      <c r="EL83" s="505"/>
      <c r="EM83" s="505"/>
      <c r="EN83" s="505"/>
      <c r="EO83" s="505"/>
      <c r="EP83" s="11"/>
      <c r="EQ83" s="11"/>
      <c r="ER83" s="11"/>
      <c r="ES83" s="10"/>
    </row>
    <row r="84" spans="3:149" ht="20.5" customHeight="1">
      <c r="C84" s="21"/>
      <c r="D84" s="415" t="s">
        <v>125</v>
      </c>
      <c r="E84" s="415"/>
      <c r="F84" s="415"/>
      <c r="G84" s="415"/>
      <c r="H84" s="415"/>
      <c r="I84" s="415"/>
      <c r="J84" s="415"/>
      <c r="K84" s="415"/>
      <c r="L84" s="439" t="str">
        <f>VLOOKUP($D$11,調査票①!$A$9:$HJ$30,103,FALSE)&amp;""</f>
        <v>1</v>
      </c>
      <c r="M84" s="439"/>
      <c r="N84" s="439"/>
      <c r="O84" s="439" t="str">
        <f>VLOOKUP($D$11,調査票①!$A$9:$HJ$30,104,FALSE)&amp;""</f>
        <v>1</v>
      </c>
      <c r="P84" s="439"/>
      <c r="Q84" s="439"/>
      <c r="R84" s="440">
        <f>VLOOKUP($D$11,調査票①!$A$9:$HJ$30,105,FALSE)</f>
        <v>1</v>
      </c>
      <c r="S84" s="440"/>
      <c r="T84" s="440"/>
      <c r="U84" s="441" t="str">
        <f>VLOOKUP($D$11,調査票①!$A$9:$HJ$30,106,FALSE)&amp;""</f>
        <v>　</v>
      </c>
      <c r="V84" s="442"/>
      <c r="W84" s="442"/>
      <c r="X84" s="442"/>
      <c r="Y84" s="442"/>
      <c r="Z84" s="442"/>
      <c r="AA84" s="442"/>
      <c r="AB84" s="442"/>
      <c r="AC84" s="442"/>
      <c r="AD84" s="442"/>
      <c r="AE84" s="442"/>
      <c r="AF84" s="442"/>
      <c r="AG84" s="442"/>
      <c r="AH84" s="442"/>
      <c r="AI84" s="443"/>
      <c r="AJ84" s="477" t="str">
        <f>VLOOKUP($D$11,調査票①!$A$9:$HJ$30,107,FALSE)&amp;""</f>
        <v>0</v>
      </c>
      <c r="AK84" s="477"/>
      <c r="AL84" s="477"/>
      <c r="AM84" s="447" t="str">
        <f>VLOOKUP($D$11,調査票①!$A$9:$HJ$30,108,FALSE)&amp;""</f>
        <v>　</v>
      </c>
      <c r="AN84" s="448"/>
      <c r="AO84" s="448"/>
      <c r="AP84" s="448"/>
      <c r="AQ84" s="448"/>
      <c r="AR84" s="448"/>
      <c r="AS84" s="448"/>
      <c r="AT84" s="448"/>
      <c r="AU84" s="448"/>
      <c r="AV84" s="448"/>
      <c r="AW84" s="448"/>
      <c r="AX84" s="448"/>
      <c r="AY84" s="448"/>
      <c r="AZ84" s="448"/>
      <c r="BA84" s="448"/>
      <c r="BB84" s="448"/>
      <c r="BC84" s="448"/>
      <c r="BD84" s="448"/>
      <c r="BE84" s="448"/>
      <c r="BF84" s="448"/>
      <c r="BG84" s="448"/>
      <c r="BH84" s="448"/>
      <c r="BI84" s="448"/>
      <c r="BJ84" s="448"/>
      <c r="BK84" s="448"/>
      <c r="BL84" s="448"/>
      <c r="BM84" s="448"/>
      <c r="BN84" s="449"/>
      <c r="BO84" s="270">
        <f>調査票①!DA29</f>
        <v>0.92307692307692313</v>
      </c>
      <c r="BP84" s="271"/>
      <c r="BQ84" s="271"/>
      <c r="BR84" s="272"/>
      <c r="BS84" s="11"/>
      <c r="BT84" s="10"/>
      <c r="CB84" s="51"/>
      <c r="CC84" s="497"/>
      <c r="CD84" s="497"/>
      <c r="CE84" s="497"/>
      <c r="CF84" s="497"/>
      <c r="CG84" s="497"/>
      <c r="CH84" s="497"/>
      <c r="CI84" s="497"/>
      <c r="CJ84" s="497"/>
      <c r="CK84" s="497"/>
      <c r="CL84" s="497"/>
      <c r="CM84" s="497"/>
      <c r="CN84" s="497"/>
      <c r="CO84" s="497"/>
      <c r="CP84" s="497"/>
      <c r="CQ84" s="497"/>
      <c r="CR84" s="497"/>
      <c r="CS84" s="497"/>
      <c r="CT84" s="497"/>
      <c r="CU84" s="497"/>
      <c r="CV84" s="497"/>
      <c r="CW84" s="497"/>
      <c r="CX84" s="497"/>
      <c r="CY84" s="497"/>
      <c r="CZ84" s="497"/>
      <c r="DA84" s="11"/>
      <c r="DB84" s="497"/>
      <c r="DC84" s="497"/>
      <c r="DD84" s="497"/>
      <c r="DE84" s="497"/>
      <c r="DF84" s="497"/>
      <c r="DG84" s="497"/>
      <c r="DH84" s="497"/>
      <c r="DI84" s="497"/>
      <c r="DJ84" s="497"/>
      <c r="DK84" s="497"/>
      <c r="DL84" s="497"/>
      <c r="DM84" s="497"/>
      <c r="DN84" s="497"/>
      <c r="DO84" s="497"/>
      <c r="DP84" s="497"/>
      <c r="DQ84" s="497"/>
      <c r="DR84" s="497"/>
      <c r="DS84" s="497"/>
      <c r="DT84" s="497"/>
      <c r="DU84" s="497"/>
      <c r="DV84" s="11"/>
      <c r="DW84" s="11"/>
      <c r="DX84" s="11"/>
      <c r="DY84" s="497"/>
      <c r="DZ84" s="497"/>
      <c r="EA84" s="497"/>
      <c r="EB84" s="497"/>
      <c r="EC84" s="497"/>
      <c r="ED84" s="497"/>
      <c r="EE84" s="497"/>
      <c r="EF84" s="497"/>
      <c r="EG84" s="505"/>
      <c r="EH84" s="505"/>
      <c r="EI84" s="505"/>
      <c r="EJ84" s="505"/>
      <c r="EK84" s="505"/>
      <c r="EL84" s="505"/>
      <c r="EM84" s="505"/>
      <c r="EN84" s="505"/>
      <c r="EO84" s="505"/>
      <c r="EP84" s="11"/>
      <c r="EQ84" s="11"/>
      <c r="ER84" s="11"/>
      <c r="ES84" s="10"/>
    </row>
    <row r="85" spans="3:149" ht="20.5" customHeight="1">
      <c r="C85" s="21"/>
      <c r="D85" s="415"/>
      <c r="E85" s="415"/>
      <c r="F85" s="415"/>
      <c r="G85" s="415"/>
      <c r="H85" s="415"/>
      <c r="I85" s="415"/>
      <c r="J85" s="415"/>
      <c r="K85" s="415"/>
      <c r="L85" s="439"/>
      <c r="M85" s="439"/>
      <c r="N85" s="439"/>
      <c r="O85" s="439"/>
      <c r="P85" s="439"/>
      <c r="Q85" s="439"/>
      <c r="R85" s="440"/>
      <c r="S85" s="440"/>
      <c r="T85" s="440"/>
      <c r="U85" s="444"/>
      <c r="V85" s="445"/>
      <c r="W85" s="445"/>
      <c r="X85" s="445"/>
      <c r="Y85" s="445"/>
      <c r="Z85" s="445"/>
      <c r="AA85" s="445"/>
      <c r="AB85" s="445"/>
      <c r="AC85" s="445"/>
      <c r="AD85" s="445"/>
      <c r="AE85" s="445"/>
      <c r="AF85" s="445"/>
      <c r="AG85" s="445"/>
      <c r="AH85" s="445"/>
      <c r="AI85" s="446"/>
      <c r="AJ85" s="477"/>
      <c r="AK85" s="477"/>
      <c r="AL85" s="477"/>
      <c r="AM85" s="450"/>
      <c r="AN85" s="451"/>
      <c r="AO85" s="451"/>
      <c r="AP85" s="451"/>
      <c r="AQ85" s="451"/>
      <c r="AR85" s="451"/>
      <c r="AS85" s="451"/>
      <c r="AT85" s="451"/>
      <c r="AU85" s="451"/>
      <c r="AV85" s="451"/>
      <c r="AW85" s="451"/>
      <c r="AX85" s="451"/>
      <c r="AY85" s="451"/>
      <c r="AZ85" s="451"/>
      <c r="BA85" s="451"/>
      <c r="BB85" s="451"/>
      <c r="BC85" s="451"/>
      <c r="BD85" s="451"/>
      <c r="BE85" s="451"/>
      <c r="BF85" s="451"/>
      <c r="BG85" s="451"/>
      <c r="BH85" s="451"/>
      <c r="BI85" s="451"/>
      <c r="BJ85" s="451"/>
      <c r="BK85" s="451"/>
      <c r="BL85" s="451"/>
      <c r="BM85" s="451"/>
      <c r="BN85" s="452"/>
      <c r="BO85" s="273"/>
      <c r="BP85" s="274"/>
      <c r="BQ85" s="274"/>
      <c r="BR85" s="275"/>
      <c r="BS85" s="11"/>
      <c r="BT85" s="10"/>
      <c r="CB85" s="51"/>
      <c r="CC85" s="497"/>
      <c r="CD85" s="497"/>
      <c r="CE85" s="497"/>
      <c r="CF85" s="497"/>
      <c r="CG85" s="497"/>
      <c r="CH85" s="497"/>
      <c r="CI85" s="497"/>
      <c r="CJ85" s="497"/>
      <c r="CK85" s="497"/>
      <c r="CL85" s="497"/>
      <c r="CM85" s="497"/>
      <c r="CN85" s="497"/>
      <c r="CO85" s="497"/>
      <c r="CP85" s="497"/>
      <c r="CQ85" s="497"/>
      <c r="CR85" s="497"/>
      <c r="CS85" s="497"/>
      <c r="CT85" s="497"/>
      <c r="CU85" s="497"/>
      <c r="CV85" s="497"/>
      <c r="CW85" s="497"/>
      <c r="CX85" s="497"/>
      <c r="CY85" s="497"/>
      <c r="CZ85" s="497"/>
      <c r="DA85" s="11"/>
      <c r="DB85" s="497"/>
      <c r="DC85" s="497"/>
      <c r="DD85" s="497"/>
      <c r="DE85" s="497"/>
      <c r="DF85" s="497"/>
      <c r="DG85" s="497"/>
      <c r="DH85" s="497"/>
      <c r="DI85" s="497"/>
      <c r="DJ85" s="497"/>
      <c r="DK85" s="497"/>
      <c r="DL85" s="497"/>
      <c r="DM85" s="497"/>
      <c r="DN85" s="497"/>
      <c r="DO85" s="497"/>
      <c r="DP85" s="497"/>
      <c r="DQ85" s="497"/>
      <c r="DR85" s="497"/>
      <c r="DS85" s="497"/>
      <c r="DT85" s="497"/>
      <c r="DU85" s="497"/>
      <c r="DV85" s="11"/>
      <c r="DW85" s="11"/>
      <c r="DX85" s="11"/>
      <c r="DY85" s="497"/>
      <c r="DZ85" s="497"/>
      <c r="EA85" s="497"/>
      <c r="EB85" s="497"/>
      <c r="EC85" s="497"/>
      <c r="ED85" s="497"/>
      <c r="EE85" s="497"/>
      <c r="EF85" s="497"/>
      <c r="EG85" s="505"/>
      <c r="EH85" s="505"/>
      <c r="EI85" s="505"/>
      <c r="EJ85" s="505"/>
      <c r="EK85" s="505"/>
      <c r="EL85" s="505"/>
      <c r="EM85" s="505"/>
      <c r="EN85" s="505"/>
      <c r="EO85" s="505"/>
      <c r="EP85" s="11"/>
      <c r="EQ85" s="11"/>
      <c r="ER85" s="11"/>
      <c r="ES85" s="10"/>
    </row>
    <row r="86" spans="3:149" ht="20.5" customHeight="1">
      <c r="C86" s="21"/>
      <c r="D86" s="418" t="s">
        <v>126</v>
      </c>
      <c r="E86" s="418"/>
      <c r="F86" s="418"/>
      <c r="G86" s="418"/>
      <c r="H86" s="418"/>
      <c r="I86" s="418"/>
      <c r="J86" s="418"/>
      <c r="K86" s="418"/>
      <c r="L86" s="439" t="str">
        <f>VLOOKUP($D$11,調査票①!$A$9:$HJ$30,109,FALSE)&amp;""</f>
        <v>1</v>
      </c>
      <c r="M86" s="439"/>
      <c r="N86" s="439"/>
      <c r="O86" s="439" t="str">
        <f>VLOOKUP($D$11,調査票①!$A$9:$HJ$30,110,FALSE)&amp;""</f>
        <v>1</v>
      </c>
      <c r="P86" s="439"/>
      <c r="Q86" s="439"/>
      <c r="R86" s="440">
        <f>VLOOKUP($D$11,調査票①!$A$9:$HJ$30,111,FALSE)</f>
        <v>1</v>
      </c>
      <c r="S86" s="440"/>
      <c r="T86" s="440"/>
      <c r="U86" s="441" t="str">
        <f>VLOOKUP($D$11,調査票①!$A$9:$HJ$30,112,FALSE)&amp;""</f>
        <v>　</v>
      </c>
      <c r="V86" s="442"/>
      <c r="W86" s="442"/>
      <c r="X86" s="442"/>
      <c r="Y86" s="442"/>
      <c r="Z86" s="442"/>
      <c r="AA86" s="442"/>
      <c r="AB86" s="442"/>
      <c r="AC86" s="442"/>
      <c r="AD86" s="442"/>
      <c r="AE86" s="442"/>
      <c r="AF86" s="442"/>
      <c r="AG86" s="442"/>
      <c r="AH86" s="442"/>
      <c r="AI86" s="443"/>
      <c r="AJ86" s="477" t="str">
        <f>VLOOKUP($D$11,調査票①!$A$9:$HJ$30,113,FALSE)&amp;""</f>
        <v>0</v>
      </c>
      <c r="AK86" s="477"/>
      <c r="AL86" s="477"/>
      <c r="AM86" s="447" t="str">
        <f>VLOOKUP($D$11,調査票①!$A$9:$HJ$30,114,FALSE)&amp;""</f>
        <v>　</v>
      </c>
      <c r="AN86" s="448"/>
      <c r="AO86" s="448"/>
      <c r="AP86" s="448"/>
      <c r="AQ86" s="448"/>
      <c r="AR86" s="448"/>
      <c r="AS86" s="448"/>
      <c r="AT86" s="448"/>
      <c r="AU86" s="448"/>
      <c r="AV86" s="448"/>
      <c r="AW86" s="448"/>
      <c r="AX86" s="448"/>
      <c r="AY86" s="448"/>
      <c r="AZ86" s="448"/>
      <c r="BA86" s="448"/>
      <c r="BB86" s="448"/>
      <c r="BC86" s="448"/>
      <c r="BD86" s="448"/>
      <c r="BE86" s="448"/>
      <c r="BF86" s="448"/>
      <c r="BG86" s="448"/>
      <c r="BH86" s="448"/>
      <c r="BI86" s="448"/>
      <c r="BJ86" s="448"/>
      <c r="BK86" s="448"/>
      <c r="BL86" s="448"/>
      <c r="BM86" s="448"/>
      <c r="BN86" s="449"/>
      <c r="BO86" s="270">
        <f>調査票①!DG29</f>
        <v>0.82352941176470584</v>
      </c>
      <c r="BP86" s="271"/>
      <c r="BQ86" s="271"/>
      <c r="BR86" s="272"/>
      <c r="BS86" s="11"/>
      <c r="BT86" s="10"/>
      <c r="CB86" s="51"/>
      <c r="CC86" s="17"/>
      <c r="CD86" s="17"/>
      <c r="CE86" s="17"/>
      <c r="CF86" s="17"/>
      <c r="CG86" s="17"/>
      <c r="CH86" s="17"/>
      <c r="CI86" s="17"/>
      <c r="CJ86" s="17"/>
      <c r="CK86" s="17"/>
      <c r="CL86" s="17"/>
      <c r="CM86" s="17"/>
      <c r="CN86" s="17"/>
      <c r="CO86" s="17"/>
      <c r="CP86" s="17"/>
      <c r="CQ86" s="17"/>
      <c r="CR86" s="11"/>
      <c r="CS86" s="11"/>
      <c r="CT86" s="11"/>
      <c r="CU86" s="11"/>
      <c r="CV86" s="11"/>
      <c r="CW86" s="11"/>
      <c r="CX86" s="11"/>
      <c r="CY86" s="11"/>
      <c r="CZ86" s="11"/>
      <c r="DA86" s="11"/>
      <c r="DB86" s="11"/>
      <c r="DC86" s="11"/>
      <c r="DD86" s="11"/>
      <c r="DE86" s="11"/>
      <c r="DF86" s="11"/>
      <c r="DG86" s="11"/>
      <c r="DH86" s="11"/>
      <c r="DI86" s="11"/>
      <c r="DJ86" s="11"/>
      <c r="DK86" s="11"/>
      <c r="DL86" s="11"/>
      <c r="DM86" s="11"/>
      <c r="DN86" s="11"/>
      <c r="DO86" s="11"/>
      <c r="DP86" s="11"/>
      <c r="DQ86" s="11"/>
      <c r="DR86" s="11"/>
      <c r="DS86" s="11"/>
      <c r="DT86" s="11"/>
      <c r="DU86" s="11"/>
      <c r="DV86" s="11"/>
      <c r="DW86" s="11"/>
      <c r="DX86" s="11"/>
      <c r="DY86" s="11"/>
      <c r="DZ86" s="11"/>
      <c r="EA86" s="11"/>
      <c r="EB86" s="11"/>
      <c r="EC86" s="11"/>
      <c r="ED86" s="11"/>
      <c r="EE86" s="11"/>
      <c r="EF86" s="11"/>
      <c r="EG86" s="11"/>
      <c r="EH86" s="11"/>
      <c r="EI86" s="11"/>
      <c r="EJ86" s="11"/>
      <c r="EK86" s="11"/>
      <c r="EL86" s="11"/>
      <c r="EM86" s="11"/>
      <c r="EN86" s="11"/>
      <c r="EO86" s="11"/>
      <c r="EP86" s="11"/>
      <c r="EQ86" s="11"/>
      <c r="ER86" s="11"/>
      <c r="ES86" s="10"/>
    </row>
    <row r="87" spans="3:149" ht="35.5" customHeight="1">
      <c r="C87" s="21"/>
      <c r="D87" s="418"/>
      <c r="E87" s="418"/>
      <c r="F87" s="418"/>
      <c r="G87" s="418"/>
      <c r="H87" s="418"/>
      <c r="I87" s="418"/>
      <c r="J87" s="418"/>
      <c r="K87" s="418"/>
      <c r="L87" s="439"/>
      <c r="M87" s="439"/>
      <c r="N87" s="439"/>
      <c r="O87" s="439"/>
      <c r="P87" s="439"/>
      <c r="Q87" s="439"/>
      <c r="R87" s="440"/>
      <c r="S87" s="440"/>
      <c r="T87" s="440"/>
      <c r="U87" s="444"/>
      <c r="V87" s="445"/>
      <c r="W87" s="445"/>
      <c r="X87" s="445"/>
      <c r="Y87" s="445"/>
      <c r="Z87" s="445"/>
      <c r="AA87" s="445"/>
      <c r="AB87" s="445"/>
      <c r="AC87" s="445"/>
      <c r="AD87" s="445"/>
      <c r="AE87" s="445"/>
      <c r="AF87" s="445"/>
      <c r="AG87" s="445"/>
      <c r="AH87" s="445"/>
      <c r="AI87" s="446"/>
      <c r="AJ87" s="477"/>
      <c r="AK87" s="477"/>
      <c r="AL87" s="477"/>
      <c r="AM87" s="450"/>
      <c r="AN87" s="451"/>
      <c r="AO87" s="451"/>
      <c r="AP87" s="451"/>
      <c r="AQ87" s="451"/>
      <c r="AR87" s="451"/>
      <c r="AS87" s="451"/>
      <c r="AT87" s="451"/>
      <c r="AU87" s="451"/>
      <c r="AV87" s="451"/>
      <c r="AW87" s="451"/>
      <c r="AX87" s="451"/>
      <c r="AY87" s="451"/>
      <c r="AZ87" s="451"/>
      <c r="BA87" s="451"/>
      <c r="BB87" s="451"/>
      <c r="BC87" s="451"/>
      <c r="BD87" s="451"/>
      <c r="BE87" s="451"/>
      <c r="BF87" s="451"/>
      <c r="BG87" s="451"/>
      <c r="BH87" s="451"/>
      <c r="BI87" s="451"/>
      <c r="BJ87" s="451"/>
      <c r="BK87" s="451"/>
      <c r="BL87" s="451"/>
      <c r="BM87" s="451"/>
      <c r="BN87" s="452"/>
      <c r="BO87" s="273"/>
      <c r="BP87" s="274"/>
      <c r="BQ87" s="274"/>
      <c r="BR87" s="275"/>
      <c r="BS87" s="11"/>
      <c r="BT87" s="10"/>
      <c r="CB87" s="51"/>
      <c r="CC87" s="79" t="s">
        <v>133</v>
      </c>
      <c r="CD87" s="78"/>
      <c r="CE87" s="78"/>
      <c r="CF87" s="78"/>
      <c r="CG87" s="78"/>
      <c r="CH87" s="78"/>
      <c r="CI87" s="78"/>
      <c r="CJ87" s="78"/>
      <c r="CK87" s="78"/>
      <c r="CL87" s="78"/>
      <c r="CM87" s="78"/>
      <c r="CN87" s="78"/>
      <c r="CO87" s="78"/>
      <c r="CP87" s="78"/>
      <c r="CQ87" s="17"/>
      <c r="CR87" s="11"/>
      <c r="CS87" s="11"/>
      <c r="CT87" s="11"/>
      <c r="CU87" s="11"/>
      <c r="CV87" s="11"/>
      <c r="CW87" s="11"/>
      <c r="CX87" s="11"/>
      <c r="CY87" s="11"/>
      <c r="CZ87" s="11"/>
      <c r="DA87" s="11"/>
      <c r="DB87" s="11"/>
      <c r="DC87" s="11"/>
      <c r="DD87" s="11"/>
      <c r="DE87" s="11"/>
      <c r="DF87" s="11"/>
      <c r="DG87" s="11"/>
      <c r="DH87" s="11"/>
      <c r="DI87" s="11"/>
      <c r="DJ87" s="11"/>
      <c r="DK87" s="11"/>
      <c r="DL87" s="11"/>
      <c r="DM87" s="11"/>
      <c r="DN87" s="11"/>
      <c r="DO87" s="11"/>
      <c r="DP87" s="11"/>
      <c r="DQ87" s="11"/>
      <c r="DR87" s="11"/>
      <c r="DS87" s="11"/>
      <c r="DT87" s="11"/>
      <c r="DU87" s="11"/>
      <c r="DV87" s="11"/>
      <c r="DW87" s="11"/>
      <c r="DX87" s="11"/>
      <c r="DY87" s="11"/>
      <c r="DZ87" s="11"/>
      <c r="EA87" s="11"/>
      <c r="EB87" s="11"/>
      <c r="EC87" s="11"/>
      <c r="ED87" s="11"/>
      <c r="EE87" s="11"/>
      <c r="EF87" s="11"/>
      <c r="EG87" s="11"/>
      <c r="EH87" s="11"/>
      <c r="EI87" s="11"/>
      <c r="EJ87" s="11"/>
      <c r="EK87" s="11"/>
      <c r="EL87" s="11"/>
      <c r="EM87" s="11"/>
      <c r="EN87" s="11"/>
      <c r="EO87" s="11"/>
      <c r="EP87" s="11"/>
      <c r="EQ87" s="11"/>
      <c r="ER87" s="11"/>
      <c r="ES87" s="10"/>
    </row>
    <row r="88" spans="3:149" ht="20.5" customHeight="1">
      <c r="C88" s="21"/>
      <c r="D88" s="418" t="s">
        <v>127</v>
      </c>
      <c r="E88" s="418"/>
      <c r="F88" s="418"/>
      <c r="G88" s="418"/>
      <c r="H88" s="418"/>
      <c r="I88" s="418"/>
      <c r="J88" s="418"/>
      <c r="K88" s="418"/>
      <c r="L88" s="439" t="str">
        <f>VLOOKUP($D$11,調査票①!$A$9:$HJ$30,115,FALSE)&amp;""</f>
        <v>32</v>
      </c>
      <c r="M88" s="439"/>
      <c r="N88" s="439"/>
      <c r="O88" s="439" t="str">
        <f>VLOOKUP($D$11,調査票①!$A$9:$HJ$30,116,FALSE)&amp;""</f>
        <v>25</v>
      </c>
      <c r="P88" s="439"/>
      <c r="Q88" s="439"/>
      <c r="R88" s="440">
        <f>VLOOKUP($D$11,調査票①!$A$9:$HJ$30,117,FALSE)</f>
        <v>0.78125</v>
      </c>
      <c r="S88" s="440"/>
      <c r="T88" s="440"/>
      <c r="U88" s="447" t="str">
        <f>VLOOKUP($D$11,調査票①!$A$9:$HJ$30,118,FALSE)&amp;""</f>
        <v>指定管理者制度の導入については、有料施設や特殊施設を備えた公園、市民利用が多い公園を対象としており、これらの条件を満たしていない公園については、業務委託により管理を行っている。</v>
      </c>
      <c r="V88" s="478"/>
      <c r="W88" s="478"/>
      <c r="X88" s="478"/>
      <c r="Y88" s="478"/>
      <c r="Z88" s="478"/>
      <c r="AA88" s="478"/>
      <c r="AB88" s="478"/>
      <c r="AC88" s="478"/>
      <c r="AD88" s="478"/>
      <c r="AE88" s="478"/>
      <c r="AF88" s="478"/>
      <c r="AG88" s="478"/>
      <c r="AH88" s="478"/>
      <c r="AI88" s="479"/>
      <c r="AJ88" s="477" t="str">
        <f>VLOOKUP($D$11,調査票①!$A$9:$HJ$30,119,FALSE)&amp;""</f>
        <v>0</v>
      </c>
      <c r="AK88" s="477"/>
      <c r="AL88" s="477"/>
      <c r="AM88" s="447" t="str">
        <f>VLOOKUP($D$11,調査票①!$A$9:$HJ$30,120,FALSE)&amp;""</f>
        <v>　</v>
      </c>
      <c r="AN88" s="448"/>
      <c r="AO88" s="448"/>
      <c r="AP88" s="448"/>
      <c r="AQ88" s="448"/>
      <c r="AR88" s="448"/>
      <c r="AS88" s="448"/>
      <c r="AT88" s="448"/>
      <c r="AU88" s="448"/>
      <c r="AV88" s="448"/>
      <c r="AW88" s="448"/>
      <c r="AX88" s="448"/>
      <c r="AY88" s="448"/>
      <c r="AZ88" s="448"/>
      <c r="BA88" s="448"/>
      <c r="BB88" s="448"/>
      <c r="BC88" s="448"/>
      <c r="BD88" s="448"/>
      <c r="BE88" s="448"/>
      <c r="BF88" s="448"/>
      <c r="BG88" s="448"/>
      <c r="BH88" s="448"/>
      <c r="BI88" s="448"/>
      <c r="BJ88" s="448"/>
      <c r="BK88" s="448"/>
      <c r="BL88" s="448"/>
      <c r="BM88" s="448"/>
      <c r="BN88" s="449"/>
      <c r="BO88" s="270">
        <f>調査票①!DM29</f>
        <v>0.54782608695652169</v>
      </c>
      <c r="BP88" s="271"/>
      <c r="BQ88" s="271"/>
      <c r="BR88" s="272"/>
      <c r="BS88" s="11"/>
      <c r="BT88" s="10"/>
      <c r="CB88" s="51"/>
      <c r="CC88" s="500" t="s">
        <v>135</v>
      </c>
      <c r="CD88" s="500"/>
      <c r="CE88" s="500"/>
      <c r="CF88" s="500"/>
      <c r="CG88" s="500"/>
      <c r="CH88" s="500"/>
      <c r="CI88" s="500"/>
      <c r="CJ88" s="500"/>
      <c r="CK88" s="500"/>
      <c r="CL88" s="500"/>
      <c r="CM88" s="500"/>
      <c r="CN88" s="500"/>
      <c r="CO88" s="500"/>
      <c r="CP88" s="500"/>
      <c r="CQ88" s="17"/>
      <c r="CR88" s="11"/>
      <c r="CS88" s="11"/>
      <c r="CT88" s="11"/>
      <c r="CU88" s="11"/>
      <c r="CV88" s="11"/>
      <c r="CW88" s="11"/>
      <c r="CX88" s="11"/>
      <c r="CY88" s="11"/>
      <c r="CZ88" s="11"/>
      <c r="DA88" s="11"/>
      <c r="DB88" s="11"/>
      <c r="DC88" s="11"/>
      <c r="DD88" s="11"/>
      <c r="DE88" s="11"/>
      <c r="DF88" s="11"/>
      <c r="DG88" s="11"/>
      <c r="DH88" s="11"/>
      <c r="DI88" s="11"/>
      <c r="DJ88" s="11"/>
      <c r="DK88" s="11"/>
      <c r="DL88" s="11"/>
      <c r="DM88" s="11"/>
      <c r="DN88" s="11"/>
      <c r="DO88" s="11"/>
      <c r="DP88" s="11"/>
      <c r="DQ88" s="11"/>
      <c r="DR88" s="11"/>
      <c r="DS88" s="11"/>
      <c r="DT88" s="11"/>
      <c r="DU88" s="11"/>
      <c r="DV88" s="11"/>
      <c r="DW88" s="11"/>
      <c r="DX88" s="11"/>
      <c r="DY88" s="11"/>
      <c r="DZ88" s="11"/>
      <c r="EA88" s="11"/>
      <c r="EB88" s="11"/>
      <c r="EC88" s="11"/>
      <c r="ED88" s="11"/>
      <c r="EE88" s="11"/>
      <c r="EF88" s="11"/>
      <c r="EG88" s="11"/>
      <c r="EH88" s="11"/>
      <c r="EI88" s="11"/>
      <c r="EJ88" s="11"/>
      <c r="EK88" s="11"/>
      <c r="EL88" s="11"/>
      <c r="EM88" s="11"/>
      <c r="EN88" s="11"/>
      <c r="EO88" s="11"/>
      <c r="EP88" s="11"/>
      <c r="EQ88" s="11"/>
      <c r="ER88" s="11"/>
      <c r="ES88" s="10"/>
    </row>
    <row r="89" spans="3:149" ht="20.5" customHeight="1">
      <c r="C89" s="21"/>
      <c r="D89" s="418"/>
      <c r="E89" s="418"/>
      <c r="F89" s="418"/>
      <c r="G89" s="418"/>
      <c r="H89" s="418"/>
      <c r="I89" s="418"/>
      <c r="J89" s="418"/>
      <c r="K89" s="418"/>
      <c r="L89" s="439"/>
      <c r="M89" s="439"/>
      <c r="N89" s="439"/>
      <c r="O89" s="439"/>
      <c r="P89" s="439"/>
      <c r="Q89" s="439"/>
      <c r="R89" s="440"/>
      <c r="S89" s="440"/>
      <c r="T89" s="440"/>
      <c r="U89" s="480"/>
      <c r="V89" s="481"/>
      <c r="W89" s="481"/>
      <c r="X89" s="481"/>
      <c r="Y89" s="481"/>
      <c r="Z89" s="481"/>
      <c r="AA89" s="481"/>
      <c r="AB89" s="481"/>
      <c r="AC89" s="481"/>
      <c r="AD89" s="481"/>
      <c r="AE89" s="481"/>
      <c r="AF89" s="481"/>
      <c r="AG89" s="481"/>
      <c r="AH89" s="481"/>
      <c r="AI89" s="482"/>
      <c r="AJ89" s="477"/>
      <c r="AK89" s="477"/>
      <c r="AL89" s="477"/>
      <c r="AM89" s="450"/>
      <c r="AN89" s="451"/>
      <c r="AO89" s="451"/>
      <c r="AP89" s="451"/>
      <c r="AQ89" s="451"/>
      <c r="AR89" s="451"/>
      <c r="AS89" s="451"/>
      <c r="AT89" s="451"/>
      <c r="AU89" s="451"/>
      <c r="AV89" s="451"/>
      <c r="AW89" s="451"/>
      <c r="AX89" s="451"/>
      <c r="AY89" s="451"/>
      <c r="AZ89" s="451"/>
      <c r="BA89" s="451"/>
      <c r="BB89" s="451"/>
      <c r="BC89" s="451"/>
      <c r="BD89" s="451"/>
      <c r="BE89" s="451"/>
      <c r="BF89" s="451"/>
      <c r="BG89" s="451"/>
      <c r="BH89" s="451"/>
      <c r="BI89" s="451"/>
      <c r="BJ89" s="451"/>
      <c r="BK89" s="451"/>
      <c r="BL89" s="451"/>
      <c r="BM89" s="451"/>
      <c r="BN89" s="452"/>
      <c r="BO89" s="273"/>
      <c r="BP89" s="274"/>
      <c r="BQ89" s="274"/>
      <c r="BR89" s="275"/>
      <c r="BS89" s="11"/>
      <c r="BT89" s="10"/>
      <c r="CB89" s="51"/>
      <c r="CC89" s="500"/>
      <c r="CD89" s="500"/>
      <c r="CE89" s="500"/>
      <c r="CF89" s="500"/>
      <c r="CG89" s="500"/>
      <c r="CH89" s="500"/>
      <c r="CI89" s="500"/>
      <c r="CJ89" s="500"/>
      <c r="CK89" s="500"/>
      <c r="CL89" s="500"/>
      <c r="CM89" s="500"/>
      <c r="CN89" s="500"/>
      <c r="CO89" s="500"/>
      <c r="CP89" s="500"/>
      <c r="CQ89" s="17"/>
      <c r="CR89" s="11"/>
      <c r="CS89" s="11"/>
      <c r="CT89" s="11"/>
      <c r="CU89" s="11"/>
      <c r="CV89" s="11"/>
      <c r="CW89" s="11"/>
      <c r="CX89" s="11"/>
      <c r="CY89" s="11"/>
      <c r="CZ89" s="11"/>
      <c r="DA89" s="11"/>
      <c r="DB89" s="11"/>
      <c r="DC89" s="11"/>
      <c r="DD89" s="11"/>
      <c r="DE89" s="11"/>
      <c r="DF89" s="11"/>
      <c r="DG89" s="11"/>
      <c r="DH89" s="11"/>
      <c r="DI89" s="11"/>
      <c r="DJ89" s="11"/>
      <c r="DK89" s="11"/>
      <c r="DL89" s="11"/>
      <c r="DM89" s="11"/>
      <c r="DN89" s="11"/>
      <c r="DO89" s="11"/>
      <c r="DP89" s="11"/>
      <c r="DQ89" s="11"/>
      <c r="DR89" s="11"/>
      <c r="DS89" s="11"/>
      <c r="DT89" s="11"/>
      <c r="DU89" s="11"/>
      <c r="DV89" s="11"/>
      <c r="DW89" s="11"/>
      <c r="DX89" s="11"/>
      <c r="DY89" s="11"/>
      <c r="DZ89" s="11"/>
      <c r="EA89" s="11"/>
      <c r="EB89" s="11"/>
      <c r="EC89" s="11"/>
      <c r="ED89" s="11"/>
      <c r="EE89" s="11"/>
      <c r="EF89" s="11"/>
      <c r="EG89" s="11"/>
      <c r="EH89" s="11"/>
      <c r="EI89" s="11"/>
      <c r="EJ89" s="11"/>
      <c r="EK89" s="11"/>
      <c r="EL89" s="11"/>
      <c r="EM89" s="11"/>
      <c r="EN89" s="11"/>
      <c r="EO89" s="11"/>
      <c r="EP89" s="11"/>
      <c r="EQ89" s="11"/>
      <c r="ER89" s="11"/>
      <c r="ES89" s="10"/>
    </row>
    <row r="90" spans="3:149" ht="20.5" customHeight="1">
      <c r="C90" s="21"/>
      <c r="D90" s="418" t="s">
        <v>128</v>
      </c>
      <c r="E90" s="418"/>
      <c r="F90" s="418"/>
      <c r="G90" s="418"/>
      <c r="H90" s="418"/>
      <c r="I90" s="418"/>
      <c r="J90" s="418"/>
      <c r="K90" s="418"/>
      <c r="L90" s="439" t="str">
        <f>VLOOKUP($D$11,調査票①!$A$9:$HJ$30,121,FALSE)&amp;""</f>
        <v>100</v>
      </c>
      <c r="M90" s="439"/>
      <c r="N90" s="439"/>
      <c r="O90" s="439" t="str">
        <f>VLOOKUP($D$11,調査票①!$A$9:$HJ$30,122,FALSE)&amp;""</f>
        <v>100</v>
      </c>
      <c r="P90" s="439"/>
      <c r="Q90" s="439"/>
      <c r="R90" s="440">
        <f>VLOOKUP($D$11,調査票①!$A$9:$HJ$30,123,FALSE)</f>
        <v>1</v>
      </c>
      <c r="S90" s="440"/>
      <c r="T90" s="440"/>
      <c r="U90" s="441" t="str">
        <f>VLOOKUP($D$11,調査票①!$A$9:$HJ$30,124,FALSE)&amp;""</f>
        <v>　</v>
      </c>
      <c r="V90" s="442"/>
      <c r="W90" s="442"/>
      <c r="X90" s="442"/>
      <c r="Y90" s="442"/>
      <c r="Z90" s="442"/>
      <c r="AA90" s="442"/>
      <c r="AB90" s="442"/>
      <c r="AC90" s="442"/>
      <c r="AD90" s="442"/>
      <c r="AE90" s="442"/>
      <c r="AF90" s="442"/>
      <c r="AG90" s="442"/>
      <c r="AH90" s="442"/>
      <c r="AI90" s="443"/>
      <c r="AJ90" s="477" t="str">
        <f>VLOOKUP($D$11,調査票①!$A$9:$HJ$30,125,FALSE)&amp;""</f>
        <v>0</v>
      </c>
      <c r="AK90" s="477"/>
      <c r="AL90" s="477"/>
      <c r="AM90" s="447" t="str">
        <f>VLOOKUP($D$11,調査票①!$A$9:$HJ$30,126,FALSE)&amp;""</f>
        <v>　</v>
      </c>
      <c r="AN90" s="448"/>
      <c r="AO90" s="448"/>
      <c r="AP90" s="448"/>
      <c r="AQ90" s="448"/>
      <c r="AR90" s="448"/>
      <c r="AS90" s="448"/>
      <c r="AT90" s="448"/>
      <c r="AU90" s="448"/>
      <c r="AV90" s="448"/>
      <c r="AW90" s="448"/>
      <c r="AX90" s="448"/>
      <c r="AY90" s="448"/>
      <c r="AZ90" s="448"/>
      <c r="BA90" s="448"/>
      <c r="BB90" s="448"/>
      <c r="BC90" s="448"/>
      <c r="BD90" s="448"/>
      <c r="BE90" s="448"/>
      <c r="BF90" s="448"/>
      <c r="BG90" s="448"/>
      <c r="BH90" s="448"/>
      <c r="BI90" s="448"/>
      <c r="BJ90" s="448"/>
      <c r="BK90" s="448"/>
      <c r="BL90" s="448"/>
      <c r="BM90" s="448"/>
      <c r="BN90" s="449"/>
      <c r="BO90" s="270">
        <f>調査票①!DS29</f>
        <v>0.81173164734808567</v>
      </c>
      <c r="BP90" s="271"/>
      <c r="BQ90" s="271"/>
      <c r="BR90" s="272"/>
      <c r="BS90" s="11"/>
      <c r="BT90" s="10"/>
      <c r="BY90" s="16"/>
      <c r="BZ90" s="16"/>
      <c r="CA90" s="16"/>
      <c r="CB90" s="21"/>
      <c r="CC90" s="500"/>
      <c r="CD90" s="500"/>
      <c r="CE90" s="500"/>
      <c r="CF90" s="500"/>
      <c r="CG90" s="500"/>
      <c r="CH90" s="500"/>
      <c r="CI90" s="500"/>
      <c r="CJ90" s="500"/>
      <c r="CK90" s="500"/>
      <c r="CL90" s="500"/>
      <c r="CM90" s="500"/>
      <c r="CN90" s="500"/>
      <c r="CO90" s="500"/>
      <c r="CP90" s="500"/>
      <c r="CQ90" s="11"/>
      <c r="CR90" s="11"/>
      <c r="CS90" s="11"/>
      <c r="CT90" s="11"/>
      <c r="CU90" s="11"/>
      <c r="CV90" s="11"/>
      <c r="CW90" s="11"/>
      <c r="CX90" s="11"/>
      <c r="CY90" s="11"/>
      <c r="CZ90" s="11"/>
      <c r="DA90" s="11"/>
      <c r="DB90" s="11"/>
      <c r="DC90" s="11"/>
      <c r="DD90" s="11"/>
      <c r="DE90" s="11"/>
      <c r="DF90" s="11"/>
      <c r="DG90" s="11"/>
      <c r="DH90" s="11"/>
      <c r="DI90" s="11"/>
      <c r="DJ90" s="11"/>
      <c r="DK90" s="11"/>
      <c r="DL90" s="11"/>
      <c r="DM90" s="11"/>
      <c r="DN90" s="11"/>
      <c r="DO90" s="11"/>
      <c r="DP90" s="11"/>
      <c r="DQ90" s="11"/>
      <c r="DR90" s="11"/>
      <c r="DS90" s="11"/>
      <c r="DT90" s="11"/>
      <c r="DU90" s="11"/>
      <c r="DV90" s="11"/>
      <c r="DW90" s="11"/>
      <c r="DX90" s="11"/>
      <c r="DY90" s="11"/>
      <c r="DZ90" s="11"/>
      <c r="EA90" s="11"/>
      <c r="EB90" s="11"/>
      <c r="EC90" s="11"/>
      <c r="ED90" s="11"/>
      <c r="EE90" s="11"/>
      <c r="EF90" s="11"/>
      <c r="EG90" s="11"/>
      <c r="EH90" s="11"/>
      <c r="EI90" s="11"/>
      <c r="EJ90" s="11"/>
      <c r="EK90" s="11"/>
      <c r="EL90" s="11"/>
      <c r="EM90" s="11"/>
      <c r="EN90" s="11"/>
      <c r="EO90" s="11"/>
      <c r="EP90" s="11"/>
      <c r="EQ90" s="11"/>
      <c r="ER90" s="11"/>
      <c r="ES90" s="10"/>
    </row>
    <row r="91" spans="3:149" ht="20.5" customHeight="1">
      <c r="C91" s="21"/>
      <c r="D91" s="418"/>
      <c r="E91" s="418"/>
      <c r="F91" s="418"/>
      <c r="G91" s="418"/>
      <c r="H91" s="418"/>
      <c r="I91" s="418"/>
      <c r="J91" s="418"/>
      <c r="K91" s="418"/>
      <c r="L91" s="439"/>
      <c r="M91" s="439"/>
      <c r="N91" s="439"/>
      <c r="O91" s="439"/>
      <c r="P91" s="439"/>
      <c r="Q91" s="439"/>
      <c r="R91" s="440"/>
      <c r="S91" s="440"/>
      <c r="T91" s="440"/>
      <c r="U91" s="444"/>
      <c r="V91" s="445"/>
      <c r="W91" s="445"/>
      <c r="X91" s="445"/>
      <c r="Y91" s="445"/>
      <c r="Z91" s="445"/>
      <c r="AA91" s="445"/>
      <c r="AB91" s="445"/>
      <c r="AC91" s="445"/>
      <c r="AD91" s="445"/>
      <c r="AE91" s="445"/>
      <c r="AF91" s="445"/>
      <c r="AG91" s="445"/>
      <c r="AH91" s="445"/>
      <c r="AI91" s="446"/>
      <c r="AJ91" s="477"/>
      <c r="AK91" s="477"/>
      <c r="AL91" s="477"/>
      <c r="AM91" s="450"/>
      <c r="AN91" s="451"/>
      <c r="AO91" s="451"/>
      <c r="AP91" s="451"/>
      <c r="AQ91" s="451"/>
      <c r="AR91" s="451"/>
      <c r="AS91" s="451"/>
      <c r="AT91" s="451"/>
      <c r="AU91" s="451"/>
      <c r="AV91" s="451"/>
      <c r="AW91" s="451"/>
      <c r="AX91" s="451"/>
      <c r="AY91" s="451"/>
      <c r="AZ91" s="451"/>
      <c r="BA91" s="451"/>
      <c r="BB91" s="451"/>
      <c r="BC91" s="451"/>
      <c r="BD91" s="451"/>
      <c r="BE91" s="451"/>
      <c r="BF91" s="451"/>
      <c r="BG91" s="451"/>
      <c r="BH91" s="451"/>
      <c r="BI91" s="451"/>
      <c r="BJ91" s="451"/>
      <c r="BK91" s="451"/>
      <c r="BL91" s="451"/>
      <c r="BM91" s="451"/>
      <c r="BN91" s="452"/>
      <c r="BO91" s="273"/>
      <c r="BP91" s="274"/>
      <c r="BQ91" s="274"/>
      <c r="BR91" s="275"/>
      <c r="BS91" s="11"/>
      <c r="BT91" s="10"/>
      <c r="CB91" s="21"/>
      <c r="CC91" s="506">
        <f>調査票①!HE30</f>
        <v>1</v>
      </c>
      <c r="CD91" s="507"/>
      <c r="CE91" s="507"/>
      <c r="CF91" s="507"/>
      <c r="CG91" s="507"/>
      <c r="CH91" s="507"/>
      <c r="CI91" s="507"/>
      <c r="CJ91" s="507"/>
      <c r="CK91" s="507"/>
      <c r="CL91" s="507"/>
      <c r="CM91" s="507"/>
      <c r="CN91" s="507"/>
      <c r="CO91" s="507"/>
      <c r="CP91" s="508"/>
      <c r="CQ91" s="25"/>
      <c r="CR91" s="25"/>
      <c r="CS91" s="25"/>
      <c r="CT91" s="25"/>
      <c r="CU91" s="25"/>
      <c r="CV91" s="25"/>
      <c r="CW91" s="25"/>
      <c r="CX91" s="110"/>
      <c r="CY91" s="25"/>
      <c r="CZ91" s="25"/>
      <c r="DA91" s="11"/>
      <c r="DB91" s="11"/>
      <c r="DC91" s="11"/>
      <c r="DD91" s="11"/>
      <c r="DE91" s="11"/>
      <c r="DF91" s="11"/>
      <c r="DG91" s="11"/>
      <c r="DH91" s="11"/>
      <c r="DI91" s="11"/>
      <c r="DJ91" s="11"/>
      <c r="DK91" s="11"/>
      <c r="DL91" s="11"/>
      <c r="DM91" s="11"/>
      <c r="DN91" s="11"/>
      <c r="DO91" s="11"/>
      <c r="DP91" s="11"/>
      <c r="DQ91" s="11"/>
      <c r="DR91" s="11"/>
      <c r="DS91" s="11"/>
      <c r="DT91" s="11"/>
      <c r="DU91" s="11"/>
      <c r="DV91" s="11"/>
      <c r="DW91" s="11"/>
      <c r="DX91" s="11"/>
      <c r="DY91" s="11"/>
      <c r="DZ91" s="11"/>
      <c r="EA91" s="11"/>
      <c r="EB91" s="11"/>
      <c r="EC91" s="11"/>
      <c r="ED91" s="11"/>
      <c r="EE91" s="11"/>
      <c r="EF91" s="11"/>
      <c r="EG91" s="11"/>
      <c r="EH91" s="11"/>
      <c r="EI91" s="11"/>
      <c r="EJ91" s="11"/>
      <c r="EK91" s="11"/>
      <c r="EL91" s="11"/>
      <c r="EM91" s="11"/>
      <c r="EN91" s="11"/>
      <c r="EO91" s="11"/>
      <c r="EP91" s="11"/>
      <c r="EQ91" s="11"/>
      <c r="ER91" s="11"/>
      <c r="ES91" s="10"/>
    </row>
    <row r="92" spans="3:149" ht="20.5" customHeight="1">
      <c r="C92" s="21"/>
      <c r="D92" s="418" t="s">
        <v>129</v>
      </c>
      <c r="E92" s="418"/>
      <c r="F92" s="418"/>
      <c r="G92" s="418"/>
      <c r="H92" s="418"/>
      <c r="I92" s="418"/>
      <c r="J92" s="418"/>
      <c r="K92" s="418"/>
      <c r="L92" s="439" t="str">
        <f>VLOOKUP($D$11,調査票①!$A$9:$HJ$30,127,FALSE)&amp;""</f>
        <v>21</v>
      </c>
      <c r="M92" s="439"/>
      <c r="N92" s="439"/>
      <c r="O92" s="439" t="str">
        <f>VLOOKUP($D$11,調査票①!$A$9:$HJ$30,128,FALSE)&amp;""</f>
        <v>15</v>
      </c>
      <c r="P92" s="439"/>
      <c r="Q92" s="439"/>
      <c r="R92" s="440">
        <f>VLOOKUP($D$11,調査票①!$A$9:$HJ$30,129,FALSE)</f>
        <v>0.7142857142857143</v>
      </c>
      <c r="S92" s="440"/>
      <c r="T92" s="440"/>
      <c r="U92" s="470" t="str">
        <f>VLOOKUP($D$11,調査票①!$A$9:$HJ$30,130,FALSE)&amp;""</f>
        <v>すでに管理を民間に委託しており、市は委託できない部分のみ業務を行っていることから、現状においても効率的な経営が確保されていると判断されるため。</v>
      </c>
      <c r="V92" s="471"/>
      <c r="W92" s="471"/>
      <c r="X92" s="471"/>
      <c r="Y92" s="471"/>
      <c r="Z92" s="471"/>
      <c r="AA92" s="471"/>
      <c r="AB92" s="471"/>
      <c r="AC92" s="471"/>
      <c r="AD92" s="471"/>
      <c r="AE92" s="471"/>
      <c r="AF92" s="471"/>
      <c r="AG92" s="471"/>
      <c r="AH92" s="471"/>
      <c r="AI92" s="472"/>
      <c r="AJ92" s="477" t="str">
        <f>VLOOKUP($D$11,調査票①!$A$9:$HJ$30,131,FALSE)&amp;""</f>
        <v>0</v>
      </c>
      <c r="AK92" s="477"/>
      <c r="AL92" s="477"/>
      <c r="AM92" s="447" t="str">
        <f>VLOOKUP($D$11,調査票①!$A$9:$HJ$30,132,FALSE)&amp;""</f>
        <v>　</v>
      </c>
      <c r="AN92" s="448"/>
      <c r="AO92" s="448"/>
      <c r="AP92" s="448"/>
      <c r="AQ92" s="448"/>
      <c r="AR92" s="448"/>
      <c r="AS92" s="448"/>
      <c r="AT92" s="448"/>
      <c r="AU92" s="448"/>
      <c r="AV92" s="448"/>
      <c r="AW92" s="448"/>
      <c r="AX92" s="448"/>
      <c r="AY92" s="448"/>
      <c r="AZ92" s="448"/>
      <c r="BA92" s="448"/>
      <c r="BB92" s="448"/>
      <c r="BC92" s="448"/>
      <c r="BD92" s="448"/>
      <c r="BE92" s="448"/>
      <c r="BF92" s="448"/>
      <c r="BG92" s="448"/>
      <c r="BH92" s="448"/>
      <c r="BI92" s="448"/>
      <c r="BJ92" s="448"/>
      <c r="BK92" s="448"/>
      <c r="BL92" s="448"/>
      <c r="BM92" s="448"/>
      <c r="BN92" s="449"/>
      <c r="BO92" s="270">
        <f>調査票①!DY29</f>
        <v>0.84615384615384615</v>
      </c>
      <c r="BP92" s="271"/>
      <c r="BQ92" s="271"/>
      <c r="BR92" s="272"/>
      <c r="BS92" s="11"/>
      <c r="BT92" s="10"/>
      <c r="CB92" s="21"/>
      <c r="CC92" s="509"/>
      <c r="CD92" s="510"/>
      <c r="CE92" s="510"/>
      <c r="CF92" s="510"/>
      <c r="CG92" s="510"/>
      <c r="CH92" s="510"/>
      <c r="CI92" s="510"/>
      <c r="CJ92" s="510"/>
      <c r="CK92" s="510"/>
      <c r="CL92" s="510"/>
      <c r="CM92" s="510"/>
      <c r="CN92" s="510"/>
      <c r="CO92" s="510"/>
      <c r="CP92" s="511"/>
      <c r="CQ92" s="11"/>
      <c r="CR92" s="11"/>
      <c r="CS92" s="11"/>
      <c r="CT92" s="11"/>
      <c r="CU92" s="11"/>
      <c r="CV92" s="11"/>
      <c r="CW92" s="11"/>
      <c r="CX92" s="11"/>
      <c r="CY92" s="11"/>
      <c r="CZ92" s="11"/>
      <c r="DA92" s="11"/>
      <c r="DB92" s="11"/>
      <c r="DC92" s="11"/>
      <c r="DD92" s="11"/>
      <c r="DE92" s="11"/>
      <c r="DF92" s="11"/>
      <c r="DG92" s="11"/>
      <c r="DH92" s="11"/>
      <c r="DI92" s="11"/>
      <c r="DJ92" s="11"/>
      <c r="DK92" s="11"/>
      <c r="DL92" s="11"/>
      <c r="DM92" s="11"/>
      <c r="DN92" s="11"/>
      <c r="DO92" s="11"/>
      <c r="DP92" s="11"/>
      <c r="DQ92" s="11"/>
      <c r="DR92" s="11"/>
      <c r="DS92" s="11"/>
      <c r="DT92" s="11"/>
      <c r="DU92" s="11"/>
      <c r="DV92" s="11"/>
      <c r="DW92" s="11"/>
      <c r="DX92" s="11"/>
      <c r="DY92" s="11"/>
      <c r="DZ92" s="11"/>
      <c r="EA92" s="11"/>
      <c r="EB92" s="11"/>
      <c r="EC92" s="11"/>
      <c r="ED92" s="11"/>
      <c r="EE92" s="11"/>
      <c r="EF92" s="11"/>
      <c r="EG92" s="11"/>
      <c r="EH92" s="11"/>
      <c r="EI92" s="11"/>
      <c r="EJ92" s="11"/>
      <c r="EK92" s="11"/>
      <c r="EL92" s="11"/>
      <c r="EM92" s="11"/>
      <c r="EN92" s="11"/>
      <c r="EO92" s="11"/>
      <c r="EP92" s="11"/>
      <c r="EQ92" s="11"/>
      <c r="ER92" s="11"/>
      <c r="ES92" s="10"/>
    </row>
    <row r="93" spans="3:149" ht="20.5" customHeight="1">
      <c r="C93" s="21"/>
      <c r="D93" s="418"/>
      <c r="E93" s="418"/>
      <c r="F93" s="418"/>
      <c r="G93" s="418"/>
      <c r="H93" s="418"/>
      <c r="I93" s="418"/>
      <c r="J93" s="418"/>
      <c r="K93" s="418"/>
      <c r="L93" s="439"/>
      <c r="M93" s="439"/>
      <c r="N93" s="439"/>
      <c r="O93" s="439"/>
      <c r="P93" s="439"/>
      <c r="Q93" s="439"/>
      <c r="R93" s="440"/>
      <c r="S93" s="440"/>
      <c r="T93" s="440"/>
      <c r="U93" s="473"/>
      <c r="V93" s="474"/>
      <c r="W93" s="474"/>
      <c r="X93" s="474"/>
      <c r="Y93" s="474"/>
      <c r="Z93" s="474"/>
      <c r="AA93" s="474"/>
      <c r="AB93" s="474"/>
      <c r="AC93" s="474"/>
      <c r="AD93" s="474"/>
      <c r="AE93" s="474"/>
      <c r="AF93" s="474"/>
      <c r="AG93" s="474"/>
      <c r="AH93" s="474"/>
      <c r="AI93" s="475"/>
      <c r="AJ93" s="477"/>
      <c r="AK93" s="477"/>
      <c r="AL93" s="477"/>
      <c r="AM93" s="450"/>
      <c r="AN93" s="451"/>
      <c r="AO93" s="451"/>
      <c r="AP93" s="451"/>
      <c r="AQ93" s="451"/>
      <c r="AR93" s="451"/>
      <c r="AS93" s="451"/>
      <c r="AT93" s="451"/>
      <c r="AU93" s="451"/>
      <c r="AV93" s="451"/>
      <c r="AW93" s="451"/>
      <c r="AX93" s="451"/>
      <c r="AY93" s="451"/>
      <c r="AZ93" s="451"/>
      <c r="BA93" s="451"/>
      <c r="BB93" s="451"/>
      <c r="BC93" s="451"/>
      <c r="BD93" s="451"/>
      <c r="BE93" s="451"/>
      <c r="BF93" s="451"/>
      <c r="BG93" s="451"/>
      <c r="BH93" s="451"/>
      <c r="BI93" s="451"/>
      <c r="BJ93" s="451"/>
      <c r="BK93" s="451"/>
      <c r="BL93" s="451"/>
      <c r="BM93" s="451"/>
      <c r="BN93" s="452"/>
      <c r="BO93" s="273"/>
      <c r="BP93" s="274"/>
      <c r="BQ93" s="274"/>
      <c r="BR93" s="275"/>
      <c r="BS93" s="11"/>
      <c r="BT93" s="10"/>
      <c r="CB93" s="21"/>
      <c r="CC93" s="509"/>
      <c r="CD93" s="510"/>
      <c r="CE93" s="510"/>
      <c r="CF93" s="510"/>
      <c r="CG93" s="510"/>
      <c r="CH93" s="510"/>
      <c r="CI93" s="510"/>
      <c r="CJ93" s="510"/>
      <c r="CK93" s="510"/>
      <c r="CL93" s="510"/>
      <c r="CM93" s="510"/>
      <c r="CN93" s="510"/>
      <c r="CO93" s="510"/>
      <c r="CP93" s="511"/>
      <c r="CQ93" s="11"/>
      <c r="CR93" s="11"/>
      <c r="CS93" s="11"/>
      <c r="CT93" s="11"/>
      <c r="CU93" s="11"/>
      <c r="CV93" s="11"/>
      <c r="CW93" s="11"/>
      <c r="CX93" s="11"/>
      <c r="CY93" s="11"/>
      <c r="CZ93" s="11"/>
      <c r="DA93" s="11"/>
      <c r="DB93" s="11"/>
      <c r="DC93" s="11"/>
      <c r="DD93" s="11"/>
      <c r="DE93" s="11"/>
      <c r="DF93" s="11"/>
      <c r="DG93" s="11"/>
      <c r="DH93" s="11"/>
      <c r="DI93" s="11"/>
      <c r="DJ93" s="11"/>
      <c r="DK93" s="11"/>
      <c r="DL93" s="11"/>
      <c r="DM93" s="11"/>
      <c r="DN93" s="11"/>
      <c r="DO93" s="11"/>
      <c r="DP93" s="11"/>
      <c r="DQ93" s="11"/>
      <c r="DR93" s="11"/>
      <c r="DS93" s="11"/>
      <c r="DT93" s="11"/>
      <c r="DU93" s="11"/>
      <c r="DV93" s="11"/>
      <c r="DW93" s="11"/>
      <c r="DX93" s="11"/>
      <c r="DY93" s="11"/>
      <c r="DZ93" s="11"/>
      <c r="EA93" s="11"/>
      <c r="EB93" s="11"/>
      <c r="EC93" s="11"/>
      <c r="ED93" s="11"/>
      <c r="EE93" s="11"/>
      <c r="EF93" s="11"/>
      <c r="EG93" s="11"/>
      <c r="EH93" s="11"/>
      <c r="EI93" s="11"/>
      <c r="EJ93" s="11"/>
      <c r="EK93" s="11"/>
      <c r="EL93" s="11"/>
      <c r="EM93" s="11"/>
      <c r="EN93" s="11"/>
      <c r="EO93" s="11"/>
      <c r="EP93" s="11"/>
      <c r="EQ93" s="11"/>
      <c r="ER93" s="11"/>
      <c r="ES93" s="10"/>
    </row>
    <row r="94" spans="3:149" ht="20.5" customHeight="1">
      <c r="C94" s="21"/>
      <c r="D94" s="418" t="s">
        <v>130</v>
      </c>
      <c r="E94" s="418"/>
      <c r="F94" s="418"/>
      <c r="G94" s="418"/>
      <c r="H94" s="418"/>
      <c r="I94" s="418"/>
      <c r="J94" s="418"/>
      <c r="K94" s="418"/>
      <c r="L94" s="439" t="str">
        <f>VLOOKUP($D$11,調査票①!$A$9:$HJ$30,133,FALSE)&amp;""</f>
        <v>5</v>
      </c>
      <c r="M94" s="439"/>
      <c r="N94" s="439"/>
      <c r="O94" s="439" t="str">
        <f>VLOOKUP($D$11,調査票①!$A$9:$HJ$30,134,FALSE)&amp;""</f>
        <v>0</v>
      </c>
      <c r="P94" s="439"/>
      <c r="Q94" s="439"/>
      <c r="R94" s="440">
        <f>VLOOKUP($D$11,調査票①!$A$9:$HJ$30,135,FALSE)</f>
        <v>0</v>
      </c>
      <c r="S94" s="440"/>
      <c r="T94" s="440"/>
      <c r="U94" s="447" t="str">
        <f>VLOOKUP($D$11,調査票①!$A$9:$HJ$30,136,FALSE)&amp;""</f>
        <v>指定管理者の提案により施設の利用率向上等が望まれない施設であったり、PFIを導入し、民間会社が維持管理を行っている施設であるため</v>
      </c>
      <c r="V94" s="478"/>
      <c r="W94" s="478"/>
      <c r="X94" s="478"/>
      <c r="Y94" s="478"/>
      <c r="Z94" s="478"/>
      <c r="AA94" s="478"/>
      <c r="AB94" s="478"/>
      <c r="AC94" s="478"/>
      <c r="AD94" s="478"/>
      <c r="AE94" s="478"/>
      <c r="AF94" s="478"/>
      <c r="AG94" s="478"/>
      <c r="AH94" s="478"/>
      <c r="AI94" s="479"/>
      <c r="AJ94" s="418" t="str">
        <f>VLOOKUP($D$11,調査票①!$A$9:$HJ$30,137,FALSE)&amp;""</f>
        <v>4</v>
      </c>
      <c r="AK94" s="418"/>
      <c r="AL94" s="418"/>
      <c r="AM94" s="441" t="str">
        <f>VLOOKUP($D$11,調査票①!$A$9:$HJ$30,138,FALSE)&amp;""</f>
        <v>・墓地に関する許可業務を職員が行わなければならないため
・災害時における危機管理体制の維持。火葬技術・技能の継承を行うため</v>
      </c>
      <c r="AN94" s="483"/>
      <c r="AO94" s="483"/>
      <c r="AP94" s="483"/>
      <c r="AQ94" s="483"/>
      <c r="AR94" s="483"/>
      <c r="AS94" s="483"/>
      <c r="AT94" s="483"/>
      <c r="AU94" s="483"/>
      <c r="AV94" s="483"/>
      <c r="AW94" s="483"/>
      <c r="AX94" s="483"/>
      <c r="AY94" s="483"/>
      <c r="AZ94" s="483"/>
      <c r="BA94" s="483"/>
      <c r="BB94" s="483"/>
      <c r="BC94" s="483"/>
      <c r="BD94" s="483"/>
      <c r="BE94" s="483"/>
      <c r="BF94" s="483"/>
      <c r="BG94" s="483"/>
      <c r="BH94" s="483"/>
      <c r="BI94" s="483"/>
      <c r="BJ94" s="483"/>
      <c r="BK94" s="483"/>
      <c r="BL94" s="483"/>
      <c r="BM94" s="483"/>
      <c r="BN94" s="484"/>
      <c r="BO94" s="270">
        <f>調査票①!EE29</f>
        <v>0.32142857142857145</v>
      </c>
      <c r="BP94" s="271"/>
      <c r="BQ94" s="271"/>
      <c r="BR94" s="272"/>
      <c r="BS94" s="11"/>
      <c r="BT94" s="10"/>
      <c r="BW94" s="2"/>
      <c r="CB94" s="21"/>
      <c r="CC94" s="512"/>
      <c r="CD94" s="513"/>
      <c r="CE94" s="513"/>
      <c r="CF94" s="513"/>
      <c r="CG94" s="513"/>
      <c r="CH94" s="513"/>
      <c r="CI94" s="513"/>
      <c r="CJ94" s="513"/>
      <c r="CK94" s="513"/>
      <c r="CL94" s="513"/>
      <c r="CM94" s="513"/>
      <c r="CN94" s="513"/>
      <c r="CO94" s="513"/>
      <c r="CP94" s="514"/>
      <c r="CQ94" s="11"/>
      <c r="CR94" s="11"/>
      <c r="CS94" s="11"/>
      <c r="CT94" s="12"/>
      <c r="CU94" s="12"/>
      <c r="CV94" s="12"/>
      <c r="CW94" s="12"/>
      <c r="CX94" s="12"/>
      <c r="CY94" s="12"/>
      <c r="CZ94" s="12"/>
      <c r="DA94" s="11"/>
      <c r="DB94" s="12"/>
      <c r="DC94" s="12"/>
      <c r="DD94" s="12"/>
      <c r="DE94" s="12"/>
      <c r="DF94" s="12"/>
      <c r="DG94" s="12"/>
      <c r="DH94" s="12"/>
      <c r="DI94" s="12"/>
      <c r="DJ94" s="12"/>
      <c r="DK94" s="12"/>
      <c r="DL94" s="12"/>
      <c r="DM94" s="12"/>
      <c r="DN94" s="12"/>
      <c r="DO94" s="12"/>
      <c r="DP94" s="12"/>
      <c r="DQ94" s="12"/>
      <c r="DR94" s="12"/>
      <c r="DS94" s="12"/>
      <c r="DT94" s="12"/>
      <c r="DU94" s="12"/>
      <c r="DV94" s="11"/>
      <c r="DW94" s="11"/>
      <c r="DX94" s="11"/>
      <c r="DY94" s="12"/>
      <c r="DZ94" s="12"/>
      <c r="EA94" s="12"/>
      <c r="EB94" s="12"/>
      <c r="EC94" s="12"/>
      <c r="ED94" s="12"/>
      <c r="EE94" s="12"/>
      <c r="EF94" s="12"/>
      <c r="EG94" s="111"/>
      <c r="EH94" s="111"/>
      <c r="EI94" s="111"/>
      <c r="EJ94" s="111"/>
      <c r="EK94" s="111"/>
      <c r="EL94" s="111"/>
      <c r="EM94" s="111"/>
      <c r="EN94" s="111"/>
      <c r="EO94" s="111"/>
      <c r="EP94" s="11"/>
      <c r="EQ94" s="11"/>
      <c r="ER94" s="11"/>
      <c r="ES94" s="10"/>
    </row>
    <row r="95" spans="3:149" ht="20.5" customHeight="1">
      <c r="C95" s="21"/>
      <c r="D95" s="418"/>
      <c r="E95" s="418"/>
      <c r="F95" s="418"/>
      <c r="G95" s="418"/>
      <c r="H95" s="418"/>
      <c r="I95" s="418"/>
      <c r="J95" s="418"/>
      <c r="K95" s="418"/>
      <c r="L95" s="439"/>
      <c r="M95" s="439"/>
      <c r="N95" s="439"/>
      <c r="O95" s="439"/>
      <c r="P95" s="439"/>
      <c r="Q95" s="439"/>
      <c r="R95" s="440"/>
      <c r="S95" s="440"/>
      <c r="T95" s="440"/>
      <c r="U95" s="480"/>
      <c r="V95" s="481"/>
      <c r="W95" s="481"/>
      <c r="X95" s="481"/>
      <c r="Y95" s="481"/>
      <c r="Z95" s="481"/>
      <c r="AA95" s="481"/>
      <c r="AB95" s="481"/>
      <c r="AC95" s="481"/>
      <c r="AD95" s="481"/>
      <c r="AE95" s="481"/>
      <c r="AF95" s="481"/>
      <c r="AG95" s="481"/>
      <c r="AH95" s="481"/>
      <c r="AI95" s="482"/>
      <c r="AJ95" s="418"/>
      <c r="AK95" s="418"/>
      <c r="AL95" s="418"/>
      <c r="AM95" s="485"/>
      <c r="AN95" s="486"/>
      <c r="AO95" s="486"/>
      <c r="AP95" s="486"/>
      <c r="AQ95" s="486"/>
      <c r="AR95" s="486"/>
      <c r="AS95" s="486"/>
      <c r="AT95" s="486"/>
      <c r="AU95" s="486"/>
      <c r="AV95" s="486"/>
      <c r="AW95" s="486"/>
      <c r="AX95" s="486"/>
      <c r="AY95" s="486"/>
      <c r="AZ95" s="486"/>
      <c r="BA95" s="486"/>
      <c r="BB95" s="486"/>
      <c r="BC95" s="486"/>
      <c r="BD95" s="486"/>
      <c r="BE95" s="486"/>
      <c r="BF95" s="486"/>
      <c r="BG95" s="486"/>
      <c r="BH95" s="486"/>
      <c r="BI95" s="486"/>
      <c r="BJ95" s="486"/>
      <c r="BK95" s="486"/>
      <c r="BL95" s="486"/>
      <c r="BM95" s="486"/>
      <c r="BN95" s="487"/>
      <c r="BO95" s="273"/>
      <c r="BP95" s="274"/>
      <c r="BQ95" s="274"/>
      <c r="BR95" s="275"/>
      <c r="BS95" s="11"/>
      <c r="BT95" s="10"/>
      <c r="CB95" s="21"/>
      <c r="CC95" s="112"/>
      <c r="CD95" s="112"/>
      <c r="CE95" s="112"/>
      <c r="CF95" s="112"/>
      <c r="CG95" s="112"/>
      <c r="CH95" s="112"/>
      <c r="CI95" s="112"/>
      <c r="CJ95" s="112"/>
      <c r="CK95" s="112"/>
      <c r="CL95" s="112"/>
      <c r="CM95" s="112"/>
      <c r="CN95" s="112"/>
      <c r="CO95" s="112"/>
      <c r="CP95" s="112"/>
      <c r="CQ95" s="11"/>
      <c r="CR95" s="11"/>
      <c r="CS95" s="11"/>
      <c r="CT95" s="12"/>
      <c r="CU95" s="12"/>
      <c r="CV95" s="12"/>
      <c r="CW95" s="12"/>
      <c r="CX95" s="12"/>
      <c r="CY95" s="12"/>
      <c r="CZ95" s="12"/>
      <c r="DA95" s="11"/>
      <c r="DB95" s="12"/>
      <c r="DC95" s="12"/>
      <c r="DD95" s="12"/>
      <c r="DE95" s="12"/>
      <c r="DF95" s="12"/>
      <c r="DG95" s="12"/>
      <c r="DH95" s="12"/>
      <c r="DI95" s="12"/>
      <c r="DJ95" s="12"/>
      <c r="DK95" s="12"/>
      <c r="DL95" s="12"/>
      <c r="DM95" s="12"/>
      <c r="DN95" s="12"/>
      <c r="DO95" s="12"/>
      <c r="DP95" s="12"/>
      <c r="DQ95" s="12"/>
      <c r="DR95" s="12"/>
      <c r="DS95" s="12"/>
      <c r="DT95" s="12"/>
      <c r="DU95" s="12"/>
      <c r="DV95" s="11"/>
      <c r="DW95" s="11"/>
      <c r="DX95" s="11"/>
      <c r="DY95" s="12"/>
      <c r="DZ95" s="12"/>
      <c r="EA95" s="12"/>
      <c r="EB95" s="12"/>
      <c r="EC95" s="12"/>
      <c r="ED95" s="12"/>
      <c r="EE95" s="12"/>
      <c r="EF95" s="12"/>
      <c r="EG95" s="111"/>
      <c r="EH95" s="111"/>
      <c r="EI95" s="111"/>
      <c r="EJ95" s="111"/>
      <c r="EK95" s="111"/>
      <c r="EL95" s="111"/>
      <c r="EM95" s="111"/>
      <c r="EN95" s="111"/>
      <c r="EO95" s="111"/>
      <c r="EP95" s="11"/>
      <c r="EQ95" s="11"/>
      <c r="ER95" s="11"/>
      <c r="ES95" s="10"/>
    </row>
    <row r="96" spans="3:149" ht="20.5" customHeight="1">
      <c r="C96" s="21"/>
      <c r="D96" s="418" t="s">
        <v>131</v>
      </c>
      <c r="E96" s="418"/>
      <c r="F96" s="418"/>
      <c r="G96" s="418"/>
      <c r="H96" s="418"/>
      <c r="I96" s="418"/>
      <c r="J96" s="418"/>
      <c r="K96" s="418"/>
      <c r="L96" s="439" t="str">
        <f>VLOOKUP($D$11,調査票①!$A$9:$HJ$30,139,FALSE)&amp;""</f>
        <v>12</v>
      </c>
      <c r="M96" s="439"/>
      <c r="N96" s="439"/>
      <c r="O96" s="439" t="str">
        <f>VLOOKUP($D$11,調査票①!$A$9:$HJ$30,140,FALSE)&amp;""</f>
        <v>0</v>
      </c>
      <c r="P96" s="439"/>
      <c r="Q96" s="439"/>
      <c r="R96" s="440">
        <f>VLOOKUP($D$11,調査票①!$A$9:$HJ$30,141,FALSE)</f>
        <v>0</v>
      </c>
      <c r="S96" s="440"/>
      <c r="T96" s="440"/>
      <c r="U96" s="470" t="str">
        <f>VLOOKUP($D$11,調査票①!$A$9:$HJ$30,142,FALSE)&amp;""</f>
        <v>高い公共性、中立性を維持しながら継続的、安定的に運営する必要があるため</v>
      </c>
      <c r="V96" s="471"/>
      <c r="W96" s="471"/>
      <c r="X96" s="471"/>
      <c r="Y96" s="471"/>
      <c r="Z96" s="471"/>
      <c r="AA96" s="471"/>
      <c r="AB96" s="471"/>
      <c r="AC96" s="471"/>
      <c r="AD96" s="471"/>
      <c r="AE96" s="471"/>
      <c r="AF96" s="471"/>
      <c r="AG96" s="471"/>
      <c r="AH96" s="471"/>
      <c r="AI96" s="472"/>
      <c r="AJ96" s="418" t="str">
        <f>VLOOKUP($D$11,調査票①!$A$9:$HJ$30,143,FALSE)&amp;""</f>
        <v>12</v>
      </c>
      <c r="AK96" s="418"/>
      <c r="AL96" s="418"/>
      <c r="AM96" s="441" t="str">
        <f>VLOOKUP($D$11,調査票①!$A$9:$HJ$30,144,FALSE)&amp;""</f>
        <v>高い公共性、中立性を維持しながら継続的、安定的に運営する必要があるため</v>
      </c>
      <c r="AN96" s="483"/>
      <c r="AO96" s="483"/>
      <c r="AP96" s="483"/>
      <c r="AQ96" s="483"/>
      <c r="AR96" s="483"/>
      <c r="AS96" s="483"/>
      <c r="AT96" s="483"/>
      <c r="AU96" s="483"/>
      <c r="AV96" s="483"/>
      <c r="AW96" s="483"/>
      <c r="AX96" s="483"/>
      <c r="AY96" s="483"/>
      <c r="AZ96" s="483"/>
      <c r="BA96" s="483"/>
      <c r="BB96" s="483"/>
      <c r="BC96" s="483"/>
      <c r="BD96" s="483"/>
      <c r="BE96" s="483"/>
      <c r="BF96" s="483"/>
      <c r="BG96" s="483"/>
      <c r="BH96" s="483"/>
      <c r="BI96" s="483"/>
      <c r="BJ96" s="483"/>
      <c r="BK96" s="483"/>
      <c r="BL96" s="483"/>
      <c r="BM96" s="483"/>
      <c r="BN96" s="484"/>
      <c r="BO96" s="270">
        <f>調査票①!EK29</f>
        <v>0.2446043165467626</v>
      </c>
      <c r="BP96" s="271"/>
      <c r="BQ96" s="271"/>
      <c r="BR96" s="272"/>
      <c r="BS96" s="11"/>
      <c r="BT96" s="10"/>
      <c r="CB96" s="21"/>
      <c r="CC96" s="112"/>
      <c r="CD96" s="112"/>
      <c r="CE96" s="112"/>
      <c r="CF96" s="112"/>
      <c r="CG96" s="112"/>
      <c r="CH96" s="112"/>
      <c r="CI96" s="112"/>
      <c r="CJ96" s="112"/>
      <c r="CK96" s="112"/>
      <c r="CL96" s="112"/>
      <c r="CM96" s="112"/>
      <c r="CN96" s="112"/>
      <c r="CO96" s="112"/>
      <c r="CP96" s="112"/>
      <c r="CQ96" s="11"/>
      <c r="CR96" s="11"/>
      <c r="CS96" s="11"/>
      <c r="CT96" s="11"/>
      <c r="CU96" s="11"/>
      <c r="CV96" s="11"/>
      <c r="CW96" s="11"/>
      <c r="CX96" s="11"/>
      <c r="CY96" s="11"/>
      <c r="CZ96" s="11"/>
      <c r="DA96" s="11"/>
      <c r="DB96" s="11"/>
      <c r="DC96" s="11"/>
      <c r="DD96" s="11"/>
      <c r="DE96" s="11"/>
      <c r="DF96" s="11"/>
      <c r="DG96" s="11"/>
      <c r="DH96" s="11"/>
      <c r="DI96" s="11"/>
      <c r="DJ96" s="11"/>
      <c r="DK96" s="11"/>
      <c r="DL96" s="11"/>
      <c r="DM96" s="11"/>
      <c r="DN96" s="11"/>
      <c r="DO96" s="11"/>
      <c r="DP96" s="11"/>
      <c r="DQ96" s="11"/>
      <c r="DR96" s="11"/>
      <c r="DS96" s="11"/>
      <c r="DT96" s="11"/>
      <c r="DU96" s="11"/>
      <c r="DV96" s="11"/>
      <c r="DW96" s="11"/>
      <c r="DX96" s="11"/>
      <c r="DY96" s="11"/>
      <c r="DZ96" s="11"/>
      <c r="EA96" s="11"/>
      <c r="EB96" s="11"/>
      <c r="EC96" s="11"/>
      <c r="ED96" s="11"/>
      <c r="EE96" s="11"/>
      <c r="EF96" s="11"/>
      <c r="EG96" s="11"/>
      <c r="EH96" s="11"/>
      <c r="EI96" s="11"/>
      <c r="EJ96" s="11"/>
      <c r="EK96" s="11"/>
      <c r="EL96" s="11"/>
      <c r="EM96" s="11"/>
      <c r="EN96" s="11"/>
      <c r="EO96" s="11"/>
      <c r="EP96" s="11"/>
      <c r="EQ96" s="11"/>
      <c r="ER96" s="11"/>
      <c r="ES96" s="10"/>
    </row>
    <row r="97" spans="3:149" ht="20.5" customHeight="1">
      <c r="C97" s="21"/>
      <c r="D97" s="418"/>
      <c r="E97" s="418"/>
      <c r="F97" s="418"/>
      <c r="G97" s="418"/>
      <c r="H97" s="418"/>
      <c r="I97" s="418"/>
      <c r="J97" s="418"/>
      <c r="K97" s="418"/>
      <c r="L97" s="439"/>
      <c r="M97" s="439"/>
      <c r="N97" s="439"/>
      <c r="O97" s="439"/>
      <c r="P97" s="439"/>
      <c r="Q97" s="439"/>
      <c r="R97" s="440"/>
      <c r="S97" s="440"/>
      <c r="T97" s="440"/>
      <c r="U97" s="473"/>
      <c r="V97" s="474"/>
      <c r="W97" s="474"/>
      <c r="X97" s="474"/>
      <c r="Y97" s="474"/>
      <c r="Z97" s="474"/>
      <c r="AA97" s="474"/>
      <c r="AB97" s="474"/>
      <c r="AC97" s="474"/>
      <c r="AD97" s="474"/>
      <c r="AE97" s="474"/>
      <c r="AF97" s="474"/>
      <c r="AG97" s="474"/>
      <c r="AH97" s="474"/>
      <c r="AI97" s="475"/>
      <c r="AJ97" s="418"/>
      <c r="AK97" s="418"/>
      <c r="AL97" s="418"/>
      <c r="AM97" s="485"/>
      <c r="AN97" s="486"/>
      <c r="AO97" s="486"/>
      <c r="AP97" s="486"/>
      <c r="AQ97" s="486"/>
      <c r="AR97" s="486"/>
      <c r="AS97" s="486"/>
      <c r="AT97" s="486"/>
      <c r="AU97" s="486"/>
      <c r="AV97" s="486"/>
      <c r="AW97" s="486"/>
      <c r="AX97" s="486"/>
      <c r="AY97" s="486"/>
      <c r="AZ97" s="486"/>
      <c r="BA97" s="486"/>
      <c r="BB97" s="486"/>
      <c r="BC97" s="486"/>
      <c r="BD97" s="486"/>
      <c r="BE97" s="486"/>
      <c r="BF97" s="486"/>
      <c r="BG97" s="486"/>
      <c r="BH97" s="486"/>
      <c r="BI97" s="486"/>
      <c r="BJ97" s="486"/>
      <c r="BK97" s="486"/>
      <c r="BL97" s="486"/>
      <c r="BM97" s="486"/>
      <c r="BN97" s="487"/>
      <c r="BO97" s="273"/>
      <c r="BP97" s="274"/>
      <c r="BQ97" s="274"/>
      <c r="BR97" s="275"/>
      <c r="BS97" s="11"/>
      <c r="BT97" s="10"/>
      <c r="CB97" s="20"/>
      <c r="CC97" s="6"/>
      <c r="CD97" s="6"/>
      <c r="CE97" s="6"/>
      <c r="CF97" s="6"/>
      <c r="CG97" s="6"/>
      <c r="CH97" s="6"/>
      <c r="CI97" s="6"/>
      <c r="CJ97" s="6"/>
      <c r="CK97" s="6"/>
      <c r="CL97" s="6"/>
      <c r="CM97" s="6"/>
      <c r="CN97" s="6"/>
      <c r="CO97" s="6"/>
      <c r="CP97" s="6"/>
      <c r="CQ97" s="6"/>
      <c r="CR97" s="6"/>
      <c r="CS97" s="6"/>
      <c r="CT97" s="6"/>
      <c r="CU97" s="6"/>
      <c r="CV97" s="6"/>
      <c r="CW97" s="6"/>
      <c r="CX97" s="6"/>
      <c r="CY97" s="6"/>
      <c r="CZ97" s="6"/>
      <c r="DA97" s="6"/>
      <c r="DB97" s="6"/>
      <c r="DC97" s="6"/>
      <c r="DD97" s="6"/>
      <c r="DE97" s="6"/>
      <c r="DF97" s="6"/>
      <c r="DG97" s="6"/>
      <c r="DH97" s="6"/>
      <c r="DI97" s="6"/>
      <c r="DJ97" s="6"/>
      <c r="DK97" s="6"/>
      <c r="DL97" s="6"/>
      <c r="DM97" s="6"/>
      <c r="DN97" s="6"/>
      <c r="DO97" s="6"/>
      <c r="DP97" s="6"/>
      <c r="DQ97" s="6"/>
      <c r="DR97" s="6"/>
      <c r="DS97" s="6"/>
      <c r="DT97" s="6"/>
      <c r="DU97" s="6"/>
      <c r="DV97" s="6"/>
      <c r="DW97" s="6"/>
      <c r="DX97" s="6"/>
      <c r="DY97" s="6"/>
      <c r="DZ97" s="6"/>
      <c r="EA97" s="6"/>
      <c r="EB97" s="6"/>
      <c r="EC97" s="6"/>
      <c r="ED97" s="6"/>
      <c r="EE97" s="6"/>
      <c r="EF97" s="6"/>
      <c r="EG97" s="6"/>
      <c r="EH97" s="6"/>
      <c r="EI97" s="6"/>
      <c r="EJ97" s="6"/>
      <c r="EK97" s="6"/>
      <c r="EL97" s="6"/>
      <c r="EM97" s="6"/>
      <c r="EN97" s="6"/>
      <c r="EO97" s="6"/>
      <c r="EP97" s="6"/>
      <c r="EQ97" s="6"/>
      <c r="ER97" s="6"/>
      <c r="ES97" s="5"/>
    </row>
    <row r="98" spans="3:149" ht="20.5" customHeight="1">
      <c r="C98" s="21"/>
      <c r="D98" s="469" t="s">
        <v>49</v>
      </c>
      <c r="E98" s="418"/>
      <c r="F98" s="418"/>
      <c r="G98" s="418"/>
      <c r="H98" s="418"/>
      <c r="I98" s="418"/>
      <c r="J98" s="418"/>
      <c r="K98" s="418"/>
      <c r="L98" s="439" t="str">
        <f>VLOOKUP($D$11,調査票①!$A$9:$HJ$30,145,FALSE)&amp;""</f>
        <v>13</v>
      </c>
      <c r="M98" s="439"/>
      <c r="N98" s="439"/>
      <c r="O98" s="439" t="str">
        <f>VLOOKUP($D$11,調査票①!$A$9:$HJ$30,146,FALSE)&amp;""</f>
        <v>7</v>
      </c>
      <c r="P98" s="439"/>
      <c r="Q98" s="439"/>
      <c r="R98" s="440">
        <f>VLOOKUP($D$11,調査票①!$A$9:$HJ$30,147,FALSE)</f>
        <v>0.53846153846153844</v>
      </c>
      <c r="S98" s="440"/>
      <c r="T98" s="440"/>
      <c r="U98" s="447" t="str">
        <f>VLOOKUP($D$11,調査票①!$A$9:$HJ$30,148,FALSE)&amp;""</f>
        <v>・市の施策として行政が積極的に施設の設置目的を果たしていく必要があるため
・施設内の業務における専門性を確保し、課題に対し即時に対応できるような体制を整える必要があるため</v>
      </c>
      <c r="V98" s="478"/>
      <c r="W98" s="478"/>
      <c r="X98" s="478"/>
      <c r="Y98" s="478"/>
      <c r="Z98" s="478"/>
      <c r="AA98" s="478"/>
      <c r="AB98" s="478"/>
      <c r="AC98" s="478"/>
      <c r="AD98" s="478"/>
      <c r="AE98" s="478"/>
      <c r="AF98" s="478"/>
      <c r="AG98" s="478"/>
      <c r="AH98" s="478"/>
      <c r="AI98" s="479"/>
      <c r="AJ98" s="418" t="str">
        <f>VLOOKUP($D$11,調査票①!$A$9:$HJ$30,149,FALSE)&amp;""</f>
        <v>4</v>
      </c>
      <c r="AK98" s="418"/>
      <c r="AL98" s="418"/>
      <c r="AM98" s="470" t="str">
        <f>VLOOKUP($D$11,調査票①!$A$9:$HJ$30,150,FALSE)&amp;""</f>
        <v>・市の施策として行政が積極的に施設の設置目的を果たしていく必要があるため
・施設内の業務における専門性を確保し、課題に対し即時に対応できるような体制を整える必要があるため</v>
      </c>
      <c r="AN98" s="489"/>
      <c r="AO98" s="489"/>
      <c r="AP98" s="489"/>
      <c r="AQ98" s="489"/>
      <c r="AR98" s="489"/>
      <c r="AS98" s="489"/>
      <c r="AT98" s="489"/>
      <c r="AU98" s="489"/>
      <c r="AV98" s="489"/>
      <c r="AW98" s="489"/>
      <c r="AX98" s="489"/>
      <c r="AY98" s="489"/>
      <c r="AZ98" s="489"/>
      <c r="BA98" s="489"/>
      <c r="BB98" s="489"/>
      <c r="BC98" s="489"/>
      <c r="BD98" s="489"/>
      <c r="BE98" s="489"/>
      <c r="BF98" s="489"/>
      <c r="BG98" s="489"/>
      <c r="BH98" s="489"/>
      <c r="BI98" s="489"/>
      <c r="BJ98" s="489"/>
      <c r="BK98" s="489"/>
      <c r="BL98" s="489"/>
      <c r="BM98" s="489"/>
      <c r="BN98" s="490"/>
      <c r="BO98" s="270">
        <f>調査票①!EQ29</f>
        <v>0.46759259259259262</v>
      </c>
      <c r="BP98" s="271"/>
      <c r="BQ98" s="271"/>
      <c r="BR98" s="272"/>
      <c r="BS98" s="11"/>
      <c r="BT98" s="10"/>
      <c r="CB98" s="7"/>
      <c r="CC98" s="113"/>
      <c r="CD98" s="113"/>
      <c r="CE98" s="113"/>
      <c r="CF98" s="113"/>
      <c r="CG98" s="113"/>
      <c r="CH98" s="113"/>
      <c r="CI98" s="113"/>
      <c r="CJ98" s="113"/>
      <c r="CK98" s="113"/>
      <c r="CL98" s="113"/>
      <c r="CM98" s="113"/>
      <c r="CN98" s="113"/>
      <c r="CO98" s="113"/>
      <c r="CP98" s="113"/>
      <c r="CQ98" s="7"/>
      <c r="CR98" s="7"/>
      <c r="CS98" s="7"/>
      <c r="CT98" s="7"/>
      <c r="CU98" s="7"/>
      <c r="CV98" s="7"/>
      <c r="CW98" s="7"/>
      <c r="CX98" s="7"/>
      <c r="CY98" s="7"/>
      <c r="CZ98" s="7"/>
      <c r="DA98" s="7"/>
      <c r="DB98" s="7"/>
      <c r="DC98" s="7"/>
      <c r="DD98" s="7"/>
      <c r="DE98" s="7"/>
      <c r="DF98" s="7"/>
      <c r="DG98" s="7"/>
      <c r="DH98" s="7"/>
      <c r="DI98" s="7"/>
      <c r="DJ98" s="7"/>
      <c r="DK98" s="7"/>
      <c r="DL98" s="7"/>
      <c r="DM98" s="7"/>
      <c r="DN98" s="7"/>
      <c r="DO98" s="7"/>
      <c r="DP98" s="7"/>
      <c r="DQ98" s="7"/>
      <c r="DR98" s="7"/>
      <c r="DS98" s="7"/>
      <c r="DT98" s="7"/>
      <c r="DU98" s="7"/>
      <c r="DV98" s="7"/>
      <c r="DW98" s="7"/>
      <c r="DX98" s="7"/>
      <c r="DY98" s="7"/>
      <c r="DZ98" s="7"/>
      <c r="EA98" s="7"/>
      <c r="EB98" s="7"/>
      <c r="EC98" s="7"/>
      <c r="ED98" s="7"/>
      <c r="EE98" s="7"/>
      <c r="EF98" s="7"/>
      <c r="EG98" s="7"/>
      <c r="EH98" s="7"/>
      <c r="EI98" s="7"/>
      <c r="EJ98" s="7"/>
      <c r="EK98" s="7"/>
      <c r="EL98" s="7"/>
      <c r="EM98" s="7"/>
      <c r="EN98" s="7"/>
      <c r="EO98" s="7"/>
      <c r="EP98" s="7"/>
      <c r="EQ98" s="7"/>
      <c r="ER98" s="7"/>
      <c r="ES98" s="7"/>
    </row>
    <row r="99" spans="3:149" ht="20.5" customHeight="1">
      <c r="C99" s="21"/>
      <c r="D99" s="418"/>
      <c r="E99" s="418"/>
      <c r="F99" s="418"/>
      <c r="G99" s="418"/>
      <c r="H99" s="418"/>
      <c r="I99" s="418"/>
      <c r="J99" s="418"/>
      <c r="K99" s="418"/>
      <c r="L99" s="439"/>
      <c r="M99" s="439"/>
      <c r="N99" s="439"/>
      <c r="O99" s="439"/>
      <c r="P99" s="439"/>
      <c r="Q99" s="439"/>
      <c r="R99" s="440"/>
      <c r="S99" s="440"/>
      <c r="T99" s="440"/>
      <c r="U99" s="480"/>
      <c r="V99" s="481"/>
      <c r="W99" s="481"/>
      <c r="X99" s="481"/>
      <c r="Y99" s="481"/>
      <c r="Z99" s="481"/>
      <c r="AA99" s="481"/>
      <c r="AB99" s="481"/>
      <c r="AC99" s="481"/>
      <c r="AD99" s="481"/>
      <c r="AE99" s="481"/>
      <c r="AF99" s="481"/>
      <c r="AG99" s="481"/>
      <c r="AH99" s="481"/>
      <c r="AI99" s="482"/>
      <c r="AJ99" s="418"/>
      <c r="AK99" s="418"/>
      <c r="AL99" s="418"/>
      <c r="AM99" s="491"/>
      <c r="AN99" s="492"/>
      <c r="AO99" s="492"/>
      <c r="AP99" s="492"/>
      <c r="AQ99" s="492"/>
      <c r="AR99" s="492"/>
      <c r="AS99" s="492"/>
      <c r="AT99" s="492"/>
      <c r="AU99" s="492"/>
      <c r="AV99" s="492"/>
      <c r="AW99" s="492"/>
      <c r="AX99" s="492"/>
      <c r="AY99" s="492"/>
      <c r="AZ99" s="492"/>
      <c r="BA99" s="492"/>
      <c r="BB99" s="492"/>
      <c r="BC99" s="492"/>
      <c r="BD99" s="492"/>
      <c r="BE99" s="492"/>
      <c r="BF99" s="492"/>
      <c r="BG99" s="492"/>
      <c r="BH99" s="492"/>
      <c r="BI99" s="492"/>
      <c r="BJ99" s="492"/>
      <c r="BK99" s="492"/>
      <c r="BL99" s="492"/>
      <c r="BM99" s="492"/>
      <c r="BN99" s="493"/>
      <c r="BO99" s="273"/>
      <c r="BP99" s="274"/>
      <c r="BQ99" s="274"/>
      <c r="BR99" s="275"/>
      <c r="BS99" s="11"/>
      <c r="BT99" s="10"/>
      <c r="CB99" s="7"/>
      <c r="CC99" s="113"/>
      <c r="CD99" s="113"/>
      <c r="CE99" s="113"/>
      <c r="CF99" s="113"/>
      <c r="CG99" s="113"/>
      <c r="CH99" s="113"/>
      <c r="CI99" s="113"/>
      <c r="CJ99" s="113"/>
      <c r="CK99" s="113"/>
      <c r="CL99" s="113"/>
      <c r="CM99" s="113"/>
      <c r="CN99" s="113"/>
      <c r="CO99" s="113"/>
      <c r="CP99" s="113"/>
      <c r="CQ99" s="7"/>
      <c r="CR99" s="7"/>
      <c r="CS99" s="7"/>
      <c r="CT99" s="7"/>
      <c r="CU99" s="7"/>
      <c r="CV99" s="7"/>
      <c r="CW99" s="7"/>
      <c r="CX99" s="7"/>
      <c r="CY99" s="7"/>
      <c r="CZ99" s="7"/>
      <c r="DA99" s="7"/>
      <c r="DB99" s="7"/>
      <c r="DC99" s="7"/>
      <c r="DD99" s="7"/>
      <c r="DE99" s="7"/>
      <c r="DF99" s="7"/>
      <c r="DG99" s="7"/>
      <c r="DH99" s="7"/>
      <c r="DI99" s="7"/>
      <c r="DJ99" s="7"/>
      <c r="DK99" s="7"/>
      <c r="DL99" s="7"/>
      <c r="DM99" s="7"/>
      <c r="DN99" s="7"/>
      <c r="DO99" s="7"/>
      <c r="DP99" s="7"/>
      <c r="DQ99" s="7"/>
      <c r="DR99" s="7"/>
      <c r="DS99" s="7"/>
      <c r="DT99" s="7"/>
      <c r="DU99" s="7"/>
      <c r="DV99" s="7"/>
      <c r="DW99" s="7"/>
      <c r="DX99" s="7"/>
      <c r="DY99" s="7"/>
      <c r="DZ99" s="7"/>
      <c r="EA99" s="7"/>
      <c r="EB99" s="7"/>
      <c r="EC99" s="7"/>
      <c r="ED99" s="7"/>
      <c r="EE99" s="7"/>
      <c r="EF99" s="7"/>
      <c r="EG99" s="7"/>
      <c r="EH99" s="7"/>
      <c r="EI99" s="7"/>
      <c r="EJ99" s="7"/>
      <c r="EK99" s="7"/>
      <c r="EL99" s="7"/>
      <c r="EM99" s="7"/>
      <c r="EN99" s="7"/>
      <c r="EO99" s="7"/>
      <c r="EP99" s="7"/>
      <c r="EQ99" s="7"/>
      <c r="ER99" s="7"/>
      <c r="ES99" s="7"/>
    </row>
    <row r="100" spans="3:149" ht="20.5" customHeight="1">
      <c r="C100" s="21"/>
      <c r="D100" s="418" t="s">
        <v>134</v>
      </c>
      <c r="E100" s="418"/>
      <c r="F100" s="418"/>
      <c r="G100" s="418"/>
      <c r="H100" s="418"/>
      <c r="I100" s="418"/>
      <c r="J100" s="418"/>
      <c r="K100" s="418"/>
      <c r="L100" s="439" t="str">
        <f>VLOOKUP($D$11,調査票①!$A$9:$HJ$30,151,FALSE)&amp;""</f>
        <v>37</v>
      </c>
      <c r="M100" s="439"/>
      <c r="N100" s="439"/>
      <c r="O100" s="439" t="str">
        <f>VLOOKUP($D$11,調査票①!$A$9:$HJ$30,152,FALSE)&amp;""</f>
        <v>37</v>
      </c>
      <c r="P100" s="439"/>
      <c r="Q100" s="439"/>
      <c r="R100" s="440">
        <f>VLOOKUP($D$11,調査票①!$A$9:$HJ$30,153,FALSE)</f>
        <v>1</v>
      </c>
      <c r="S100" s="440"/>
      <c r="T100" s="440"/>
      <c r="U100" s="441" t="str">
        <f>VLOOKUP($D$11,調査票①!$A$9:$HJ$30,154,FALSE)&amp;""</f>
        <v>　</v>
      </c>
      <c r="V100" s="442"/>
      <c r="W100" s="442"/>
      <c r="X100" s="442"/>
      <c r="Y100" s="442"/>
      <c r="Z100" s="442"/>
      <c r="AA100" s="442"/>
      <c r="AB100" s="442"/>
      <c r="AC100" s="442"/>
      <c r="AD100" s="442"/>
      <c r="AE100" s="442"/>
      <c r="AF100" s="442"/>
      <c r="AG100" s="442"/>
      <c r="AH100" s="442"/>
      <c r="AI100" s="443"/>
      <c r="AJ100" s="488" t="str">
        <f>VLOOKUP($D$11,調査票①!$A$9:$HJ$30,155,FALSE)&amp;""</f>
        <v>0</v>
      </c>
      <c r="AK100" s="488"/>
      <c r="AL100" s="488"/>
      <c r="AM100" s="447" t="str">
        <f>VLOOKUP($D$11,調査票①!$A$9:$HJ$30,156,FALSE)&amp;""</f>
        <v>　</v>
      </c>
      <c r="AN100" s="448"/>
      <c r="AO100" s="448"/>
      <c r="AP100" s="448"/>
      <c r="AQ100" s="448"/>
      <c r="AR100" s="448"/>
      <c r="AS100" s="448"/>
      <c r="AT100" s="448"/>
      <c r="AU100" s="448"/>
      <c r="AV100" s="448"/>
      <c r="AW100" s="448"/>
      <c r="AX100" s="448"/>
      <c r="AY100" s="448"/>
      <c r="AZ100" s="448"/>
      <c r="BA100" s="448"/>
      <c r="BB100" s="448"/>
      <c r="BC100" s="448"/>
      <c r="BD100" s="448"/>
      <c r="BE100" s="448"/>
      <c r="BF100" s="448"/>
      <c r="BG100" s="448"/>
      <c r="BH100" s="448"/>
      <c r="BI100" s="448"/>
      <c r="BJ100" s="448"/>
      <c r="BK100" s="448"/>
      <c r="BL100" s="448"/>
      <c r="BM100" s="448"/>
      <c r="BN100" s="449"/>
      <c r="BO100" s="270">
        <f>調査票①!EW29</f>
        <v>0.54532677442023891</v>
      </c>
      <c r="BP100" s="271"/>
      <c r="BQ100" s="271"/>
      <c r="BR100" s="272"/>
      <c r="BS100" s="11"/>
      <c r="BT100" s="10"/>
      <c r="CB100" s="23"/>
      <c r="CC100" s="15"/>
      <c r="CD100" s="15"/>
      <c r="CE100" s="15"/>
      <c r="CF100" s="15"/>
      <c r="CG100" s="15"/>
      <c r="CH100" s="15"/>
      <c r="CI100" s="15"/>
      <c r="CJ100" s="15"/>
      <c r="CK100" s="15"/>
      <c r="CL100" s="15"/>
      <c r="CM100" s="15"/>
      <c r="CN100" s="15"/>
      <c r="CO100" s="15"/>
      <c r="CP100" s="15"/>
      <c r="CQ100" s="87" t="s">
        <v>468</v>
      </c>
      <c r="CR100" s="15"/>
      <c r="CS100" s="15"/>
      <c r="CT100" s="15"/>
      <c r="CU100" s="15"/>
      <c r="CV100" s="15"/>
      <c r="CW100" s="15"/>
      <c r="CX100" s="15"/>
      <c r="CY100" s="15"/>
      <c r="CZ100" s="15"/>
      <c r="DA100" s="14"/>
      <c r="DB100" s="14"/>
      <c r="DC100" s="14"/>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c r="EB100" s="14"/>
      <c r="EC100" s="14"/>
      <c r="ED100" s="14"/>
      <c r="EE100" s="14"/>
      <c r="EF100" s="14"/>
      <c r="EG100" s="14"/>
      <c r="EH100" s="14"/>
      <c r="EI100" s="14"/>
      <c r="EJ100" s="14"/>
      <c r="EK100" s="14"/>
      <c r="EL100" s="14"/>
      <c r="EM100" s="14"/>
      <c r="EN100" s="14"/>
      <c r="EO100" s="14"/>
      <c r="EP100" s="14"/>
      <c r="EQ100" s="14"/>
      <c r="ER100" s="14"/>
      <c r="ES100" s="13"/>
    </row>
    <row r="101" spans="3:149" ht="20.5" customHeight="1">
      <c r="C101" s="21"/>
      <c r="D101" s="418"/>
      <c r="E101" s="418"/>
      <c r="F101" s="418"/>
      <c r="G101" s="418"/>
      <c r="H101" s="418"/>
      <c r="I101" s="418"/>
      <c r="J101" s="418"/>
      <c r="K101" s="418"/>
      <c r="L101" s="439"/>
      <c r="M101" s="439"/>
      <c r="N101" s="439"/>
      <c r="O101" s="439"/>
      <c r="P101" s="439"/>
      <c r="Q101" s="439"/>
      <c r="R101" s="440"/>
      <c r="S101" s="440"/>
      <c r="T101" s="440"/>
      <c r="U101" s="444"/>
      <c r="V101" s="445"/>
      <c r="W101" s="445"/>
      <c r="X101" s="445"/>
      <c r="Y101" s="445"/>
      <c r="Z101" s="445"/>
      <c r="AA101" s="445"/>
      <c r="AB101" s="445"/>
      <c r="AC101" s="445"/>
      <c r="AD101" s="445"/>
      <c r="AE101" s="445"/>
      <c r="AF101" s="445"/>
      <c r="AG101" s="445"/>
      <c r="AH101" s="445"/>
      <c r="AI101" s="446"/>
      <c r="AJ101" s="488"/>
      <c r="AK101" s="488"/>
      <c r="AL101" s="488"/>
      <c r="AM101" s="450"/>
      <c r="AN101" s="451"/>
      <c r="AO101" s="451"/>
      <c r="AP101" s="451"/>
      <c r="AQ101" s="451"/>
      <c r="AR101" s="451"/>
      <c r="AS101" s="451"/>
      <c r="AT101" s="451"/>
      <c r="AU101" s="451"/>
      <c r="AV101" s="451"/>
      <c r="AW101" s="451"/>
      <c r="AX101" s="451"/>
      <c r="AY101" s="451"/>
      <c r="AZ101" s="451"/>
      <c r="BA101" s="451"/>
      <c r="BB101" s="451"/>
      <c r="BC101" s="451"/>
      <c r="BD101" s="451"/>
      <c r="BE101" s="451"/>
      <c r="BF101" s="451"/>
      <c r="BG101" s="451"/>
      <c r="BH101" s="451"/>
      <c r="BI101" s="451"/>
      <c r="BJ101" s="451"/>
      <c r="BK101" s="451"/>
      <c r="BL101" s="451"/>
      <c r="BM101" s="451"/>
      <c r="BN101" s="452"/>
      <c r="BO101" s="273"/>
      <c r="BP101" s="274"/>
      <c r="BQ101" s="274"/>
      <c r="BR101" s="275"/>
      <c r="BS101" s="11"/>
      <c r="BT101" s="10"/>
      <c r="CB101" s="21"/>
      <c r="CC101" s="11"/>
      <c r="CD101" s="11"/>
      <c r="CE101" s="11"/>
      <c r="CF101" s="11"/>
      <c r="CG101" s="11"/>
      <c r="CH101" s="11"/>
      <c r="CI101" s="11"/>
      <c r="CJ101" s="11"/>
      <c r="CK101" s="11"/>
      <c r="CL101" s="11"/>
      <c r="CM101" s="11"/>
      <c r="CN101" s="11"/>
      <c r="CO101" s="11"/>
      <c r="CP101" s="11"/>
      <c r="CQ101" s="11"/>
      <c r="CR101" s="11"/>
      <c r="CS101" s="11"/>
      <c r="CT101" s="11"/>
      <c r="CU101" s="11"/>
      <c r="CV101" s="11"/>
      <c r="CW101" s="11"/>
      <c r="CX101" s="11"/>
      <c r="CY101" s="11"/>
      <c r="CZ101" s="11"/>
      <c r="DA101" s="11"/>
      <c r="DB101" s="11"/>
      <c r="DC101" s="11"/>
      <c r="DD101" s="11"/>
      <c r="DE101" s="11"/>
      <c r="DF101" s="11"/>
      <c r="DG101" s="11"/>
      <c r="DH101" s="11"/>
      <c r="DI101" s="11"/>
      <c r="DJ101" s="11"/>
      <c r="DK101" s="11"/>
      <c r="DL101" s="11"/>
      <c r="DM101" s="11"/>
      <c r="DN101" s="11"/>
      <c r="DO101" s="11"/>
      <c r="DP101" s="11"/>
      <c r="DQ101" s="11"/>
      <c r="DR101" s="11"/>
      <c r="DS101" s="11"/>
      <c r="DT101" s="11"/>
      <c r="DU101" s="11"/>
      <c r="DV101" s="11"/>
      <c r="DW101" s="11"/>
      <c r="DX101" s="11"/>
      <c r="DY101" s="11"/>
      <c r="DZ101" s="11"/>
      <c r="EA101" s="11"/>
      <c r="EB101" s="11"/>
      <c r="EC101" s="11"/>
      <c r="ED101" s="11"/>
      <c r="EE101" s="11"/>
      <c r="EF101" s="11"/>
      <c r="EG101" s="11"/>
      <c r="EH101" s="11"/>
      <c r="EI101" s="11"/>
      <c r="EJ101" s="11"/>
      <c r="EK101" s="11"/>
      <c r="EL101" s="11"/>
      <c r="EM101" s="11"/>
      <c r="EN101" s="11"/>
      <c r="EO101" s="11"/>
      <c r="EP101" s="11"/>
      <c r="EQ101" s="11"/>
      <c r="ER101" s="11"/>
      <c r="ES101" s="10"/>
    </row>
    <row r="102" spans="3:149" ht="20.5" customHeight="1">
      <c r="C102" s="21"/>
      <c r="D102" s="418" t="s">
        <v>136</v>
      </c>
      <c r="E102" s="418"/>
      <c r="F102" s="418"/>
      <c r="G102" s="418"/>
      <c r="H102" s="418"/>
      <c r="I102" s="418"/>
      <c r="J102" s="418"/>
      <c r="K102" s="418"/>
      <c r="L102" s="439" t="str">
        <f>VLOOKUP($D$11,調査票①!$A$9:$HJ$30,157,FALSE)&amp;""</f>
        <v>7</v>
      </c>
      <c r="M102" s="439"/>
      <c r="N102" s="439"/>
      <c r="O102" s="439" t="str">
        <f>VLOOKUP($D$11,調査票①!$A$9:$HJ$30,158,FALSE)&amp;""</f>
        <v>7</v>
      </c>
      <c r="P102" s="439"/>
      <c r="Q102" s="439"/>
      <c r="R102" s="440">
        <f>VLOOKUP($D$11,調査票①!$A$9:$HJ$30,159,FALSE)</f>
        <v>1</v>
      </c>
      <c r="S102" s="440"/>
      <c r="T102" s="440"/>
      <c r="U102" s="441" t="str">
        <f>VLOOKUP($D$11,調査票①!$A$9:$HJ$30,160,FALSE)&amp;""</f>
        <v>　</v>
      </c>
      <c r="V102" s="442"/>
      <c r="W102" s="442"/>
      <c r="X102" s="442"/>
      <c r="Y102" s="442"/>
      <c r="Z102" s="442"/>
      <c r="AA102" s="442"/>
      <c r="AB102" s="442"/>
      <c r="AC102" s="442"/>
      <c r="AD102" s="442"/>
      <c r="AE102" s="442"/>
      <c r="AF102" s="442"/>
      <c r="AG102" s="442"/>
      <c r="AH102" s="442"/>
      <c r="AI102" s="443"/>
      <c r="AJ102" s="488" t="str">
        <f>VLOOKUP($D$11,調査票①!$A$9:$HJ$30,161,FALSE)&amp;""</f>
        <v>0</v>
      </c>
      <c r="AK102" s="488"/>
      <c r="AL102" s="488"/>
      <c r="AM102" s="447" t="str">
        <f>VLOOKUP($D$11,調査票①!$A$9:$HJ$30,162,FALSE)&amp;""</f>
        <v>　</v>
      </c>
      <c r="AN102" s="448"/>
      <c r="AO102" s="448"/>
      <c r="AP102" s="448"/>
      <c r="AQ102" s="448"/>
      <c r="AR102" s="448"/>
      <c r="AS102" s="448"/>
      <c r="AT102" s="448"/>
      <c r="AU102" s="448"/>
      <c r="AV102" s="448"/>
      <c r="AW102" s="448"/>
      <c r="AX102" s="448"/>
      <c r="AY102" s="448"/>
      <c r="AZ102" s="448"/>
      <c r="BA102" s="448"/>
      <c r="BB102" s="448"/>
      <c r="BC102" s="448"/>
      <c r="BD102" s="448"/>
      <c r="BE102" s="448"/>
      <c r="BF102" s="448"/>
      <c r="BG102" s="448"/>
      <c r="BH102" s="448"/>
      <c r="BI102" s="448"/>
      <c r="BJ102" s="448"/>
      <c r="BK102" s="448"/>
      <c r="BL102" s="448"/>
      <c r="BM102" s="448"/>
      <c r="BN102" s="449"/>
      <c r="BO102" s="270">
        <f>調査票①!FC29</f>
        <v>0.88124999999999998</v>
      </c>
      <c r="BP102" s="271"/>
      <c r="BQ102" s="271"/>
      <c r="BR102" s="272"/>
      <c r="BS102" s="11"/>
      <c r="BT102" s="10"/>
      <c r="CB102" s="21"/>
      <c r="CC102" s="92" t="s">
        <v>469</v>
      </c>
      <c r="CD102" s="39"/>
      <c r="CE102" s="39"/>
      <c r="CF102" s="39"/>
      <c r="CG102" s="39"/>
      <c r="CH102" s="39"/>
      <c r="CI102" s="39"/>
      <c r="CJ102" s="39"/>
      <c r="CK102" s="39"/>
      <c r="CL102" s="39"/>
      <c r="CM102" s="39"/>
      <c r="CN102" s="39"/>
      <c r="CO102" s="39"/>
      <c r="CP102" s="39"/>
      <c r="CQ102" s="39"/>
      <c r="CR102" s="39"/>
      <c r="CS102" s="39"/>
      <c r="CT102" s="39"/>
      <c r="CU102" s="39"/>
      <c r="CV102" s="39"/>
      <c r="CW102" s="39"/>
      <c r="CX102" s="39"/>
      <c r="CY102" s="39"/>
      <c r="CZ102" s="39"/>
      <c r="DA102" s="11"/>
      <c r="DB102" s="11"/>
      <c r="DC102" s="11"/>
      <c r="DD102" s="11"/>
      <c r="DE102" s="11"/>
      <c r="DF102" s="11"/>
      <c r="DG102" s="11"/>
      <c r="DH102" s="11"/>
      <c r="DI102" s="11"/>
      <c r="DJ102" s="11"/>
      <c r="DK102" s="11"/>
      <c r="DL102" s="11"/>
      <c r="DM102" s="11"/>
      <c r="DN102" s="11"/>
      <c r="DO102" s="11"/>
      <c r="DP102" s="11"/>
      <c r="DQ102" s="11"/>
      <c r="DR102" s="11"/>
      <c r="DS102" s="11"/>
      <c r="DT102" s="11"/>
      <c r="DU102" s="11"/>
      <c r="DV102" s="11"/>
      <c r="DW102" s="11"/>
      <c r="DX102" s="11"/>
      <c r="DY102" s="11"/>
      <c r="DZ102" s="11"/>
      <c r="EA102" s="11"/>
      <c r="EB102" s="11"/>
      <c r="EC102" s="11"/>
      <c r="ED102" s="11"/>
      <c r="EE102" s="11"/>
      <c r="EF102" s="11"/>
      <c r="EG102" s="11"/>
      <c r="EH102" s="11"/>
      <c r="EI102" s="11"/>
      <c r="EJ102" s="11"/>
      <c r="EK102" s="11"/>
      <c r="EL102" s="11"/>
      <c r="EM102" s="11"/>
      <c r="EN102" s="11"/>
      <c r="EO102" s="11"/>
      <c r="EP102" s="11"/>
      <c r="EQ102" s="11"/>
      <c r="ER102" s="11"/>
      <c r="ES102" s="10"/>
    </row>
    <row r="103" spans="3:149" ht="20.5" customHeight="1">
      <c r="C103" s="21"/>
      <c r="D103" s="418"/>
      <c r="E103" s="418"/>
      <c r="F103" s="418"/>
      <c r="G103" s="418"/>
      <c r="H103" s="418"/>
      <c r="I103" s="418"/>
      <c r="J103" s="418"/>
      <c r="K103" s="418"/>
      <c r="L103" s="439"/>
      <c r="M103" s="439"/>
      <c r="N103" s="439"/>
      <c r="O103" s="439"/>
      <c r="P103" s="439"/>
      <c r="Q103" s="439"/>
      <c r="R103" s="440"/>
      <c r="S103" s="440"/>
      <c r="T103" s="440"/>
      <c r="U103" s="444"/>
      <c r="V103" s="445"/>
      <c r="W103" s="445"/>
      <c r="X103" s="445"/>
      <c r="Y103" s="445"/>
      <c r="Z103" s="445"/>
      <c r="AA103" s="445"/>
      <c r="AB103" s="445"/>
      <c r="AC103" s="445"/>
      <c r="AD103" s="445"/>
      <c r="AE103" s="445"/>
      <c r="AF103" s="445"/>
      <c r="AG103" s="445"/>
      <c r="AH103" s="445"/>
      <c r="AI103" s="446"/>
      <c r="AJ103" s="488"/>
      <c r="AK103" s="488"/>
      <c r="AL103" s="488"/>
      <c r="AM103" s="450"/>
      <c r="AN103" s="451"/>
      <c r="AO103" s="451"/>
      <c r="AP103" s="451"/>
      <c r="AQ103" s="451"/>
      <c r="AR103" s="451"/>
      <c r="AS103" s="451"/>
      <c r="AT103" s="451"/>
      <c r="AU103" s="451"/>
      <c r="AV103" s="451"/>
      <c r="AW103" s="451"/>
      <c r="AX103" s="451"/>
      <c r="AY103" s="451"/>
      <c r="AZ103" s="451"/>
      <c r="BA103" s="451"/>
      <c r="BB103" s="451"/>
      <c r="BC103" s="451"/>
      <c r="BD103" s="451"/>
      <c r="BE103" s="451"/>
      <c r="BF103" s="451"/>
      <c r="BG103" s="451"/>
      <c r="BH103" s="451"/>
      <c r="BI103" s="451"/>
      <c r="BJ103" s="451"/>
      <c r="BK103" s="451"/>
      <c r="BL103" s="451"/>
      <c r="BM103" s="451"/>
      <c r="BN103" s="452"/>
      <c r="BO103" s="273"/>
      <c r="BP103" s="274"/>
      <c r="BQ103" s="274"/>
      <c r="BR103" s="275"/>
      <c r="BS103" s="11"/>
      <c r="BT103" s="10"/>
      <c r="CB103" s="21"/>
      <c r="CC103" s="497" t="s">
        <v>264</v>
      </c>
      <c r="CD103" s="497"/>
      <c r="CE103" s="497"/>
      <c r="CF103" s="497"/>
      <c r="CG103" s="497"/>
      <c r="CH103" s="497"/>
      <c r="CI103" s="497"/>
      <c r="CJ103" s="497"/>
      <c r="CK103" s="497"/>
      <c r="CL103" s="499" t="str">
        <f>VLOOKUP($D$11,調査票①!$A$9:$HJ$30,216,FALSE)&amp;""</f>
        <v>○</v>
      </c>
      <c r="CM103" s="499"/>
      <c r="CN103" s="499"/>
      <c r="CO103" s="499"/>
      <c r="CP103" s="499"/>
      <c r="CQ103" s="499"/>
      <c r="CR103" s="499"/>
      <c r="CS103" s="499"/>
      <c r="CT103" s="499"/>
      <c r="CU103" s="499"/>
      <c r="CV103" s="499"/>
      <c r="CW103" s="499"/>
      <c r="CX103" s="499"/>
      <c r="CY103" s="499"/>
      <c r="CZ103" s="499"/>
      <c r="DA103" s="11"/>
      <c r="DB103" s="499" t="s">
        <v>430</v>
      </c>
      <c r="DC103" s="499"/>
      <c r="DD103" s="499"/>
      <c r="DE103" s="499"/>
      <c r="DF103" s="499"/>
      <c r="DG103" s="499"/>
      <c r="DH103" s="499"/>
      <c r="DI103" s="499"/>
      <c r="DJ103" s="499"/>
      <c r="DK103" s="499"/>
      <c r="DL103" s="497" t="str">
        <f>VLOOKUP($D$11,調査票①!$A$9:$HJ$30,217,FALSE)&amp;""</f>
        <v>－</v>
      </c>
      <c r="DM103" s="497"/>
      <c r="DN103" s="497"/>
      <c r="DO103" s="497"/>
      <c r="DP103" s="497"/>
      <c r="DQ103" s="497"/>
      <c r="DR103" s="497"/>
      <c r="DS103" s="497"/>
      <c r="DT103" s="497"/>
      <c r="DU103" s="497"/>
      <c r="DV103" s="11"/>
      <c r="DW103" s="11"/>
      <c r="DX103" s="11"/>
      <c r="DY103" s="499" t="s">
        <v>431</v>
      </c>
      <c r="DZ103" s="499"/>
      <c r="EA103" s="499"/>
      <c r="EB103" s="499"/>
      <c r="EC103" s="499"/>
      <c r="ED103" s="499"/>
      <c r="EE103" s="499"/>
      <c r="EF103" s="499"/>
      <c r="EG103" s="499"/>
      <c r="EH103" s="499"/>
      <c r="EI103" s="497" t="str">
        <f>VLOOKUP($D$11,調査票①!$A$9:$HJ$30,218,FALSE)&amp;""</f>
        <v/>
      </c>
      <c r="EJ103" s="497"/>
      <c r="EK103" s="497"/>
      <c r="EL103" s="497"/>
      <c r="EM103" s="497"/>
      <c r="EN103" s="497"/>
      <c r="EO103" s="497"/>
      <c r="EP103" s="497"/>
      <c r="EQ103" s="11"/>
      <c r="ER103" s="11"/>
      <c r="ES103" s="10"/>
    </row>
    <row r="104" spans="3:149" ht="20.5" customHeight="1">
      <c r="C104" s="21"/>
      <c r="D104" s="476" t="s">
        <v>144</v>
      </c>
      <c r="E104" s="415"/>
      <c r="F104" s="415"/>
      <c r="G104" s="415"/>
      <c r="H104" s="415"/>
      <c r="I104" s="415"/>
      <c r="J104" s="415"/>
      <c r="K104" s="415"/>
      <c r="L104" s="439" t="str">
        <f>VLOOKUP($D$11,調査票①!$A$9:$HJ$30,163,FALSE)&amp;""</f>
        <v>1</v>
      </c>
      <c r="M104" s="439"/>
      <c r="N104" s="439"/>
      <c r="O104" s="439" t="str">
        <f>VLOOKUP($D$11,調査票①!$A$9:$HJ$30,164,FALSE)&amp;""</f>
        <v>1</v>
      </c>
      <c r="P104" s="439"/>
      <c r="Q104" s="439"/>
      <c r="R104" s="440">
        <f>VLOOKUP($D$11,調査票①!$A$9:$HJ$30,165,FALSE)</f>
        <v>1</v>
      </c>
      <c r="S104" s="440"/>
      <c r="T104" s="440"/>
      <c r="U104" s="441" t="str">
        <f>VLOOKUP($D$11,調査票①!$A$9:$HJ$30,166,FALSE)&amp;""</f>
        <v>　</v>
      </c>
      <c r="V104" s="442"/>
      <c r="W104" s="442"/>
      <c r="X104" s="442"/>
      <c r="Y104" s="442"/>
      <c r="Z104" s="442"/>
      <c r="AA104" s="442"/>
      <c r="AB104" s="442"/>
      <c r="AC104" s="442"/>
      <c r="AD104" s="442"/>
      <c r="AE104" s="442"/>
      <c r="AF104" s="442"/>
      <c r="AG104" s="442"/>
      <c r="AH104" s="442"/>
      <c r="AI104" s="443"/>
      <c r="AJ104" s="488" t="str">
        <f>VLOOKUP($D$11,調査票①!$A$9:$HJ$30,167,FALSE)&amp;""</f>
        <v>0</v>
      </c>
      <c r="AK104" s="488"/>
      <c r="AL104" s="488"/>
      <c r="AM104" s="447" t="str">
        <f>VLOOKUP($D$11,調査票①!$A$9:$HJ$30,168,FALSE)&amp;""</f>
        <v>　</v>
      </c>
      <c r="AN104" s="448"/>
      <c r="AO104" s="448"/>
      <c r="AP104" s="448"/>
      <c r="AQ104" s="448"/>
      <c r="AR104" s="448"/>
      <c r="AS104" s="448"/>
      <c r="AT104" s="448"/>
      <c r="AU104" s="448"/>
      <c r="AV104" s="448"/>
      <c r="AW104" s="448"/>
      <c r="AX104" s="448"/>
      <c r="AY104" s="448"/>
      <c r="AZ104" s="448"/>
      <c r="BA104" s="448"/>
      <c r="BB104" s="448"/>
      <c r="BC104" s="448"/>
      <c r="BD104" s="448"/>
      <c r="BE104" s="448"/>
      <c r="BF104" s="448"/>
      <c r="BG104" s="448"/>
      <c r="BH104" s="448"/>
      <c r="BI104" s="448"/>
      <c r="BJ104" s="448"/>
      <c r="BK104" s="448"/>
      <c r="BL104" s="448"/>
      <c r="BM104" s="448"/>
      <c r="BN104" s="449"/>
      <c r="BO104" s="270">
        <f>調査票①!FI29</f>
        <v>0.65671641791044777</v>
      </c>
      <c r="BP104" s="271"/>
      <c r="BQ104" s="271"/>
      <c r="BR104" s="272"/>
      <c r="BS104" s="11"/>
      <c r="BT104" s="10"/>
      <c r="BX104" s="16"/>
      <c r="BY104" s="16"/>
      <c r="BZ104" s="16"/>
      <c r="CA104" s="16"/>
      <c r="CB104" s="21"/>
      <c r="CC104" s="497"/>
      <c r="CD104" s="497"/>
      <c r="CE104" s="497"/>
      <c r="CF104" s="497"/>
      <c r="CG104" s="497"/>
      <c r="CH104" s="497"/>
      <c r="CI104" s="497"/>
      <c r="CJ104" s="497"/>
      <c r="CK104" s="497"/>
      <c r="CL104" s="499"/>
      <c r="CM104" s="499"/>
      <c r="CN104" s="499"/>
      <c r="CO104" s="499"/>
      <c r="CP104" s="499"/>
      <c r="CQ104" s="499"/>
      <c r="CR104" s="499"/>
      <c r="CS104" s="499"/>
      <c r="CT104" s="499"/>
      <c r="CU104" s="499"/>
      <c r="CV104" s="499"/>
      <c r="CW104" s="499"/>
      <c r="CX104" s="499"/>
      <c r="CY104" s="499"/>
      <c r="CZ104" s="499"/>
      <c r="DA104" s="11"/>
      <c r="DB104" s="499"/>
      <c r="DC104" s="499"/>
      <c r="DD104" s="499"/>
      <c r="DE104" s="499"/>
      <c r="DF104" s="499"/>
      <c r="DG104" s="499"/>
      <c r="DH104" s="499"/>
      <c r="DI104" s="499"/>
      <c r="DJ104" s="499"/>
      <c r="DK104" s="499"/>
      <c r="DL104" s="497"/>
      <c r="DM104" s="497"/>
      <c r="DN104" s="497"/>
      <c r="DO104" s="497"/>
      <c r="DP104" s="497"/>
      <c r="DQ104" s="497"/>
      <c r="DR104" s="497"/>
      <c r="DS104" s="497"/>
      <c r="DT104" s="497"/>
      <c r="DU104" s="497"/>
      <c r="DV104" s="11"/>
      <c r="DW104" s="11"/>
      <c r="DX104" s="11"/>
      <c r="DY104" s="499"/>
      <c r="DZ104" s="499"/>
      <c r="EA104" s="499"/>
      <c r="EB104" s="499"/>
      <c r="EC104" s="499"/>
      <c r="ED104" s="499"/>
      <c r="EE104" s="499"/>
      <c r="EF104" s="499"/>
      <c r="EG104" s="499"/>
      <c r="EH104" s="499"/>
      <c r="EI104" s="497"/>
      <c r="EJ104" s="497"/>
      <c r="EK104" s="497"/>
      <c r="EL104" s="497"/>
      <c r="EM104" s="497"/>
      <c r="EN104" s="497"/>
      <c r="EO104" s="497"/>
      <c r="EP104" s="497"/>
      <c r="EQ104" s="11"/>
      <c r="ER104" s="11"/>
      <c r="ES104" s="10"/>
    </row>
    <row r="105" spans="3:149" ht="20.5" customHeight="1">
      <c r="C105" s="21"/>
      <c r="D105" s="415"/>
      <c r="E105" s="415"/>
      <c r="F105" s="415"/>
      <c r="G105" s="415"/>
      <c r="H105" s="415"/>
      <c r="I105" s="415"/>
      <c r="J105" s="415"/>
      <c r="K105" s="415"/>
      <c r="L105" s="439"/>
      <c r="M105" s="439"/>
      <c r="N105" s="439"/>
      <c r="O105" s="439"/>
      <c r="P105" s="439"/>
      <c r="Q105" s="439"/>
      <c r="R105" s="440"/>
      <c r="S105" s="440"/>
      <c r="T105" s="440"/>
      <c r="U105" s="444"/>
      <c r="V105" s="445"/>
      <c r="W105" s="445"/>
      <c r="X105" s="445"/>
      <c r="Y105" s="445"/>
      <c r="Z105" s="445"/>
      <c r="AA105" s="445"/>
      <c r="AB105" s="445"/>
      <c r="AC105" s="445"/>
      <c r="AD105" s="445"/>
      <c r="AE105" s="445"/>
      <c r="AF105" s="445"/>
      <c r="AG105" s="445"/>
      <c r="AH105" s="445"/>
      <c r="AI105" s="446"/>
      <c r="AJ105" s="488"/>
      <c r="AK105" s="488"/>
      <c r="AL105" s="488"/>
      <c r="AM105" s="450"/>
      <c r="AN105" s="451"/>
      <c r="AO105" s="451"/>
      <c r="AP105" s="451"/>
      <c r="AQ105" s="451"/>
      <c r="AR105" s="451"/>
      <c r="AS105" s="451"/>
      <c r="AT105" s="451"/>
      <c r="AU105" s="451"/>
      <c r="AV105" s="451"/>
      <c r="AW105" s="451"/>
      <c r="AX105" s="451"/>
      <c r="AY105" s="451"/>
      <c r="AZ105" s="451"/>
      <c r="BA105" s="451"/>
      <c r="BB105" s="451"/>
      <c r="BC105" s="451"/>
      <c r="BD105" s="451"/>
      <c r="BE105" s="451"/>
      <c r="BF105" s="451"/>
      <c r="BG105" s="451"/>
      <c r="BH105" s="451"/>
      <c r="BI105" s="451"/>
      <c r="BJ105" s="451"/>
      <c r="BK105" s="451"/>
      <c r="BL105" s="451"/>
      <c r="BM105" s="451"/>
      <c r="BN105" s="452"/>
      <c r="BO105" s="273"/>
      <c r="BP105" s="274"/>
      <c r="BQ105" s="274"/>
      <c r="BR105" s="275"/>
      <c r="BS105" s="11"/>
      <c r="BT105" s="10"/>
      <c r="CB105" s="21"/>
      <c r="CC105" s="497"/>
      <c r="CD105" s="497"/>
      <c r="CE105" s="497"/>
      <c r="CF105" s="497"/>
      <c r="CG105" s="497"/>
      <c r="CH105" s="497"/>
      <c r="CI105" s="497"/>
      <c r="CJ105" s="497"/>
      <c r="CK105" s="497"/>
      <c r="CL105" s="499"/>
      <c r="CM105" s="499"/>
      <c r="CN105" s="499"/>
      <c r="CO105" s="499"/>
      <c r="CP105" s="499"/>
      <c r="CQ105" s="499"/>
      <c r="CR105" s="499"/>
      <c r="CS105" s="499"/>
      <c r="CT105" s="499"/>
      <c r="CU105" s="499"/>
      <c r="CV105" s="499"/>
      <c r="CW105" s="499"/>
      <c r="CX105" s="499"/>
      <c r="CY105" s="499"/>
      <c r="CZ105" s="499"/>
      <c r="DA105" s="11"/>
      <c r="DB105" s="499"/>
      <c r="DC105" s="499"/>
      <c r="DD105" s="499"/>
      <c r="DE105" s="499"/>
      <c r="DF105" s="499"/>
      <c r="DG105" s="499"/>
      <c r="DH105" s="499"/>
      <c r="DI105" s="499"/>
      <c r="DJ105" s="499"/>
      <c r="DK105" s="499"/>
      <c r="DL105" s="497"/>
      <c r="DM105" s="497"/>
      <c r="DN105" s="497"/>
      <c r="DO105" s="497"/>
      <c r="DP105" s="497"/>
      <c r="DQ105" s="497"/>
      <c r="DR105" s="497"/>
      <c r="DS105" s="497"/>
      <c r="DT105" s="497"/>
      <c r="DU105" s="497"/>
      <c r="DV105" s="11"/>
      <c r="DW105" s="11"/>
      <c r="DX105" s="11"/>
      <c r="DY105" s="499"/>
      <c r="DZ105" s="499"/>
      <c r="EA105" s="499"/>
      <c r="EB105" s="499"/>
      <c r="EC105" s="499"/>
      <c r="ED105" s="499"/>
      <c r="EE105" s="499"/>
      <c r="EF105" s="499"/>
      <c r="EG105" s="499"/>
      <c r="EH105" s="499"/>
      <c r="EI105" s="497"/>
      <c r="EJ105" s="497"/>
      <c r="EK105" s="497"/>
      <c r="EL105" s="497"/>
      <c r="EM105" s="497"/>
      <c r="EN105" s="497"/>
      <c r="EO105" s="497"/>
      <c r="EP105" s="497"/>
      <c r="EQ105" s="11"/>
      <c r="ER105" s="11"/>
      <c r="ES105" s="10"/>
    </row>
    <row r="106" spans="3:149" ht="20.5" customHeight="1">
      <c r="C106" s="21"/>
      <c r="D106" s="418" t="s">
        <v>137</v>
      </c>
      <c r="E106" s="418"/>
      <c r="F106" s="418"/>
      <c r="G106" s="418"/>
      <c r="H106" s="418"/>
      <c r="I106" s="418"/>
      <c r="J106" s="418"/>
      <c r="K106" s="418"/>
      <c r="L106" s="439" t="str">
        <f>VLOOKUP($D$11,調査票①!$A$9:$HJ$30,169,FALSE)&amp;""</f>
        <v>1</v>
      </c>
      <c r="M106" s="439"/>
      <c r="N106" s="439"/>
      <c r="O106" s="439" t="str">
        <f>VLOOKUP($D$11,調査票①!$A$9:$HJ$30,170,FALSE)&amp;""</f>
        <v>1</v>
      </c>
      <c r="P106" s="439"/>
      <c r="Q106" s="439"/>
      <c r="R106" s="440">
        <f>VLOOKUP($D$11,調査票①!$A$9:$HJ$30,171,FALSE)</f>
        <v>1</v>
      </c>
      <c r="S106" s="440"/>
      <c r="T106" s="440"/>
      <c r="U106" s="441" t="str">
        <f>VLOOKUP($D$11,調査票①!$A$9:$HJ$30,172,FALSE)&amp;""</f>
        <v>　</v>
      </c>
      <c r="V106" s="442"/>
      <c r="W106" s="442"/>
      <c r="X106" s="442"/>
      <c r="Y106" s="442"/>
      <c r="Z106" s="442"/>
      <c r="AA106" s="442"/>
      <c r="AB106" s="442"/>
      <c r="AC106" s="442"/>
      <c r="AD106" s="442"/>
      <c r="AE106" s="442"/>
      <c r="AF106" s="442"/>
      <c r="AG106" s="442"/>
      <c r="AH106" s="442"/>
      <c r="AI106" s="443"/>
      <c r="AJ106" s="488" t="str">
        <f>VLOOKUP($D$11,調査票①!$A$9:$HJ$30,173,FALSE)&amp;""</f>
        <v>0</v>
      </c>
      <c r="AK106" s="488"/>
      <c r="AL106" s="488"/>
      <c r="AM106" s="447" t="str">
        <f>VLOOKUP($D$11,調査票①!$A$9:$HJ$30,174,FALSE)&amp;""</f>
        <v>　</v>
      </c>
      <c r="AN106" s="448"/>
      <c r="AO106" s="448"/>
      <c r="AP106" s="448"/>
      <c r="AQ106" s="448"/>
      <c r="AR106" s="448"/>
      <c r="AS106" s="448"/>
      <c r="AT106" s="448"/>
      <c r="AU106" s="448"/>
      <c r="AV106" s="448"/>
      <c r="AW106" s="448"/>
      <c r="AX106" s="448"/>
      <c r="AY106" s="448"/>
      <c r="AZ106" s="448"/>
      <c r="BA106" s="448"/>
      <c r="BB106" s="448"/>
      <c r="BC106" s="448"/>
      <c r="BD106" s="448"/>
      <c r="BE106" s="448"/>
      <c r="BF106" s="448"/>
      <c r="BG106" s="448"/>
      <c r="BH106" s="448"/>
      <c r="BI106" s="448"/>
      <c r="BJ106" s="448"/>
      <c r="BK106" s="448"/>
      <c r="BL106" s="448"/>
      <c r="BM106" s="448"/>
      <c r="BN106" s="449"/>
      <c r="BO106" s="270">
        <f>調査票①!FO29</f>
        <v>0.84210526315789469</v>
      </c>
      <c r="BP106" s="271"/>
      <c r="BQ106" s="271"/>
      <c r="BR106" s="272"/>
      <c r="BS106" s="11"/>
      <c r="BT106" s="10"/>
      <c r="CB106" s="21"/>
      <c r="CC106" s="497"/>
      <c r="CD106" s="497"/>
      <c r="CE106" s="497"/>
      <c r="CF106" s="497"/>
      <c r="CG106" s="497"/>
      <c r="CH106" s="497"/>
      <c r="CI106" s="497"/>
      <c r="CJ106" s="497"/>
      <c r="CK106" s="497"/>
      <c r="CL106" s="499"/>
      <c r="CM106" s="499"/>
      <c r="CN106" s="499"/>
      <c r="CO106" s="499"/>
      <c r="CP106" s="499"/>
      <c r="CQ106" s="499"/>
      <c r="CR106" s="499"/>
      <c r="CS106" s="499"/>
      <c r="CT106" s="499"/>
      <c r="CU106" s="499"/>
      <c r="CV106" s="499"/>
      <c r="CW106" s="499"/>
      <c r="CX106" s="499"/>
      <c r="CY106" s="499"/>
      <c r="CZ106" s="499"/>
      <c r="DA106" s="11"/>
      <c r="DB106" s="499"/>
      <c r="DC106" s="499"/>
      <c r="DD106" s="499"/>
      <c r="DE106" s="499"/>
      <c r="DF106" s="499"/>
      <c r="DG106" s="499"/>
      <c r="DH106" s="499"/>
      <c r="DI106" s="499"/>
      <c r="DJ106" s="499"/>
      <c r="DK106" s="499"/>
      <c r="DL106" s="497"/>
      <c r="DM106" s="497"/>
      <c r="DN106" s="497"/>
      <c r="DO106" s="497"/>
      <c r="DP106" s="497"/>
      <c r="DQ106" s="497"/>
      <c r="DR106" s="497"/>
      <c r="DS106" s="497"/>
      <c r="DT106" s="497"/>
      <c r="DU106" s="497"/>
      <c r="DV106" s="11"/>
      <c r="DW106" s="11"/>
      <c r="DX106" s="11"/>
      <c r="DY106" s="499"/>
      <c r="DZ106" s="499"/>
      <c r="EA106" s="499"/>
      <c r="EB106" s="499"/>
      <c r="EC106" s="499"/>
      <c r="ED106" s="499"/>
      <c r="EE106" s="499"/>
      <c r="EF106" s="499"/>
      <c r="EG106" s="499"/>
      <c r="EH106" s="499"/>
      <c r="EI106" s="497"/>
      <c r="EJ106" s="497"/>
      <c r="EK106" s="497"/>
      <c r="EL106" s="497"/>
      <c r="EM106" s="497"/>
      <c r="EN106" s="497"/>
      <c r="EO106" s="497"/>
      <c r="EP106" s="497"/>
      <c r="EQ106" s="11"/>
      <c r="ER106" s="11"/>
      <c r="ES106" s="10"/>
    </row>
    <row r="107" spans="3:149" ht="20.5" customHeight="1">
      <c r="C107" s="21"/>
      <c r="D107" s="418"/>
      <c r="E107" s="418"/>
      <c r="F107" s="418"/>
      <c r="G107" s="418"/>
      <c r="H107" s="418"/>
      <c r="I107" s="418"/>
      <c r="J107" s="418"/>
      <c r="K107" s="418"/>
      <c r="L107" s="439"/>
      <c r="M107" s="439"/>
      <c r="N107" s="439"/>
      <c r="O107" s="439"/>
      <c r="P107" s="439"/>
      <c r="Q107" s="439"/>
      <c r="R107" s="440"/>
      <c r="S107" s="440"/>
      <c r="T107" s="440"/>
      <c r="U107" s="444"/>
      <c r="V107" s="445"/>
      <c r="W107" s="445"/>
      <c r="X107" s="445"/>
      <c r="Y107" s="445"/>
      <c r="Z107" s="445"/>
      <c r="AA107" s="445"/>
      <c r="AB107" s="445"/>
      <c r="AC107" s="445"/>
      <c r="AD107" s="445"/>
      <c r="AE107" s="445"/>
      <c r="AF107" s="445"/>
      <c r="AG107" s="445"/>
      <c r="AH107" s="445"/>
      <c r="AI107" s="446"/>
      <c r="AJ107" s="488"/>
      <c r="AK107" s="488"/>
      <c r="AL107" s="488"/>
      <c r="AM107" s="450"/>
      <c r="AN107" s="451"/>
      <c r="AO107" s="451"/>
      <c r="AP107" s="451"/>
      <c r="AQ107" s="451"/>
      <c r="AR107" s="451"/>
      <c r="AS107" s="451"/>
      <c r="AT107" s="451"/>
      <c r="AU107" s="451"/>
      <c r="AV107" s="451"/>
      <c r="AW107" s="451"/>
      <c r="AX107" s="451"/>
      <c r="AY107" s="451"/>
      <c r="AZ107" s="451"/>
      <c r="BA107" s="451"/>
      <c r="BB107" s="451"/>
      <c r="BC107" s="451"/>
      <c r="BD107" s="451"/>
      <c r="BE107" s="451"/>
      <c r="BF107" s="451"/>
      <c r="BG107" s="451"/>
      <c r="BH107" s="451"/>
      <c r="BI107" s="451"/>
      <c r="BJ107" s="451"/>
      <c r="BK107" s="451"/>
      <c r="BL107" s="451"/>
      <c r="BM107" s="451"/>
      <c r="BN107" s="452"/>
      <c r="BO107" s="273"/>
      <c r="BP107" s="274"/>
      <c r="BQ107" s="274"/>
      <c r="BR107" s="275"/>
      <c r="BS107" s="11"/>
      <c r="BT107" s="10"/>
      <c r="CB107" s="21"/>
      <c r="CC107" s="120"/>
      <c r="CD107" s="17"/>
      <c r="CE107" s="17"/>
      <c r="CF107" s="17"/>
      <c r="CG107" s="17"/>
      <c r="CH107" s="17"/>
      <c r="CI107" s="17"/>
      <c r="CJ107" s="17"/>
      <c r="CK107" s="17"/>
      <c r="CL107" s="17"/>
      <c r="CM107" s="17"/>
      <c r="CN107" s="17"/>
      <c r="CO107" s="17"/>
      <c r="CP107" s="17"/>
      <c r="CQ107" s="17"/>
      <c r="CR107" s="17"/>
      <c r="CS107" s="17"/>
      <c r="CT107" s="17"/>
      <c r="CU107" s="17"/>
      <c r="CV107" s="17"/>
      <c r="CW107" s="17"/>
      <c r="CX107" s="17"/>
      <c r="CY107" s="17"/>
      <c r="CZ107" s="17"/>
      <c r="DA107" s="11"/>
      <c r="DB107" s="11"/>
      <c r="DC107" s="11"/>
      <c r="DD107" s="11"/>
      <c r="DE107" s="11"/>
      <c r="DF107" s="11"/>
      <c r="DG107" s="11"/>
      <c r="DH107" s="11"/>
      <c r="DI107" s="11"/>
      <c r="DJ107" s="11"/>
      <c r="DK107" s="11"/>
      <c r="DL107" s="11"/>
      <c r="DM107" s="11"/>
      <c r="DN107" s="11"/>
      <c r="DO107" s="11"/>
      <c r="DP107" s="11"/>
      <c r="DQ107" s="11"/>
      <c r="DR107" s="11"/>
      <c r="DS107" s="11"/>
      <c r="DT107" s="11"/>
      <c r="DU107" s="11"/>
      <c r="DV107" s="11"/>
      <c r="DW107" s="11"/>
      <c r="DX107" s="11"/>
      <c r="DY107" s="11"/>
      <c r="DZ107" s="11"/>
      <c r="EA107" s="11"/>
      <c r="EB107" s="11"/>
      <c r="EC107" s="11"/>
      <c r="ED107" s="11"/>
      <c r="EE107" s="11"/>
      <c r="EF107" s="11"/>
      <c r="EG107" s="11"/>
      <c r="EH107" s="11"/>
      <c r="EI107" s="11"/>
      <c r="EJ107" s="11"/>
      <c r="EK107" s="11"/>
      <c r="EL107" s="11"/>
      <c r="EM107" s="11"/>
      <c r="EN107" s="11"/>
      <c r="EO107" s="11"/>
      <c r="EP107" s="11"/>
      <c r="EQ107" s="11"/>
      <c r="ER107" s="11"/>
      <c r="ES107" s="10"/>
    </row>
    <row r="108" spans="3:149" ht="20.5" customHeight="1">
      <c r="C108" s="21"/>
      <c r="D108" s="418" t="s">
        <v>138</v>
      </c>
      <c r="E108" s="418"/>
      <c r="F108" s="418"/>
      <c r="G108" s="418"/>
      <c r="H108" s="418"/>
      <c r="I108" s="418"/>
      <c r="J108" s="418"/>
      <c r="K108" s="418"/>
      <c r="L108" s="439" t="str">
        <f>VLOOKUP($D$11,調査票①!$A$9:$HJ$30,175,FALSE)&amp;""</f>
        <v>0</v>
      </c>
      <c r="M108" s="439"/>
      <c r="N108" s="439"/>
      <c r="O108" s="439" t="str">
        <f>VLOOKUP($D$11,調査票①!$A$9:$HJ$30,176,FALSE)&amp;""</f>
        <v>0</v>
      </c>
      <c r="P108" s="439"/>
      <c r="Q108" s="439"/>
      <c r="R108" s="440" t="str">
        <f>VLOOKUP($D$11,調査票①!$A$9:$HJ$30,177,FALSE)</f>
        <v/>
      </c>
      <c r="S108" s="440"/>
      <c r="T108" s="440"/>
      <c r="U108" s="441" t="str">
        <f>VLOOKUP($D$11,調査票①!$A$9:$HJ$30,178,FALSE)&amp;""</f>
        <v>　</v>
      </c>
      <c r="V108" s="442"/>
      <c r="W108" s="442"/>
      <c r="X108" s="442"/>
      <c r="Y108" s="442"/>
      <c r="Z108" s="442"/>
      <c r="AA108" s="442"/>
      <c r="AB108" s="442"/>
      <c r="AC108" s="442"/>
      <c r="AD108" s="442"/>
      <c r="AE108" s="442"/>
      <c r="AF108" s="442"/>
      <c r="AG108" s="442"/>
      <c r="AH108" s="442"/>
      <c r="AI108" s="443"/>
      <c r="AJ108" s="488" t="str">
        <f>VLOOKUP($D$11,調査票①!$A$9:$HJ$30,179,FALSE)&amp;""</f>
        <v>0</v>
      </c>
      <c r="AK108" s="488"/>
      <c r="AL108" s="488"/>
      <c r="AM108" s="447" t="str">
        <f>VLOOKUP($D$11,調査票①!$A$9:$HJ$30,180,FALSE)&amp;""</f>
        <v>　</v>
      </c>
      <c r="AN108" s="448"/>
      <c r="AO108" s="448"/>
      <c r="AP108" s="448"/>
      <c r="AQ108" s="448"/>
      <c r="AR108" s="448"/>
      <c r="AS108" s="448"/>
      <c r="AT108" s="448"/>
      <c r="AU108" s="448"/>
      <c r="AV108" s="448"/>
      <c r="AW108" s="448"/>
      <c r="AX108" s="448"/>
      <c r="AY108" s="448"/>
      <c r="AZ108" s="448"/>
      <c r="BA108" s="448"/>
      <c r="BB108" s="448"/>
      <c r="BC108" s="448"/>
      <c r="BD108" s="448"/>
      <c r="BE108" s="448"/>
      <c r="BF108" s="448"/>
      <c r="BG108" s="448"/>
      <c r="BH108" s="448"/>
      <c r="BI108" s="448"/>
      <c r="BJ108" s="448"/>
      <c r="BK108" s="448"/>
      <c r="BL108" s="448"/>
      <c r="BM108" s="448"/>
      <c r="BN108" s="449"/>
      <c r="BO108" s="270">
        <f>調査票①!FU29</f>
        <v>1</v>
      </c>
      <c r="BP108" s="271"/>
      <c r="BQ108" s="271"/>
      <c r="BR108" s="272"/>
      <c r="BS108" s="11"/>
      <c r="BT108" s="10"/>
      <c r="CB108" s="21"/>
      <c r="CC108" s="46" t="s">
        <v>133</v>
      </c>
      <c r="CD108" s="12"/>
      <c r="CE108" s="12"/>
      <c r="CF108" s="12"/>
      <c r="CG108" s="12"/>
      <c r="CH108" s="12"/>
      <c r="CI108" s="12"/>
      <c r="CJ108" s="12"/>
      <c r="CK108" s="12"/>
      <c r="CL108" s="111"/>
      <c r="CM108" s="111"/>
      <c r="CN108" s="111"/>
      <c r="CO108" s="111"/>
      <c r="CP108" s="111"/>
      <c r="CQ108" s="111"/>
      <c r="CR108" s="111"/>
      <c r="CS108" s="111"/>
      <c r="CT108" s="111"/>
      <c r="CU108" s="111"/>
      <c r="CV108" s="111"/>
      <c r="CW108" s="111"/>
      <c r="CX108" s="111"/>
      <c r="CY108" s="111"/>
      <c r="CZ108" s="111"/>
      <c r="DA108" s="11"/>
      <c r="DB108" s="111"/>
      <c r="DC108" s="121"/>
      <c r="DD108" s="121"/>
      <c r="DE108" s="121"/>
      <c r="DF108" s="121"/>
      <c r="DG108" s="121"/>
      <c r="DH108" s="121"/>
      <c r="DI108" s="121"/>
      <c r="DJ108" s="121"/>
      <c r="DK108" s="121"/>
      <c r="DL108" s="12"/>
      <c r="DM108" s="12"/>
      <c r="DN108" s="12"/>
      <c r="DO108" s="12"/>
      <c r="DP108" s="12"/>
      <c r="DQ108" s="12"/>
      <c r="DR108" s="12"/>
      <c r="DS108" s="12"/>
      <c r="DT108" s="12"/>
      <c r="DU108" s="12"/>
      <c r="DV108" s="11"/>
      <c r="DW108" s="11"/>
      <c r="DX108" s="11"/>
      <c r="DY108" s="111"/>
      <c r="DZ108" s="121"/>
      <c r="EA108" s="121"/>
      <c r="EB108" s="121"/>
      <c r="EC108" s="121"/>
      <c r="ED108" s="121"/>
      <c r="EE108" s="121"/>
      <c r="EF108" s="121"/>
      <c r="EG108" s="121"/>
      <c r="EH108" s="121"/>
      <c r="EI108" s="12"/>
      <c r="EJ108" s="12"/>
      <c r="EK108" s="12"/>
      <c r="EL108" s="12"/>
      <c r="EM108" s="12"/>
      <c r="EN108" s="12"/>
      <c r="EO108" s="12"/>
      <c r="EP108" s="12"/>
      <c r="EQ108" s="11"/>
      <c r="ER108" s="11"/>
      <c r="ES108" s="10"/>
    </row>
    <row r="109" spans="3:149" ht="20.5" customHeight="1">
      <c r="C109" s="21"/>
      <c r="D109" s="418"/>
      <c r="E109" s="418"/>
      <c r="F109" s="418"/>
      <c r="G109" s="418"/>
      <c r="H109" s="418"/>
      <c r="I109" s="418"/>
      <c r="J109" s="418"/>
      <c r="K109" s="418"/>
      <c r="L109" s="439"/>
      <c r="M109" s="439"/>
      <c r="N109" s="439"/>
      <c r="O109" s="439"/>
      <c r="P109" s="439"/>
      <c r="Q109" s="439"/>
      <c r="R109" s="440"/>
      <c r="S109" s="440"/>
      <c r="T109" s="440"/>
      <c r="U109" s="444"/>
      <c r="V109" s="445"/>
      <c r="W109" s="445"/>
      <c r="X109" s="445"/>
      <c r="Y109" s="445"/>
      <c r="Z109" s="445"/>
      <c r="AA109" s="445"/>
      <c r="AB109" s="445"/>
      <c r="AC109" s="445"/>
      <c r="AD109" s="445"/>
      <c r="AE109" s="445"/>
      <c r="AF109" s="445"/>
      <c r="AG109" s="445"/>
      <c r="AH109" s="445"/>
      <c r="AI109" s="446"/>
      <c r="AJ109" s="488"/>
      <c r="AK109" s="488"/>
      <c r="AL109" s="488"/>
      <c r="AM109" s="450"/>
      <c r="AN109" s="451"/>
      <c r="AO109" s="451"/>
      <c r="AP109" s="451"/>
      <c r="AQ109" s="451"/>
      <c r="AR109" s="451"/>
      <c r="AS109" s="451"/>
      <c r="AT109" s="451"/>
      <c r="AU109" s="451"/>
      <c r="AV109" s="451"/>
      <c r="AW109" s="451"/>
      <c r="AX109" s="451"/>
      <c r="AY109" s="451"/>
      <c r="AZ109" s="451"/>
      <c r="BA109" s="451"/>
      <c r="BB109" s="451"/>
      <c r="BC109" s="451"/>
      <c r="BD109" s="451"/>
      <c r="BE109" s="451"/>
      <c r="BF109" s="451"/>
      <c r="BG109" s="451"/>
      <c r="BH109" s="451"/>
      <c r="BI109" s="451"/>
      <c r="BJ109" s="451"/>
      <c r="BK109" s="451"/>
      <c r="BL109" s="451"/>
      <c r="BM109" s="451"/>
      <c r="BN109" s="452"/>
      <c r="BO109" s="273"/>
      <c r="BP109" s="274"/>
      <c r="BQ109" s="274"/>
      <c r="BR109" s="275"/>
      <c r="BS109" s="11"/>
      <c r="BT109" s="10"/>
      <c r="CB109" s="21"/>
      <c r="CC109" s="500" t="s">
        <v>141</v>
      </c>
      <c r="CD109" s="500"/>
      <c r="CE109" s="500"/>
      <c r="CF109" s="500"/>
      <c r="CG109" s="500"/>
      <c r="CH109" s="500"/>
      <c r="CI109" s="500"/>
      <c r="CJ109" s="500"/>
      <c r="CK109" s="500"/>
      <c r="CL109" s="500"/>
      <c r="CM109" s="500"/>
      <c r="CN109" s="500"/>
      <c r="CO109" s="500"/>
      <c r="CP109" s="500"/>
      <c r="CQ109" s="500"/>
      <c r="CR109" s="111"/>
      <c r="CS109" s="111"/>
      <c r="CT109" s="111"/>
      <c r="CU109" s="111"/>
      <c r="CV109" s="111"/>
      <c r="CW109" s="111"/>
      <c r="CX109" s="111"/>
      <c r="CY109" s="111"/>
      <c r="CZ109" s="111"/>
      <c r="DA109" s="11"/>
      <c r="DB109" s="121"/>
      <c r="DC109" s="121"/>
      <c r="DD109" s="121"/>
      <c r="DE109" s="121"/>
      <c r="DF109" s="121"/>
      <c r="DG109" s="121"/>
      <c r="DH109" s="121"/>
      <c r="DI109" s="121"/>
      <c r="DJ109" s="121"/>
      <c r="DK109" s="121"/>
      <c r="DL109" s="12"/>
      <c r="DM109" s="12"/>
      <c r="DN109" s="12"/>
      <c r="DO109" s="12"/>
      <c r="DP109" s="12"/>
      <c r="DQ109" s="12"/>
      <c r="DR109" s="12"/>
      <c r="DS109" s="12"/>
      <c r="DT109" s="12"/>
      <c r="DU109" s="12"/>
      <c r="DV109" s="11"/>
      <c r="DW109" s="11"/>
      <c r="DX109" s="11"/>
      <c r="DY109" s="121"/>
      <c r="DZ109" s="121"/>
      <c r="EA109" s="121"/>
      <c r="EB109" s="121"/>
      <c r="EC109" s="121"/>
      <c r="ED109" s="121"/>
      <c r="EE109" s="121"/>
      <c r="EF109" s="121"/>
      <c r="EG109" s="121"/>
      <c r="EH109" s="121"/>
      <c r="EI109" s="12"/>
      <c r="EJ109" s="12"/>
      <c r="EK109" s="12"/>
      <c r="EL109" s="12"/>
      <c r="EM109" s="12"/>
      <c r="EN109" s="12"/>
      <c r="EO109" s="12"/>
      <c r="EP109" s="12"/>
      <c r="EQ109" s="11"/>
      <c r="ER109" s="11"/>
      <c r="ES109" s="10"/>
    </row>
    <row r="110" spans="3:149" ht="20.5" customHeight="1">
      <c r="C110" s="21"/>
      <c r="D110" s="418" t="s">
        <v>139</v>
      </c>
      <c r="E110" s="418"/>
      <c r="F110" s="418"/>
      <c r="G110" s="418"/>
      <c r="H110" s="418"/>
      <c r="I110" s="418"/>
      <c r="J110" s="418"/>
      <c r="K110" s="418"/>
      <c r="L110" s="439" t="str">
        <f>VLOOKUP($D$11,調査票①!$A$9:$HJ$30,181,FALSE)&amp;""</f>
        <v>14</v>
      </c>
      <c r="M110" s="439"/>
      <c r="N110" s="439"/>
      <c r="O110" s="439" t="str">
        <f>VLOOKUP($D$11,調査票①!$A$9:$HJ$30,182,FALSE)&amp;""</f>
        <v>14</v>
      </c>
      <c r="P110" s="439"/>
      <c r="Q110" s="439"/>
      <c r="R110" s="440">
        <f>VLOOKUP($D$11,調査票①!$A$9:$HJ$30,183,FALSE)</f>
        <v>1</v>
      </c>
      <c r="S110" s="440"/>
      <c r="T110" s="440"/>
      <c r="U110" s="441" t="str">
        <f>VLOOKUP($D$11,調査票①!$A$9:$HJ$30,184,FALSE)&amp;""</f>
        <v>　</v>
      </c>
      <c r="V110" s="442"/>
      <c r="W110" s="442"/>
      <c r="X110" s="442"/>
      <c r="Y110" s="442"/>
      <c r="Z110" s="442"/>
      <c r="AA110" s="442"/>
      <c r="AB110" s="442"/>
      <c r="AC110" s="442"/>
      <c r="AD110" s="442"/>
      <c r="AE110" s="442"/>
      <c r="AF110" s="442"/>
      <c r="AG110" s="442"/>
      <c r="AH110" s="442"/>
      <c r="AI110" s="443"/>
      <c r="AJ110" s="488" t="str">
        <f>VLOOKUP($D$11,調査票①!$A$9:$HJ$30,185,FALSE)&amp;""</f>
        <v>0</v>
      </c>
      <c r="AK110" s="488"/>
      <c r="AL110" s="488"/>
      <c r="AM110" s="447" t="str">
        <f>VLOOKUP($D$11,調査票①!$A$9:$HJ$30,186,FALSE)&amp;""</f>
        <v>　</v>
      </c>
      <c r="AN110" s="448"/>
      <c r="AO110" s="448"/>
      <c r="AP110" s="448"/>
      <c r="AQ110" s="448"/>
      <c r="AR110" s="448"/>
      <c r="AS110" s="448"/>
      <c r="AT110" s="448"/>
      <c r="AU110" s="448"/>
      <c r="AV110" s="448"/>
      <c r="AW110" s="448"/>
      <c r="AX110" s="448"/>
      <c r="AY110" s="448"/>
      <c r="AZ110" s="448"/>
      <c r="BA110" s="448"/>
      <c r="BB110" s="448"/>
      <c r="BC110" s="448"/>
      <c r="BD110" s="448"/>
      <c r="BE110" s="448"/>
      <c r="BF110" s="448"/>
      <c r="BG110" s="448"/>
      <c r="BH110" s="448"/>
      <c r="BI110" s="448"/>
      <c r="BJ110" s="448"/>
      <c r="BK110" s="448"/>
      <c r="BL110" s="448"/>
      <c r="BM110" s="448"/>
      <c r="BN110" s="449"/>
      <c r="BO110" s="270">
        <f>調査票①!GA29</f>
        <v>0.87024221453287198</v>
      </c>
      <c r="BP110" s="271"/>
      <c r="BQ110" s="271"/>
      <c r="BR110" s="272"/>
      <c r="BS110" s="11"/>
      <c r="BT110" s="10"/>
      <c r="CB110" s="21"/>
      <c r="CC110" s="500"/>
      <c r="CD110" s="500"/>
      <c r="CE110" s="500"/>
      <c r="CF110" s="500"/>
      <c r="CG110" s="500"/>
      <c r="CH110" s="500"/>
      <c r="CI110" s="500"/>
      <c r="CJ110" s="500"/>
      <c r="CK110" s="500"/>
      <c r="CL110" s="500"/>
      <c r="CM110" s="500"/>
      <c r="CN110" s="500"/>
      <c r="CO110" s="500"/>
      <c r="CP110" s="500"/>
      <c r="CQ110" s="500"/>
      <c r="CR110" s="11"/>
      <c r="CS110" s="11"/>
      <c r="CT110" s="11"/>
      <c r="CU110" s="11"/>
      <c r="CV110" s="11"/>
      <c r="CW110" s="11"/>
      <c r="CX110" s="11"/>
      <c r="CY110" s="11"/>
      <c r="CZ110" s="11"/>
      <c r="DA110" s="11"/>
      <c r="DB110" s="11"/>
      <c r="DC110" s="11"/>
      <c r="DD110" s="11"/>
      <c r="DE110" s="11"/>
      <c r="DF110" s="11"/>
      <c r="DG110" s="11"/>
      <c r="DH110" s="11"/>
      <c r="DI110" s="11"/>
      <c r="DJ110" s="11"/>
      <c r="DK110" s="11"/>
      <c r="DL110" s="11"/>
      <c r="DM110" s="11"/>
      <c r="DN110" s="11"/>
      <c r="DO110" s="11"/>
      <c r="DP110" s="11"/>
      <c r="DQ110" s="11"/>
      <c r="DR110" s="11"/>
      <c r="DS110" s="11"/>
      <c r="DT110" s="11"/>
      <c r="DU110" s="11"/>
      <c r="DV110" s="11"/>
      <c r="DW110" s="11"/>
      <c r="DX110" s="11"/>
      <c r="DY110" s="11"/>
      <c r="DZ110" s="11"/>
      <c r="EA110" s="11"/>
      <c r="EB110" s="11"/>
      <c r="EC110" s="11"/>
      <c r="ED110" s="11"/>
      <c r="EE110" s="11"/>
      <c r="EF110" s="11"/>
      <c r="EG110" s="11"/>
      <c r="EH110" s="11"/>
      <c r="EI110" s="11"/>
      <c r="EJ110" s="11"/>
      <c r="EK110" s="11"/>
      <c r="EL110" s="11"/>
      <c r="EM110" s="11"/>
      <c r="EN110" s="11"/>
      <c r="EO110" s="11"/>
      <c r="EP110" s="11"/>
      <c r="EQ110" s="11"/>
      <c r="ER110" s="11"/>
      <c r="ES110" s="10"/>
    </row>
    <row r="111" spans="3:149" ht="20.5" customHeight="1">
      <c r="C111" s="21"/>
      <c r="D111" s="418"/>
      <c r="E111" s="418"/>
      <c r="F111" s="418"/>
      <c r="G111" s="418"/>
      <c r="H111" s="418"/>
      <c r="I111" s="418"/>
      <c r="J111" s="418"/>
      <c r="K111" s="418"/>
      <c r="L111" s="439"/>
      <c r="M111" s="439"/>
      <c r="N111" s="439"/>
      <c r="O111" s="439"/>
      <c r="P111" s="439"/>
      <c r="Q111" s="439"/>
      <c r="R111" s="440"/>
      <c r="S111" s="440"/>
      <c r="T111" s="440"/>
      <c r="U111" s="444"/>
      <c r="V111" s="445"/>
      <c r="W111" s="445"/>
      <c r="X111" s="445"/>
      <c r="Y111" s="445"/>
      <c r="Z111" s="445"/>
      <c r="AA111" s="445"/>
      <c r="AB111" s="445"/>
      <c r="AC111" s="445"/>
      <c r="AD111" s="445"/>
      <c r="AE111" s="445"/>
      <c r="AF111" s="445"/>
      <c r="AG111" s="445"/>
      <c r="AH111" s="445"/>
      <c r="AI111" s="446"/>
      <c r="AJ111" s="488"/>
      <c r="AK111" s="488"/>
      <c r="AL111" s="488"/>
      <c r="AM111" s="450"/>
      <c r="AN111" s="451"/>
      <c r="AO111" s="451"/>
      <c r="AP111" s="451"/>
      <c r="AQ111" s="451"/>
      <c r="AR111" s="451"/>
      <c r="AS111" s="451"/>
      <c r="AT111" s="451"/>
      <c r="AU111" s="451"/>
      <c r="AV111" s="451"/>
      <c r="AW111" s="451"/>
      <c r="AX111" s="451"/>
      <c r="AY111" s="451"/>
      <c r="AZ111" s="451"/>
      <c r="BA111" s="451"/>
      <c r="BB111" s="451"/>
      <c r="BC111" s="451"/>
      <c r="BD111" s="451"/>
      <c r="BE111" s="451"/>
      <c r="BF111" s="451"/>
      <c r="BG111" s="451"/>
      <c r="BH111" s="451"/>
      <c r="BI111" s="451"/>
      <c r="BJ111" s="451"/>
      <c r="BK111" s="451"/>
      <c r="BL111" s="451"/>
      <c r="BM111" s="451"/>
      <c r="BN111" s="452"/>
      <c r="BO111" s="273"/>
      <c r="BP111" s="274"/>
      <c r="BQ111" s="274"/>
      <c r="BR111" s="275"/>
      <c r="BS111" s="11"/>
      <c r="BT111" s="10"/>
      <c r="CB111" s="21"/>
      <c r="CC111" s="500"/>
      <c r="CD111" s="500"/>
      <c r="CE111" s="500"/>
      <c r="CF111" s="500"/>
      <c r="CG111" s="500"/>
      <c r="CH111" s="500"/>
      <c r="CI111" s="500"/>
      <c r="CJ111" s="500"/>
      <c r="CK111" s="500"/>
      <c r="CL111" s="500"/>
      <c r="CM111" s="500"/>
      <c r="CN111" s="500"/>
      <c r="CO111" s="500"/>
      <c r="CP111" s="500"/>
      <c r="CQ111" s="500"/>
      <c r="CR111" s="11"/>
      <c r="CS111" s="11"/>
      <c r="CT111" s="11"/>
      <c r="CU111" s="11"/>
      <c r="CV111" s="11"/>
      <c r="CW111" s="11"/>
      <c r="CX111" s="11"/>
      <c r="CY111" s="11"/>
      <c r="CZ111" s="11"/>
      <c r="DA111" s="11"/>
      <c r="DB111" s="11"/>
      <c r="DC111" s="496"/>
      <c r="DD111" s="496"/>
      <c r="DE111" s="496"/>
      <c r="DF111" s="496"/>
      <c r="DG111" s="496"/>
      <c r="DH111" s="496"/>
      <c r="DI111" s="496"/>
      <c r="DJ111" s="496"/>
      <c r="DK111" s="496"/>
      <c r="DL111" s="496"/>
      <c r="DM111" s="496"/>
      <c r="DN111" s="496"/>
      <c r="DO111" s="496"/>
      <c r="DP111" s="496"/>
      <c r="DQ111" s="496"/>
      <c r="DR111" s="496"/>
      <c r="DS111" s="496"/>
      <c r="DT111" s="496"/>
      <c r="DU111" s="496"/>
      <c r="DV111" s="496"/>
      <c r="DW111" s="496"/>
      <c r="DX111" s="496"/>
      <c r="DY111" s="496"/>
      <c r="DZ111" s="496"/>
      <c r="EA111" s="496"/>
      <c r="EB111" s="496"/>
      <c r="EC111" s="496"/>
      <c r="ED111" s="496"/>
      <c r="EE111" s="496"/>
      <c r="EF111" s="496"/>
      <c r="EG111" s="496"/>
      <c r="EH111" s="496"/>
      <c r="EI111" s="496"/>
      <c r="EJ111" s="496"/>
      <c r="EK111" s="496"/>
      <c r="EL111" s="496"/>
      <c r="EM111" s="496"/>
      <c r="EN111" s="496"/>
      <c r="EO111" s="496"/>
      <c r="EP111" s="496"/>
      <c r="EQ111" s="11"/>
      <c r="ER111" s="11"/>
      <c r="ES111" s="10"/>
    </row>
    <row r="112" spans="3:149" ht="20.5" customHeight="1">
      <c r="C112" s="21"/>
      <c r="D112" s="418" t="s">
        <v>140</v>
      </c>
      <c r="E112" s="418"/>
      <c r="F112" s="418"/>
      <c r="G112" s="418"/>
      <c r="H112" s="418"/>
      <c r="I112" s="418"/>
      <c r="J112" s="418"/>
      <c r="K112" s="418"/>
      <c r="L112" s="439" t="str">
        <f>VLOOKUP($D$11,調査票①!$A$9:$HJ$30,187,FALSE)&amp;""</f>
        <v>120</v>
      </c>
      <c r="M112" s="439"/>
      <c r="N112" s="439"/>
      <c r="O112" s="439" t="str">
        <f>VLOOKUP($D$11,調査票①!$A$9:$HJ$30,188,FALSE)&amp;""</f>
        <v>108</v>
      </c>
      <c r="P112" s="439"/>
      <c r="Q112" s="439"/>
      <c r="R112" s="440">
        <f>VLOOKUP($D$11,調査票①!$A$9:$HJ$30,189,FALSE)</f>
        <v>0.9</v>
      </c>
      <c r="S112" s="440"/>
      <c r="T112" s="440"/>
      <c r="U112" s="470" t="str">
        <f>VLOOKUP($D$11,調査票①!$A$9:$HJ$30,190,FALSE)&amp;""</f>
        <v>未導入施設である児童遊園は、有料施設ではなく、特殊施設を備えていないことなどから直営としている</v>
      </c>
      <c r="V112" s="471"/>
      <c r="W112" s="471"/>
      <c r="X112" s="471"/>
      <c r="Y112" s="471"/>
      <c r="Z112" s="471"/>
      <c r="AA112" s="471"/>
      <c r="AB112" s="471"/>
      <c r="AC112" s="471"/>
      <c r="AD112" s="471"/>
      <c r="AE112" s="471"/>
      <c r="AF112" s="471"/>
      <c r="AG112" s="471"/>
      <c r="AH112" s="471"/>
      <c r="AI112" s="472"/>
      <c r="AJ112" s="488" t="str">
        <f>VLOOKUP($D$11,調査票①!$A$9:$HJ$30,191,FALSE)&amp;""</f>
        <v>0</v>
      </c>
      <c r="AK112" s="488"/>
      <c r="AL112" s="488"/>
      <c r="AM112" s="447" t="str">
        <f>VLOOKUP($D$11,調査票①!$A$9:$HJ$30,192,FALSE)&amp;""</f>
        <v>　</v>
      </c>
      <c r="AN112" s="448"/>
      <c r="AO112" s="448"/>
      <c r="AP112" s="448"/>
      <c r="AQ112" s="448"/>
      <c r="AR112" s="448"/>
      <c r="AS112" s="448"/>
      <c r="AT112" s="448"/>
      <c r="AU112" s="448"/>
      <c r="AV112" s="448"/>
      <c r="AW112" s="448"/>
      <c r="AX112" s="448"/>
      <c r="AY112" s="448"/>
      <c r="AZ112" s="448"/>
      <c r="BA112" s="448"/>
      <c r="BB112" s="448"/>
      <c r="BC112" s="448"/>
      <c r="BD112" s="448"/>
      <c r="BE112" s="448"/>
      <c r="BF112" s="448"/>
      <c r="BG112" s="448"/>
      <c r="BH112" s="448"/>
      <c r="BI112" s="448"/>
      <c r="BJ112" s="448"/>
      <c r="BK112" s="448"/>
      <c r="BL112" s="448"/>
      <c r="BM112" s="448"/>
      <c r="BN112" s="449"/>
      <c r="BO112" s="270">
        <f>調査票①!GG29</f>
        <v>0.68121104185218162</v>
      </c>
      <c r="BP112" s="271"/>
      <c r="BQ112" s="271"/>
      <c r="BR112" s="272"/>
      <c r="BS112" s="11"/>
      <c r="BT112" s="10"/>
      <c r="CB112" s="21"/>
      <c r="CC112" s="501">
        <f>調査票①!HH30</f>
        <v>1</v>
      </c>
      <c r="CD112" s="501"/>
      <c r="CE112" s="501"/>
      <c r="CF112" s="501"/>
      <c r="CG112" s="501"/>
      <c r="CH112" s="501"/>
      <c r="CI112" s="501"/>
      <c r="CJ112" s="501"/>
      <c r="CK112" s="501"/>
      <c r="CL112" s="501"/>
      <c r="CM112" s="501"/>
      <c r="CN112" s="501"/>
      <c r="CO112" s="501"/>
      <c r="CP112" s="501"/>
      <c r="CQ112" s="501"/>
      <c r="CR112" s="11"/>
      <c r="CS112" s="11"/>
      <c r="CT112" s="11"/>
      <c r="CU112" s="11"/>
      <c r="CV112" s="11"/>
      <c r="CW112" s="11"/>
      <c r="CX112" s="11"/>
      <c r="CY112" s="11"/>
      <c r="CZ112" s="11"/>
      <c r="DA112" s="11"/>
      <c r="DB112" s="11"/>
      <c r="DC112" s="496"/>
      <c r="DD112" s="496"/>
      <c r="DE112" s="496"/>
      <c r="DF112" s="496"/>
      <c r="DG112" s="496"/>
      <c r="DH112" s="496"/>
      <c r="DI112" s="496"/>
      <c r="DJ112" s="496"/>
      <c r="DK112" s="496"/>
      <c r="DL112" s="496"/>
      <c r="DM112" s="496"/>
      <c r="DN112" s="496"/>
      <c r="DO112" s="496"/>
      <c r="DP112" s="496"/>
      <c r="DQ112" s="496"/>
      <c r="DR112" s="496"/>
      <c r="DS112" s="496"/>
      <c r="DT112" s="496"/>
      <c r="DU112" s="496"/>
      <c r="DV112" s="496"/>
      <c r="DW112" s="496"/>
      <c r="DX112" s="496"/>
      <c r="DY112" s="496"/>
      <c r="DZ112" s="496"/>
      <c r="EA112" s="496"/>
      <c r="EB112" s="496"/>
      <c r="EC112" s="496"/>
      <c r="ED112" s="496"/>
      <c r="EE112" s="496"/>
      <c r="EF112" s="496"/>
      <c r="EG112" s="496"/>
      <c r="EH112" s="496"/>
      <c r="EI112" s="496"/>
      <c r="EJ112" s="496"/>
      <c r="EK112" s="496"/>
      <c r="EL112" s="496"/>
      <c r="EM112" s="496"/>
      <c r="EN112" s="496"/>
      <c r="EO112" s="496"/>
      <c r="EP112" s="496"/>
      <c r="EQ112" s="11"/>
      <c r="ER112" s="11"/>
      <c r="ES112" s="10"/>
    </row>
    <row r="113" spans="3:150" ht="20.5" customHeight="1">
      <c r="C113" s="21"/>
      <c r="D113" s="418"/>
      <c r="E113" s="418"/>
      <c r="F113" s="418"/>
      <c r="G113" s="418"/>
      <c r="H113" s="418"/>
      <c r="I113" s="418"/>
      <c r="J113" s="418"/>
      <c r="K113" s="418"/>
      <c r="L113" s="439"/>
      <c r="M113" s="439"/>
      <c r="N113" s="439"/>
      <c r="O113" s="439"/>
      <c r="P113" s="439"/>
      <c r="Q113" s="439"/>
      <c r="R113" s="440"/>
      <c r="S113" s="440"/>
      <c r="T113" s="440"/>
      <c r="U113" s="473"/>
      <c r="V113" s="474"/>
      <c r="W113" s="474"/>
      <c r="X113" s="474"/>
      <c r="Y113" s="474"/>
      <c r="Z113" s="474"/>
      <c r="AA113" s="474"/>
      <c r="AB113" s="474"/>
      <c r="AC113" s="474"/>
      <c r="AD113" s="474"/>
      <c r="AE113" s="474"/>
      <c r="AF113" s="474"/>
      <c r="AG113" s="474"/>
      <c r="AH113" s="474"/>
      <c r="AI113" s="475"/>
      <c r="AJ113" s="488"/>
      <c r="AK113" s="488"/>
      <c r="AL113" s="488"/>
      <c r="AM113" s="450"/>
      <c r="AN113" s="451"/>
      <c r="AO113" s="451"/>
      <c r="AP113" s="451"/>
      <c r="AQ113" s="451"/>
      <c r="AR113" s="451"/>
      <c r="AS113" s="451"/>
      <c r="AT113" s="451"/>
      <c r="AU113" s="451"/>
      <c r="AV113" s="451"/>
      <c r="AW113" s="451"/>
      <c r="AX113" s="451"/>
      <c r="AY113" s="451"/>
      <c r="AZ113" s="451"/>
      <c r="BA113" s="451"/>
      <c r="BB113" s="451"/>
      <c r="BC113" s="451"/>
      <c r="BD113" s="451"/>
      <c r="BE113" s="451"/>
      <c r="BF113" s="451"/>
      <c r="BG113" s="451"/>
      <c r="BH113" s="451"/>
      <c r="BI113" s="451"/>
      <c r="BJ113" s="451"/>
      <c r="BK113" s="451"/>
      <c r="BL113" s="451"/>
      <c r="BM113" s="451"/>
      <c r="BN113" s="452"/>
      <c r="BO113" s="273"/>
      <c r="BP113" s="274"/>
      <c r="BQ113" s="274"/>
      <c r="BR113" s="275"/>
      <c r="BS113" s="11"/>
      <c r="BT113" s="10"/>
      <c r="CB113" s="21"/>
      <c r="CC113" s="501"/>
      <c r="CD113" s="501"/>
      <c r="CE113" s="501"/>
      <c r="CF113" s="501"/>
      <c r="CG113" s="501"/>
      <c r="CH113" s="501"/>
      <c r="CI113" s="501"/>
      <c r="CJ113" s="501"/>
      <c r="CK113" s="501"/>
      <c r="CL113" s="501"/>
      <c r="CM113" s="501"/>
      <c r="CN113" s="501"/>
      <c r="CO113" s="501"/>
      <c r="CP113" s="501"/>
      <c r="CQ113" s="501"/>
      <c r="CR113" s="11"/>
      <c r="CS113" s="11"/>
      <c r="CT113" s="11"/>
      <c r="CU113" s="11"/>
      <c r="CV113" s="11"/>
      <c r="CW113" s="11"/>
      <c r="CX113" s="11"/>
      <c r="CY113" s="11"/>
      <c r="CZ113" s="11"/>
      <c r="DA113" s="11"/>
      <c r="DB113" s="11"/>
      <c r="DC113" s="496"/>
      <c r="DD113" s="496"/>
      <c r="DE113" s="496"/>
      <c r="DF113" s="496"/>
      <c r="DG113" s="496"/>
      <c r="DH113" s="496"/>
      <c r="DI113" s="496"/>
      <c r="DJ113" s="496"/>
      <c r="DK113" s="496"/>
      <c r="DL113" s="496"/>
      <c r="DM113" s="496"/>
      <c r="DN113" s="496"/>
      <c r="DO113" s="496"/>
      <c r="DP113" s="496"/>
      <c r="DQ113" s="496"/>
      <c r="DR113" s="496"/>
      <c r="DS113" s="496"/>
      <c r="DT113" s="496"/>
      <c r="DU113" s="496"/>
      <c r="DV113" s="496"/>
      <c r="DW113" s="496"/>
      <c r="DX113" s="496"/>
      <c r="DY113" s="496"/>
      <c r="DZ113" s="496"/>
      <c r="EA113" s="496"/>
      <c r="EB113" s="496"/>
      <c r="EC113" s="496"/>
      <c r="ED113" s="496"/>
      <c r="EE113" s="496"/>
      <c r="EF113" s="496"/>
      <c r="EG113" s="496"/>
      <c r="EH113" s="496"/>
      <c r="EI113" s="496"/>
      <c r="EJ113" s="496"/>
      <c r="EK113" s="496"/>
      <c r="EL113" s="496"/>
      <c r="EM113" s="496"/>
      <c r="EN113" s="496"/>
      <c r="EO113" s="496"/>
      <c r="EP113" s="496"/>
      <c r="EQ113" s="11"/>
      <c r="ER113" s="11"/>
      <c r="ES113" s="10"/>
    </row>
    <row r="114" spans="3:150" ht="12.65" customHeight="1">
      <c r="C114" s="2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59"/>
      <c r="AL114" s="59"/>
      <c r="AM114" s="59"/>
      <c r="AN114" s="59"/>
      <c r="AO114" s="59"/>
      <c r="AP114" s="59"/>
      <c r="AQ114" s="59"/>
      <c r="AR114" s="59"/>
      <c r="AS114" s="59"/>
      <c r="AT114" s="59"/>
      <c r="AU114" s="59"/>
      <c r="AV114" s="59"/>
      <c r="AW114" s="59"/>
      <c r="AX114" s="59"/>
      <c r="AY114" s="59"/>
      <c r="AZ114" s="59"/>
      <c r="BA114" s="59"/>
      <c r="BB114" s="59"/>
      <c r="BC114" s="59"/>
      <c r="BD114" s="59"/>
      <c r="BE114" s="59"/>
      <c r="BF114" s="59"/>
      <c r="BG114" s="59"/>
      <c r="BH114" s="59"/>
      <c r="BI114" s="59"/>
      <c r="BJ114" s="59"/>
      <c r="BK114" s="59"/>
      <c r="BL114" s="59"/>
      <c r="BM114" s="59"/>
      <c r="BN114" s="59"/>
      <c r="BO114" s="59"/>
      <c r="BP114" s="59"/>
      <c r="BQ114" s="59"/>
      <c r="BR114" s="59"/>
      <c r="BS114" s="11"/>
      <c r="BT114" s="10"/>
      <c r="CB114" s="21"/>
      <c r="CC114" s="501"/>
      <c r="CD114" s="501"/>
      <c r="CE114" s="501"/>
      <c r="CF114" s="501"/>
      <c r="CG114" s="501"/>
      <c r="CH114" s="501"/>
      <c r="CI114" s="501"/>
      <c r="CJ114" s="501"/>
      <c r="CK114" s="501"/>
      <c r="CL114" s="501"/>
      <c r="CM114" s="501"/>
      <c r="CN114" s="501"/>
      <c r="CO114" s="501"/>
      <c r="CP114" s="501"/>
      <c r="CQ114" s="501"/>
      <c r="CR114" s="11"/>
      <c r="CS114" s="11"/>
      <c r="CT114" s="11"/>
      <c r="CU114" s="11"/>
      <c r="CV114" s="11"/>
      <c r="CW114" s="11"/>
      <c r="CX114" s="11"/>
      <c r="CY114" s="11"/>
      <c r="CZ114" s="11"/>
      <c r="DA114" s="11"/>
      <c r="DB114" s="11"/>
      <c r="DC114" s="494"/>
      <c r="DD114" s="494"/>
      <c r="DE114" s="494"/>
      <c r="DF114" s="494"/>
      <c r="DG114" s="494"/>
      <c r="DH114" s="494"/>
      <c r="DI114" s="494"/>
      <c r="DJ114" s="494"/>
      <c r="DK114" s="494"/>
      <c r="DL114" s="494"/>
      <c r="DM114" s="494"/>
      <c r="DN114" s="494"/>
      <c r="DO114" s="494"/>
      <c r="DP114" s="494"/>
      <c r="DQ114" s="494"/>
      <c r="DR114" s="494"/>
      <c r="DS114" s="494"/>
      <c r="DT114" s="494"/>
      <c r="DU114" s="494"/>
      <c r="DV114" s="494"/>
      <c r="DW114" s="494"/>
      <c r="DX114" s="494"/>
      <c r="DY114" s="494"/>
      <c r="DZ114" s="494"/>
      <c r="EA114" s="494"/>
      <c r="EB114" s="494"/>
      <c r="EC114" s="494"/>
      <c r="ED114" s="494"/>
      <c r="EE114" s="494"/>
      <c r="EF114" s="494"/>
      <c r="EG114" s="494"/>
      <c r="EH114" s="494"/>
      <c r="EI114" s="494"/>
      <c r="EJ114" s="494"/>
      <c r="EK114" s="494"/>
      <c r="EL114" s="494"/>
      <c r="EM114" s="494"/>
      <c r="EN114" s="494"/>
      <c r="EO114" s="494"/>
      <c r="EP114" s="494"/>
      <c r="EQ114" s="11"/>
      <c r="ER114" s="11"/>
      <c r="ES114" s="10"/>
    </row>
    <row r="115" spans="3:150" ht="12.65" customHeight="1">
      <c r="C115" s="21"/>
      <c r="D115" s="12"/>
      <c r="E115" s="12"/>
      <c r="F115" s="12"/>
      <c r="G115" s="12"/>
      <c r="H115" s="12"/>
      <c r="I115" s="12"/>
      <c r="J115" s="12"/>
      <c r="K115" s="12"/>
      <c r="L115" s="12"/>
      <c r="M115" s="12"/>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c r="AZ115" s="11"/>
      <c r="BA115" s="11"/>
      <c r="BB115" s="11"/>
      <c r="BC115" s="11"/>
      <c r="BD115" s="11"/>
      <c r="BE115" s="11"/>
      <c r="BF115" s="11"/>
      <c r="BG115" s="22"/>
      <c r="BH115" s="11"/>
      <c r="BI115" s="11"/>
      <c r="BJ115" s="11"/>
      <c r="BK115" s="11"/>
      <c r="BL115" s="11"/>
      <c r="BM115" s="11"/>
      <c r="BN115" s="11"/>
      <c r="BO115" s="22"/>
      <c r="BP115" s="11"/>
      <c r="BQ115" s="11"/>
      <c r="BR115" s="11"/>
      <c r="BS115" s="11"/>
      <c r="BT115" s="10"/>
      <c r="CB115" s="21"/>
      <c r="CC115" s="501"/>
      <c r="CD115" s="501"/>
      <c r="CE115" s="501"/>
      <c r="CF115" s="501"/>
      <c r="CG115" s="501"/>
      <c r="CH115" s="501"/>
      <c r="CI115" s="501"/>
      <c r="CJ115" s="501"/>
      <c r="CK115" s="501"/>
      <c r="CL115" s="501"/>
      <c r="CM115" s="501"/>
      <c r="CN115" s="501"/>
      <c r="CO115" s="501"/>
      <c r="CP115" s="501"/>
      <c r="CQ115" s="501"/>
      <c r="CR115" s="11"/>
      <c r="CS115" s="11"/>
      <c r="CT115" s="11"/>
      <c r="CU115" s="11"/>
      <c r="CV115" s="11"/>
      <c r="CW115" s="11"/>
      <c r="CX115" s="11"/>
      <c r="CY115" s="11"/>
      <c r="CZ115" s="11"/>
      <c r="DA115" s="11"/>
      <c r="DB115" s="11"/>
      <c r="DC115" s="494"/>
      <c r="DD115" s="494"/>
      <c r="DE115" s="494"/>
      <c r="DF115" s="494"/>
      <c r="DG115" s="494"/>
      <c r="DH115" s="494"/>
      <c r="DI115" s="494"/>
      <c r="DJ115" s="494"/>
      <c r="DK115" s="494"/>
      <c r="DL115" s="494"/>
      <c r="DM115" s="494"/>
      <c r="DN115" s="494"/>
      <c r="DO115" s="494"/>
      <c r="DP115" s="494"/>
      <c r="DQ115" s="494"/>
      <c r="DR115" s="494"/>
      <c r="DS115" s="494"/>
      <c r="DT115" s="494"/>
      <c r="DU115" s="494"/>
      <c r="DV115" s="494"/>
      <c r="DW115" s="494"/>
      <c r="DX115" s="494"/>
      <c r="DY115" s="494"/>
      <c r="DZ115" s="494"/>
      <c r="EA115" s="494"/>
      <c r="EB115" s="494"/>
      <c r="EC115" s="494"/>
      <c r="ED115" s="494"/>
      <c r="EE115" s="494"/>
      <c r="EF115" s="494"/>
      <c r="EG115" s="494"/>
      <c r="EH115" s="494"/>
      <c r="EI115" s="494"/>
      <c r="EJ115" s="494"/>
      <c r="EK115" s="494"/>
      <c r="EL115" s="494"/>
      <c r="EM115" s="494"/>
      <c r="EN115" s="494"/>
      <c r="EO115" s="494"/>
      <c r="EP115" s="494"/>
      <c r="EQ115" s="11"/>
      <c r="ER115" s="11"/>
      <c r="ES115" s="10"/>
    </row>
    <row r="116" spans="3:150" ht="12.65" customHeight="1">
      <c r="C116" s="20"/>
      <c r="D116" s="60"/>
      <c r="E116" s="60"/>
      <c r="F116" s="60"/>
      <c r="G116" s="60"/>
      <c r="H116" s="60"/>
      <c r="I116" s="60"/>
      <c r="J116" s="60"/>
      <c r="K116" s="60"/>
      <c r="L116" s="60"/>
      <c r="M116" s="60"/>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6"/>
      <c r="BE116" s="6"/>
      <c r="BF116" s="6"/>
      <c r="BG116" s="61"/>
      <c r="BH116" s="6"/>
      <c r="BI116" s="6"/>
      <c r="BJ116" s="6"/>
      <c r="BK116" s="6"/>
      <c r="BL116" s="6"/>
      <c r="BM116" s="6"/>
      <c r="BN116" s="6"/>
      <c r="BO116" s="61"/>
      <c r="BP116" s="6"/>
      <c r="BQ116" s="6"/>
      <c r="BR116" s="6"/>
      <c r="BS116" s="6"/>
      <c r="BT116" s="5"/>
      <c r="CB116" s="20"/>
      <c r="CC116" s="6"/>
      <c r="CD116" s="6"/>
      <c r="CE116" s="6"/>
      <c r="CF116" s="6"/>
      <c r="CG116" s="6"/>
      <c r="CH116" s="6"/>
      <c r="CI116" s="6"/>
      <c r="CJ116" s="6"/>
      <c r="CK116" s="6"/>
      <c r="CL116" s="6"/>
      <c r="CM116" s="6"/>
      <c r="CN116" s="6"/>
      <c r="CO116" s="6"/>
      <c r="CP116" s="6"/>
      <c r="CQ116" s="6"/>
      <c r="CR116" s="6"/>
      <c r="CS116" s="6"/>
      <c r="CT116" s="6"/>
      <c r="CU116" s="6"/>
      <c r="CV116" s="6"/>
      <c r="CW116" s="6"/>
      <c r="CX116" s="6"/>
      <c r="CY116" s="6"/>
      <c r="CZ116" s="6"/>
      <c r="DA116" s="6"/>
      <c r="DB116" s="6"/>
      <c r="DC116" s="495"/>
      <c r="DD116" s="495"/>
      <c r="DE116" s="495"/>
      <c r="DF116" s="495"/>
      <c r="DG116" s="495"/>
      <c r="DH116" s="495"/>
      <c r="DI116" s="495"/>
      <c r="DJ116" s="495"/>
      <c r="DK116" s="495"/>
      <c r="DL116" s="495"/>
      <c r="DM116" s="495"/>
      <c r="DN116" s="495"/>
      <c r="DO116" s="495"/>
      <c r="DP116" s="495"/>
      <c r="DQ116" s="495"/>
      <c r="DR116" s="495"/>
      <c r="DS116" s="495"/>
      <c r="DT116" s="495"/>
      <c r="DU116" s="495"/>
      <c r="DV116" s="495"/>
      <c r="DW116" s="495"/>
      <c r="DX116" s="495"/>
      <c r="DY116" s="495"/>
      <c r="DZ116" s="495"/>
      <c r="EA116" s="495"/>
      <c r="EB116" s="495"/>
      <c r="EC116" s="495"/>
      <c r="ED116" s="495"/>
      <c r="EE116" s="495"/>
      <c r="EF116" s="495"/>
      <c r="EG116" s="495"/>
      <c r="EH116" s="495"/>
      <c r="EI116" s="495"/>
      <c r="EJ116" s="495"/>
      <c r="EK116" s="495"/>
      <c r="EL116" s="495"/>
      <c r="EM116" s="495"/>
      <c r="EN116" s="495"/>
      <c r="EO116" s="495"/>
      <c r="EP116" s="495"/>
      <c r="EQ116" s="6"/>
      <c r="ER116" s="6"/>
      <c r="ES116" s="5"/>
      <c r="ET116" s="2"/>
    </row>
    <row r="117" spans="3:150" ht="12.65" customHeight="1">
      <c r="C117" s="7"/>
      <c r="D117" s="9"/>
      <c r="E117" s="9"/>
      <c r="F117" s="9"/>
      <c r="G117" s="9"/>
      <c r="H117" s="9"/>
      <c r="I117" s="9"/>
      <c r="J117" s="9"/>
      <c r="K117" s="9"/>
      <c r="L117" s="9"/>
      <c r="M117" s="9"/>
      <c r="N117" s="7"/>
      <c r="O117" s="7"/>
      <c r="P117" s="7"/>
      <c r="Q117" s="7"/>
      <c r="R117" s="7"/>
      <c r="S117" s="7"/>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c r="BA117" s="7"/>
      <c r="BB117" s="7"/>
      <c r="BC117" s="7"/>
      <c r="BD117" s="7"/>
      <c r="BE117" s="7"/>
      <c r="BF117" s="7"/>
      <c r="BG117" s="8"/>
      <c r="BH117" s="7"/>
      <c r="BI117" s="7"/>
      <c r="BJ117" s="7"/>
      <c r="BK117" s="7"/>
      <c r="BL117" s="7"/>
      <c r="BM117" s="7"/>
      <c r="BN117" s="7"/>
      <c r="BO117" s="7"/>
      <c r="EQ117" s="74"/>
    </row>
    <row r="118" spans="3:150" ht="12.65" customHeight="1">
      <c r="C118" s="7"/>
      <c r="D118" s="9"/>
      <c r="E118" s="9"/>
      <c r="F118" s="9"/>
      <c r="G118" s="9"/>
      <c r="H118" s="9"/>
      <c r="I118" s="9"/>
      <c r="J118" s="9"/>
      <c r="K118" s="9"/>
      <c r="L118" s="9"/>
      <c r="M118" s="9"/>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c r="BE118" s="7"/>
      <c r="BF118" s="7"/>
      <c r="BG118" s="8"/>
      <c r="BH118" s="7"/>
      <c r="BI118" s="7"/>
      <c r="BJ118" s="7"/>
      <c r="BK118" s="7"/>
      <c r="BL118" s="7"/>
      <c r="BM118" s="7"/>
      <c r="BN118" s="7"/>
      <c r="BO118" s="7"/>
    </row>
    <row r="119" spans="3:150" ht="12.65" customHeight="1">
      <c r="CU119" s="77"/>
      <c r="CV119" s="77"/>
      <c r="CW119" s="77"/>
      <c r="CX119" s="77"/>
      <c r="CY119" s="77"/>
      <c r="CZ119" s="77"/>
      <c r="DA119" s="77"/>
      <c r="DB119" s="77"/>
      <c r="DC119" s="77"/>
      <c r="DD119" s="77"/>
      <c r="DE119" s="77"/>
      <c r="DF119" s="77"/>
      <c r="DG119" s="77"/>
      <c r="DH119" s="77"/>
      <c r="DI119" s="77"/>
      <c r="DJ119" s="77"/>
      <c r="DK119" s="77"/>
      <c r="DL119" s="77"/>
      <c r="DM119" s="77"/>
      <c r="DN119" s="77"/>
      <c r="DO119" s="77"/>
      <c r="DP119" s="77"/>
      <c r="DQ119" s="77"/>
      <c r="DR119" s="77"/>
      <c r="DS119" s="77"/>
      <c r="DT119" s="77"/>
      <c r="DU119" s="77"/>
      <c r="DV119" s="77"/>
      <c r="DW119" s="77"/>
      <c r="DX119" s="77"/>
      <c r="DY119" s="77"/>
      <c r="DZ119" s="77"/>
      <c r="EA119" s="77"/>
      <c r="EB119" s="77"/>
      <c r="EC119" s="77"/>
      <c r="ED119" s="77"/>
      <c r="EE119" s="77"/>
      <c r="EF119" s="77"/>
      <c r="EG119" s="77"/>
      <c r="EH119" s="77"/>
      <c r="EI119" s="77"/>
      <c r="EJ119" s="77"/>
      <c r="EK119" s="77"/>
      <c r="EL119" s="77"/>
      <c r="EM119" s="77"/>
      <c r="EN119" s="77"/>
      <c r="EO119" s="77"/>
      <c r="EP119" s="77"/>
    </row>
    <row r="120" spans="3:150" ht="12.65" customHeight="1">
      <c r="CU120" s="77"/>
      <c r="CV120" s="77"/>
      <c r="CW120" s="77"/>
      <c r="CX120" s="77"/>
      <c r="CY120" s="77"/>
      <c r="CZ120" s="77"/>
      <c r="DA120" s="77"/>
      <c r="DB120" s="77"/>
      <c r="DC120" s="77"/>
      <c r="DD120" s="77"/>
      <c r="DE120" s="77"/>
      <c r="DF120" s="77"/>
      <c r="DG120" s="77"/>
      <c r="DH120" s="77"/>
      <c r="DI120" s="77"/>
      <c r="DJ120" s="77"/>
      <c r="DK120" s="77"/>
      <c r="DL120" s="77"/>
      <c r="DM120" s="77"/>
      <c r="DN120" s="77"/>
      <c r="DO120" s="77"/>
      <c r="DP120" s="77"/>
      <c r="DQ120" s="77"/>
      <c r="DR120" s="77"/>
      <c r="DS120" s="77"/>
      <c r="DT120" s="77"/>
      <c r="DU120" s="77"/>
      <c r="DV120" s="77"/>
      <c r="DW120" s="77"/>
      <c r="DX120" s="77"/>
      <c r="DY120" s="77"/>
      <c r="DZ120" s="77"/>
      <c r="EA120" s="77"/>
      <c r="EB120" s="77"/>
      <c r="EC120" s="77"/>
      <c r="ED120" s="77"/>
      <c r="EE120" s="77"/>
      <c r="EF120" s="77"/>
      <c r="EG120" s="77"/>
      <c r="EH120" s="77"/>
      <c r="EI120" s="77"/>
      <c r="EJ120" s="77"/>
      <c r="EK120" s="77"/>
      <c r="EL120" s="77"/>
      <c r="EM120" s="77"/>
      <c r="EN120" s="77"/>
      <c r="EO120" s="77"/>
      <c r="EP120" s="77"/>
    </row>
  </sheetData>
  <mergeCells count="354">
    <mergeCell ref="DD71:DN73"/>
    <mergeCell ref="DO68:EC70"/>
    <mergeCell ref="DO71:EC73"/>
    <mergeCell ref="DD66:DN67"/>
    <mergeCell ref="DD68:DN70"/>
    <mergeCell ref="DY103:EH106"/>
    <mergeCell ref="EI103:EP106"/>
    <mergeCell ref="CC109:CQ111"/>
    <mergeCell ref="CC112:CQ115"/>
    <mergeCell ref="CC68:CL71"/>
    <mergeCell ref="CM68:CZ71"/>
    <mergeCell ref="CC103:CK106"/>
    <mergeCell ref="CL103:CZ106"/>
    <mergeCell ref="DB103:DK106"/>
    <mergeCell ref="DL103:DU106"/>
    <mergeCell ref="DB82:DK85"/>
    <mergeCell ref="DL82:DU85"/>
    <mergeCell ref="DY82:EF85"/>
    <mergeCell ref="EG82:EO85"/>
    <mergeCell ref="CC88:CP90"/>
    <mergeCell ref="CC91:CP94"/>
    <mergeCell ref="CC82:CL85"/>
    <mergeCell ref="CM82:CZ85"/>
    <mergeCell ref="EO67:ER68"/>
    <mergeCell ref="BO112:BR113"/>
    <mergeCell ref="DC114:EP116"/>
    <mergeCell ref="AM110:BN111"/>
    <mergeCell ref="BO110:BR111"/>
    <mergeCell ref="DC111:EP113"/>
    <mergeCell ref="D112:K113"/>
    <mergeCell ref="L112:N113"/>
    <mergeCell ref="O112:Q113"/>
    <mergeCell ref="R112:T113"/>
    <mergeCell ref="U112:AI113"/>
    <mergeCell ref="AJ112:AL113"/>
    <mergeCell ref="AM112:BN113"/>
    <mergeCell ref="D110:K111"/>
    <mergeCell ref="L110:N111"/>
    <mergeCell ref="O110:Q111"/>
    <mergeCell ref="R110:T111"/>
    <mergeCell ref="U110:AI111"/>
    <mergeCell ref="AJ110:AL111"/>
    <mergeCell ref="AM106:BN107"/>
    <mergeCell ref="BO106:BR107"/>
    <mergeCell ref="D108:K109"/>
    <mergeCell ref="L108:N109"/>
    <mergeCell ref="O108:Q109"/>
    <mergeCell ref="R108:T109"/>
    <mergeCell ref="U108:AI109"/>
    <mergeCell ref="AJ108:AL109"/>
    <mergeCell ref="AM108:BN109"/>
    <mergeCell ref="BO108:BR109"/>
    <mergeCell ref="D106:K107"/>
    <mergeCell ref="L106:N107"/>
    <mergeCell ref="O106:Q107"/>
    <mergeCell ref="R106:T107"/>
    <mergeCell ref="U106:AI107"/>
    <mergeCell ref="AJ106:AL107"/>
    <mergeCell ref="AM102:BN103"/>
    <mergeCell ref="BO102:BR103"/>
    <mergeCell ref="D104:K105"/>
    <mergeCell ref="L104:N105"/>
    <mergeCell ref="O104:Q105"/>
    <mergeCell ref="R104:T105"/>
    <mergeCell ref="U104:AI105"/>
    <mergeCell ref="AJ104:AL105"/>
    <mergeCell ref="AM104:BN105"/>
    <mergeCell ref="BO104:BR105"/>
    <mergeCell ref="D102:K103"/>
    <mergeCell ref="L102:N103"/>
    <mergeCell ref="O102:Q103"/>
    <mergeCell ref="R102:T103"/>
    <mergeCell ref="U102:AI103"/>
    <mergeCell ref="AJ102:AL103"/>
    <mergeCell ref="D100:K101"/>
    <mergeCell ref="L100:N101"/>
    <mergeCell ref="O100:Q101"/>
    <mergeCell ref="R100:T101"/>
    <mergeCell ref="U100:AI101"/>
    <mergeCell ref="AJ100:AL101"/>
    <mergeCell ref="AM100:BN101"/>
    <mergeCell ref="BO100:BR101"/>
    <mergeCell ref="AM96:BN97"/>
    <mergeCell ref="BO96:BR97"/>
    <mergeCell ref="D98:K99"/>
    <mergeCell ref="L98:N99"/>
    <mergeCell ref="O98:Q99"/>
    <mergeCell ref="R98:T99"/>
    <mergeCell ref="U98:AI99"/>
    <mergeCell ref="AJ98:AL99"/>
    <mergeCell ref="AM98:BN99"/>
    <mergeCell ref="BO98:BR99"/>
    <mergeCell ref="D96:K97"/>
    <mergeCell ref="L96:N97"/>
    <mergeCell ref="O96:Q97"/>
    <mergeCell ref="R96:T97"/>
    <mergeCell ref="U96:AI97"/>
    <mergeCell ref="AJ96:AL97"/>
    <mergeCell ref="AM92:BN93"/>
    <mergeCell ref="BO92:BR93"/>
    <mergeCell ref="D94:K95"/>
    <mergeCell ref="L94:N95"/>
    <mergeCell ref="O94:Q95"/>
    <mergeCell ref="R94:T95"/>
    <mergeCell ref="U94:AI95"/>
    <mergeCell ref="AJ94:AL95"/>
    <mergeCell ref="AM94:BN95"/>
    <mergeCell ref="BO94:BR95"/>
    <mergeCell ref="D92:K93"/>
    <mergeCell ref="L92:N93"/>
    <mergeCell ref="O92:Q93"/>
    <mergeCell ref="R92:T93"/>
    <mergeCell ref="U92:AI93"/>
    <mergeCell ref="AJ92:AL93"/>
    <mergeCell ref="AM88:BN89"/>
    <mergeCell ref="BO88:BR89"/>
    <mergeCell ref="D90:K91"/>
    <mergeCell ref="L90:N91"/>
    <mergeCell ref="O90:Q91"/>
    <mergeCell ref="R90:T91"/>
    <mergeCell ref="U90:AI91"/>
    <mergeCell ref="AJ90:AL91"/>
    <mergeCell ref="AM90:BN91"/>
    <mergeCell ref="BO90:BR91"/>
    <mergeCell ref="D88:K89"/>
    <mergeCell ref="L88:N89"/>
    <mergeCell ref="O88:Q89"/>
    <mergeCell ref="R88:T89"/>
    <mergeCell ref="U88:AI89"/>
    <mergeCell ref="AJ88:AL89"/>
    <mergeCell ref="D86:K87"/>
    <mergeCell ref="L86:N87"/>
    <mergeCell ref="O86:Q87"/>
    <mergeCell ref="R86:T87"/>
    <mergeCell ref="U86:AI87"/>
    <mergeCell ref="AJ86:AL87"/>
    <mergeCell ref="AM86:BN87"/>
    <mergeCell ref="BO86:BR87"/>
    <mergeCell ref="D84:K85"/>
    <mergeCell ref="L84:N85"/>
    <mergeCell ref="O84:Q85"/>
    <mergeCell ref="R84:T85"/>
    <mergeCell ref="U84:AI85"/>
    <mergeCell ref="AJ84:AL85"/>
    <mergeCell ref="AM84:BN85"/>
    <mergeCell ref="BO84:BR85"/>
    <mergeCell ref="BO80:BR81"/>
    <mergeCell ref="D82:K83"/>
    <mergeCell ref="L82:N83"/>
    <mergeCell ref="O82:Q83"/>
    <mergeCell ref="R82:T83"/>
    <mergeCell ref="U82:AI83"/>
    <mergeCell ref="AJ82:AL83"/>
    <mergeCell ref="AM82:BN83"/>
    <mergeCell ref="BO82:BR83"/>
    <mergeCell ref="D80:K81"/>
    <mergeCell ref="L80:N81"/>
    <mergeCell ref="O80:Q81"/>
    <mergeCell ref="R80:T81"/>
    <mergeCell ref="U80:AI81"/>
    <mergeCell ref="AJ80:AL81"/>
    <mergeCell ref="AM80:BN81"/>
    <mergeCell ref="AM76:BN77"/>
    <mergeCell ref="BO76:BR77"/>
    <mergeCell ref="D78:K79"/>
    <mergeCell ref="L78:N79"/>
    <mergeCell ref="O78:Q79"/>
    <mergeCell ref="R78:T79"/>
    <mergeCell ref="U78:AI79"/>
    <mergeCell ref="AJ78:AL79"/>
    <mergeCell ref="AM78:BN79"/>
    <mergeCell ref="BO78:BR79"/>
    <mergeCell ref="D76:K77"/>
    <mergeCell ref="L76:N77"/>
    <mergeCell ref="O76:Q77"/>
    <mergeCell ref="R76:T77"/>
    <mergeCell ref="U76:AI77"/>
    <mergeCell ref="AJ76:AL77"/>
    <mergeCell ref="D74:K75"/>
    <mergeCell ref="L74:N75"/>
    <mergeCell ref="O74:Q75"/>
    <mergeCell ref="R74:T75"/>
    <mergeCell ref="U74:AI75"/>
    <mergeCell ref="AJ74:AL75"/>
    <mergeCell ref="AM72:BN73"/>
    <mergeCell ref="BO72:BR73"/>
    <mergeCell ref="AM74:BN75"/>
    <mergeCell ref="BO74:BR75"/>
    <mergeCell ref="AM70:BN71"/>
    <mergeCell ref="BO70:BR71"/>
    <mergeCell ref="D72:K73"/>
    <mergeCell ref="L72:N73"/>
    <mergeCell ref="O72:Q73"/>
    <mergeCell ref="R72:T73"/>
    <mergeCell ref="U72:AI73"/>
    <mergeCell ref="AJ72:AL73"/>
    <mergeCell ref="D70:K71"/>
    <mergeCell ref="L70:N71"/>
    <mergeCell ref="O70:Q71"/>
    <mergeCell ref="R70:T71"/>
    <mergeCell ref="U70:AI71"/>
    <mergeCell ref="AJ70:AL71"/>
    <mergeCell ref="EK67:EN68"/>
    <mergeCell ref="D66:K67"/>
    <mergeCell ref="L66:N67"/>
    <mergeCell ref="O66:Q67"/>
    <mergeCell ref="R66:T67"/>
    <mergeCell ref="U66:AI67"/>
    <mergeCell ref="AJ66:AL67"/>
    <mergeCell ref="EK63:ER64"/>
    <mergeCell ref="BO65:BR65"/>
    <mergeCell ref="EK65:EN66"/>
    <mergeCell ref="EO65:ER66"/>
    <mergeCell ref="D68:K69"/>
    <mergeCell ref="L68:N69"/>
    <mergeCell ref="O68:Q69"/>
    <mergeCell ref="R68:T69"/>
    <mergeCell ref="U68:AI69"/>
    <mergeCell ref="AJ68:AL69"/>
    <mergeCell ref="AM68:BN69"/>
    <mergeCell ref="BO68:BR69"/>
    <mergeCell ref="DO66:EC67"/>
    <mergeCell ref="AM66:BN67"/>
    <mergeCell ref="BO66:BR67"/>
    <mergeCell ref="CC54:CL56"/>
    <mergeCell ref="CM54:CV56"/>
    <mergeCell ref="CZ54:DI56"/>
    <mergeCell ref="DJ54:DS56"/>
    <mergeCell ref="D56:AA57"/>
    <mergeCell ref="D52:M53"/>
    <mergeCell ref="N52:Q53"/>
    <mergeCell ref="R52:BN53"/>
    <mergeCell ref="BO52:BR53"/>
    <mergeCell ref="D54:M55"/>
    <mergeCell ref="N54:Q55"/>
    <mergeCell ref="R54:BN55"/>
    <mergeCell ref="BO54:BR55"/>
    <mergeCell ref="CM46:EK51"/>
    <mergeCell ref="D48:M49"/>
    <mergeCell ref="N48:Q49"/>
    <mergeCell ref="R48:BN49"/>
    <mergeCell ref="BO48:BR49"/>
    <mergeCell ref="D50:M51"/>
    <mergeCell ref="N50:Q51"/>
    <mergeCell ref="R50:BN51"/>
    <mergeCell ref="BO50:BR51"/>
    <mergeCell ref="D44:M45"/>
    <mergeCell ref="N44:Q45"/>
    <mergeCell ref="R44:BN45"/>
    <mergeCell ref="BO44:BR45"/>
    <mergeCell ref="D46:M47"/>
    <mergeCell ref="N46:Q47"/>
    <mergeCell ref="R46:BN47"/>
    <mergeCell ref="BO46:BR47"/>
    <mergeCell ref="D40:M41"/>
    <mergeCell ref="N40:Q41"/>
    <mergeCell ref="R40:BN41"/>
    <mergeCell ref="BO40:BR41"/>
    <mergeCell ref="D42:M43"/>
    <mergeCell ref="N42:Q43"/>
    <mergeCell ref="R42:BN43"/>
    <mergeCell ref="BO42:BR43"/>
    <mergeCell ref="DN37:DQ38"/>
    <mergeCell ref="EI38:EL39"/>
    <mergeCell ref="EM38:EP39"/>
    <mergeCell ref="DB39:DE40"/>
    <mergeCell ref="DF39:DI40"/>
    <mergeCell ref="DJ39:DM40"/>
    <mergeCell ref="DN39:DQ40"/>
    <mergeCell ref="DR39:DU40"/>
    <mergeCell ref="DV39:DY40"/>
    <mergeCell ref="DZ39:EC40"/>
    <mergeCell ref="ED39:EG40"/>
    <mergeCell ref="DV37:DY38"/>
    <mergeCell ref="DZ37:EC38"/>
    <mergeCell ref="ED37:EG38"/>
    <mergeCell ref="DR37:DU38"/>
    <mergeCell ref="DB35:DQ36"/>
    <mergeCell ref="DR35:EG36"/>
    <mergeCell ref="EI35:EP35"/>
    <mergeCell ref="D36:M37"/>
    <mergeCell ref="N36:Q37"/>
    <mergeCell ref="R36:BN37"/>
    <mergeCell ref="BO36:BR37"/>
    <mergeCell ref="EI36:EL37"/>
    <mergeCell ref="EM36:EP37"/>
    <mergeCell ref="CC37:CL38"/>
    <mergeCell ref="D34:M35"/>
    <mergeCell ref="N34:Q35"/>
    <mergeCell ref="R34:BN35"/>
    <mergeCell ref="BO34:BR35"/>
    <mergeCell ref="CC35:CL36"/>
    <mergeCell ref="CM35:CV36"/>
    <mergeCell ref="D38:M39"/>
    <mergeCell ref="N38:Q39"/>
    <mergeCell ref="R38:BN39"/>
    <mergeCell ref="BO38:BR39"/>
    <mergeCell ref="CM37:CV38"/>
    <mergeCell ref="DB37:DE38"/>
    <mergeCell ref="DF37:DI38"/>
    <mergeCell ref="DJ37:DM38"/>
    <mergeCell ref="D30:M31"/>
    <mergeCell ref="N30:Q31"/>
    <mergeCell ref="R30:BN31"/>
    <mergeCell ref="BO30:BR31"/>
    <mergeCell ref="D32:M33"/>
    <mergeCell ref="N32:Q33"/>
    <mergeCell ref="R32:BN33"/>
    <mergeCell ref="BO32:BR33"/>
    <mergeCell ref="DW27:ED28"/>
    <mergeCell ref="D24:M25"/>
    <mergeCell ref="N24:Q25"/>
    <mergeCell ref="R24:BN25"/>
    <mergeCell ref="BO24:BR25"/>
    <mergeCell ref="CC24:CR25"/>
    <mergeCell ref="DW24:EL24"/>
    <mergeCell ref="DW25:ED26"/>
    <mergeCell ref="EE25:EL26"/>
    <mergeCell ref="D26:M27"/>
    <mergeCell ref="N26:Q27"/>
    <mergeCell ref="EE27:EL28"/>
    <mergeCell ref="D28:M29"/>
    <mergeCell ref="N28:Q29"/>
    <mergeCell ref="R28:BN29"/>
    <mergeCell ref="BO28:BR29"/>
    <mergeCell ref="R26:BN27"/>
    <mergeCell ref="BO26:BR27"/>
    <mergeCell ref="CC26:CL28"/>
    <mergeCell ref="CM26:CV28"/>
    <mergeCell ref="CZ26:DI28"/>
    <mergeCell ref="DJ26:DS28"/>
    <mergeCell ref="D8:M10"/>
    <mergeCell ref="N8:Z10"/>
    <mergeCell ref="AA8:AJ10"/>
    <mergeCell ref="D11:M13"/>
    <mergeCell ref="N11:Z13"/>
    <mergeCell ref="AA11:AJ13"/>
    <mergeCell ref="DJ20:DS21"/>
    <mergeCell ref="DW20:EF21"/>
    <mergeCell ref="EG20:EL21"/>
    <mergeCell ref="D22:M23"/>
    <mergeCell ref="N22:Q23"/>
    <mergeCell ref="R22:BN23"/>
    <mergeCell ref="BO22:BR23"/>
    <mergeCell ref="CC18:CL19"/>
    <mergeCell ref="DW18:EF19"/>
    <mergeCell ref="BO19:BR19"/>
    <mergeCell ref="D20:M21"/>
    <mergeCell ref="N20:Q21"/>
    <mergeCell ref="R20:BN21"/>
    <mergeCell ref="BO20:BR21"/>
    <mergeCell ref="CC20:CL21"/>
    <mergeCell ref="CM20:CV21"/>
    <mergeCell ref="CZ20:DI21"/>
  </mergeCells>
  <phoneticPr fontId="5"/>
  <conditionalFormatting sqref="AM68 EM69:EP69 EJ70 DA65:DC65 CM65 DA72:DC72 CM78 DA78:DC78 EJ72 DB94 DL94 DX94:DX95 DY94 DB35 DB37 DB39 DF37 DJ37 DN37 DR35 DR37 DV37 DZ37 ED37 DR39 DV39 DZ39 ED39 CM35 CU119 CM46 AM70 AM72 AM74 AM76 AM78 AM80 AM82 AM84 AM86 AM88 AM90 AM92 AM94 AM96 AM98 AM100 AM102 AM104 AM106 AM108 AM110 AM112 DF39 DJ39 DN39 EI108 CM43 CN44 EJ74:EM74 EN70:EP75 EK70:EM73 DJ76:EJ76 EL76:EP76 EK75:EK76 CQ77:DD77 CQ76:DE76 DL77:EP77">
    <cfRule type="cellIs" dxfId="367" priority="374" operator="equal">
      <formula>0</formula>
    </cfRule>
  </conditionalFormatting>
  <conditionalFormatting sqref="DL108">
    <cfRule type="cellIs" dxfId="366" priority="373" operator="equal">
      <formula>0</formula>
    </cfRule>
  </conditionalFormatting>
  <conditionalFormatting sqref="DA94:DA95">
    <cfRule type="cellIs" dxfId="365" priority="372" operator="equal">
      <formula>0</formula>
    </cfRule>
  </conditionalFormatting>
  <conditionalFormatting sqref="EJ71 DA73:DC75 EJ75 EJ73 EK69:EL69 EL75:EM75">
    <cfRule type="cellIs" dxfId="364" priority="371" operator="equal">
      <formula>0</formula>
    </cfRule>
  </conditionalFormatting>
  <conditionalFormatting sqref="CM20 CW21:CY21 CW20:CZ20 DJ20 DT21:DV21 DT20:DW20 EG20">
    <cfRule type="cellIs" dxfId="363" priority="370" operator="equal">
      <formula>0</formula>
    </cfRule>
  </conditionalFormatting>
  <conditionalFormatting sqref="D56">
    <cfRule type="cellIs" dxfId="362" priority="369" operator="equal">
      <formula>0</formula>
    </cfRule>
  </conditionalFormatting>
  <conditionalFormatting sqref="EA45:EC45">
    <cfRule type="cellIs" dxfId="361" priority="346" operator="equal">
      <formula>0</formula>
    </cfRule>
  </conditionalFormatting>
  <conditionalFormatting sqref="DI45">
    <cfRule type="cellIs" dxfId="360" priority="334" operator="equal">
      <formula>0</formula>
    </cfRule>
  </conditionalFormatting>
  <conditionalFormatting sqref="DZ53:EG53 DA53:DR53">
    <cfRule type="cellIs" dxfId="359" priority="368" operator="equal">
      <formula>0</formula>
    </cfRule>
  </conditionalFormatting>
  <conditionalFormatting sqref="DZ52:EG52 CZ52:DR52">
    <cfRule type="cellIs" dxfId="358" priority="367" operator="equal">
      <formula>0</formula>
    </cfRule>
  </conditionalFormatting>
  <conditionalFormatting sqref="DG57:DI59">
    <cfRule type="cellIs" dxfId="357" priority="301" operator="equal">
      <formula>0</formula>
    </cfRule>
  </conditionalFormatting>
  <conditionalFormatting sqref="CM45:CN45">
    <cfRule type="cellIs" dxfId="356" priority="340" operator="equal">
      <formula>0</formula>
    </cfRule>
  </conditionalFormatting>
  <conditionalFormatting sqref="R22 R24 R26 R28 R30 R32 R34 R36 R38 R40 R42 R44 R46 R48 R50 R52 R54">
    <cfRule type="cellIs" dxfId="355" priority="365" operator="equal">
      <formula>0</formula>
    </cfRule>
  </conditionalFormatting>
  <conditionalFormatting sqref="CM72">
    <cfRule type="cellIs" dxfId="354" priority="366" operator="equal">
      <formula>0</formula>
    </cfRule>
  </conditionalFormatting>
  <conditionalFormatting sqref="CO53">
    <cfRule type="cellIs" dxfId="353" priority="285" operator="equal">
      <formula>0</formula>
    </cfRule>
  </conditionalFormatting>
  <conditionalFormatting sqref="DN52:DP53">
    <cfRule type="cellIs" dxfId="352" priority="316" operator="equal">
      <formula>0</formula>
    </cfRule>
  </conditionalFormatting>
  <conditionalFormatting sqref="DK52:DM53">
    <cfRule type="cellIs" dxfId="351" priority="317" operator="equal">
      <formula>0</formula>
    </cfRule>
  </conditionalFormatting>
  <conditionalFormatting sqref="EN45:EP56">
    <cfRule type="cellIs" dxfId="350" priority="364" operator="equal">
      <formula>0</formula>
    </cfRule>
  </conditionalFormatting>
  <conditionalFormatting sqref="EN57:EP59">
    <cfRule type="cellIs" dxfId="349" priority="363" operator="equal">
      <formula>0</formula>
    </cfRule>
  </conditionalFormatting>
  <conditionalFormatting sqref="EH52:EJ53 EH56:EJ59">
    <cfRule type="cellIs" dxfId="348" priority="362" operator="equal">
      <formula>0</formula>
    </cfRule>
  </conditionalFormatting>
  <conditionalFormatting sqref="EK52:EM59">
    <cfRule type="cellIs" dxfId="347" priority="361" operator="equal">
      <formula>0</formula>
    </cfRule>
  </conditionalFormatting>
  <conditionalFormatting sqref="EL45:EM51">
    <cfRule type="cellIs" dxfId="346" priority="360" operator="equal">
      <formula>0</formula>
    </cfRule>
  </conditionalFormatting>
  <conditionalFormatting sqref="DV52:DX53 DV56:DX56 DV54:DW55">
    <cfRule type="cellIs" dxfId="345" priority="359" operator="equal">
      <formula>0</formula>
    </cfRule>
  </conditionalFormatting>
  <conditionalFormatting sqref="DV57:DX59">
    <cfRule type="cellIs" dxfId="344" priority="358" operator="equal">
      <formula>0</formula>
    </cfRule>
  </conditionalFormatting>
  <conditionalFormatting sqref="DP52:DR53 DP57:DR59">
    <cfRule type="cellIs" dxfId="343" priority="357" operator="equal">
      <formula>0</formula>
    </cfRule>
  </conditionalFormatting>
  <conditionalFormatting sqref="DS52:DU53 DS57:DU59 DT54:DU56">
    <cfRule type="cellIs" dxfId="342" priority="356" operator="equal">
      <formula>0</formula>
    </cfRule>
  </conditionalFormatting>
  <conditionalFormatting sqref="EF52:EH53 EF56:EH56">
    <cfRule type="cellIs" dxfId="341" priority="355" operator="equal">
      <formula>0</formula>
    </cfRule>
  </conditionalFormatting>
  <conditionalFormatting sqref="EF57:EH59">
    <cfRule type="cellIs" dxfId="340" priority="354" operator="equal">
      <formula>0</formula>
    </cfRule>
  </conditionalFormatting>
  <conditionalFormatting sqref="DZ52:EB53 DZ56:EB59">
    <cfRule type="cellIs" dxfId="339" priority="353" operator="equal">
      <formula>0</formula>
    </cfRule>
  </conditionalFormatting>
  <conditionalFormatting sqref="EC52:EE53 EC56:EE59">
    <cfRule type="cellIs" dxfId="338" priority="352" operator="equal">
      <formula>0</formula>
    </cfRule>
  </conditionalFormatting>
  <conditionalFormatting sqref="EI45:EK45">
    <cfRule type="cellIs" dxfId="337" priority="351" operator="equal">
      <formula>0</formula>
    </cfRule>
  </conditionalFormatting>
  <conditionalFormatting sqref="EH45">
    <cfRule type="cellIs" dxfId="336" priority="350" operator="equal">
      <formula>0</formula>
    </cfRule>
  </conditionalFormatting>
  <conditionalFormatting sqref="EE45:EG45">
    <cfRule type="cellIs" dxfId="335" priority="349" operator="equal">
      <formula>0</formula>
    </cfRule>
  </conditionalFormatting>
  <conditionalFormatting sqref="ED45">
    <cfRule type="cellIs" dxfId="334" priority="348" operator="equal">
      <formula>0</formula>
    </cfRule>
  </conditionalFormatting>
  <conditionalFormatting sqref="DW45:DX45">
    <cfRule type="cellIs" dxfId="333" priority="347" operator="equal">
      <formula>0</formula>
    </cfRule>
  </conditionalFormatting>
  <conditionalFormatting sqref="DJ45:DL45">
    <cfRule type="cellIs" dxfId="332" priority="335" operator="equal">
      <formula>0</formula>
    </cfRule>
  </conditionalFormatting>
  <conditionalFormatting sqref="DY45:DZ45">
    <cfRule type="cellIs" dxfId="331" priority="345" operator="equal">
      <formula>0</formula>
    </cfRule>
  </conditionalFormatting>
  <conditionalFormatting sqref="CY45:DA45">
    <cfRule type="cellIs" dxfId="330" priority="344" operator="equal">
      <formula>0</formula>
    </cfRule>
  </conditionalFormatting>
  <conditionalFormatting sqref="CX45">
    <cfRule type="cellIs" dxfId="329" priority="343" operator="equal">
      <formula>0</formula>
    </cfRule>
  </conditionalFormatting>
  <conditionalFormatting sqref="CU45:CW45">
    <cfRule type="cellIs" dxfId="328" priority="342" operator="equal">
      <formula>0</formula>
    </cfRule>
  </conditionalFormatting>
  <conditionalFormatting sqref="CT45">
    <cfRule type="cellIs" dxfId="327" priority="341" operator="equal">
      <formula>0</formula>
    </cfRule>
  </conditionalFormatting>
  <conditionalFormatting sqref="CQ45:CS45">
    <cfRule type="cellIs" dxfId="326" priority="339" operator="equal">
      <formula>0</formula>
    </cfRule>
  </conditionalFormatting>
  <conditionalFormatting sqref="CO45:CP45">
    <cfRule type="cellIs" dxfId="325" priority="338" operator="equal">
      <formula>0</formula>
    </cfRule>
  </conditionalFormatting>
  <conditionalFormatting sqref="DN45:DP45">
    <cfRule type="cellIs" dxfId="324" priority="337" operator="equal">
      <formula>0</formula>
    </cfRule>
  </conditionalFormatting>
  <conditionalFormatting sqref="DM45">
    <cfRule type="cellIs" dxfId="323" priority="336" operator="equal">
      <formula>0</formula>
    </cfRule>
  </conditionalFormatting>
  <conditionalFormatting sqref="DS52:DU53">
    <cfRule type="cellIs" dxfId="322" priority="323" operator="equal">
      <formula>0</formula>
    </cfRule>
  </conditionalFormatting>
  <conditionalFormatting sqref="DB45:DC45">
    <cfRule type="cellIs" dxfId="321" priority="333" operator="equal">
      <formula>0</formula>
    </cfRule>
  </conditionalFormatting>
  <conditionalFormatting sqref="DF45:DH45">
    <cfRule type="cellIs" dxfId="320" priority="332" operator="equal">
      <formula>0</formula>
    </cfRule>
  </conditionalFormatting>
  <conditionalFormatting sqref="DD45:DE45">
    <cfRule type="cellIs" dxfId="319" priority="331" operator="equal">
      <formula>0</formula>
    </cfRule>
  </conditionalFormatting>
  <conditionalFormatting sqref="EC45:EE45">
    <cfRule type="cellIs" dxfId="318" priority="330" operator="equal">
      <formula>0</formula>
    </cfRule>
  </conditionalFormatting>
  <conditionalFormatting sqref="EB45">
    <cfRule type="cellIs" dxfId="317" priority="329" operator="equal">
      <formula>0</formula>
    </cfRule>
  </conditionalFormatting>
  <conditionalFormatting sqref="DY45:EA45">
    <cfRule type="cellIs" dxfId="316" priority="328" operator="equal">
      <formula>0</formula>
    </cfRule>
  </conditionalFormatting>
  <conditionalFormatting sqref="DX45">
    <cfRule type="cellIs" dxfId="315" priority="327" operator="equal">
      <formula>0</formula>
    </cfRule>
  </conditionalFormatting>
  <conditionalFormatting sqref="DQ45:DR45">
    <cfRule type="cellIs" dxfId="314" priority="326" operator="equal">
      <formula>0</formula>
    </cfRule>
  </conditionalFormatting>
  <conditionalFormatting sqref="DU45:DW45">
    <cfRule type="cellIs" dxfId="313" priority="325" operator="equal">
      <formula>0</formula>
    </cfRule>
  </conditionalFormatting>
  <conditionalFormatting sqref="DS45:DT45">
    <cfRule type="cellIs" dxfId="312" priority="324" operator="equal">
      <formula>0</formula>
    </cfRule>
  </conditionalFormatting>
  <conditionalFormatting sqref="DV52:DV53">
    <cfRule type="cellIs" dxfId="311" priority="322" operator="equal">
      <formula>0</formula>
    </cfRule>
  </conditionalFormatting>
  <conditionalFormatting sqref="DG52:DI53">
    <cfRule type="cellIs" dxfId="310" priority="321" operator="equal">
      <formula>0</formula>
    </cfRule>
  </conditionalFormatting>
  <conditionalFormatting sqref="DA52:DC53 CZ52">
    <cfRule type="cellIs" dxfId="309" priority="320" operator="equal">
      <formula>0</formula>
    </cfRule>
  </conditionalFormatting>
  <conditionalFormatting sqref="DD52:DF53">
    <cfRule type="cellIs" dxfId="308" priority="319" operator="equal">
      <formula>0</formula>
    </cfRule>
  </conditionalFormatting>
  <conditionalFormatting sqref="DQ52:DS53">
    <cfRule type="cellIs" dxfId="307" priority="318" operator="equal">
      <formula>0</formula>
    </cfRule>
  </conditionalFormatting>
  <conditionalFormatting sqref="CB53:CB56">
    <cfRule type="cellIs" dxfId="306" priority="315" operator="equal">
      <formula>0</formula>
    </cfRule>
  </conditionalFormatting>
  <conditionalFormatting sqref="CB52:CC52">
    <cfRule type="cellIs" dxfId="305" priority="314" operator="equal">
      <formula>0</formula>
    </cfRule>
  </conditionalFormatting>
  <conditionalFormatting sqref="CP52">
    <cfRule type="cellIs" dxfId="304" priority="313" operator="equal">
      <formula>0</formula>
    </cfRule>
  </conditionalFormatting>
  <conditionalFormatting sqref="CP52">
    <cfRule type="cellIs" dxfId="303" priority="312" operator="equal">
      <formula>0</formula>
    </cfRule>
  </conditionalFormatting>
  <conditionalFormatting sqref="CB52:CC52 CB53:CB56">
    <cfRule type="cellIs" dxfId="302" priority="311" operator="equal">
      <formula>0</formula>
    </cfRule>
  </conditionalFormatting>
  <conditionalFormatting sqref="CC53">
    <cfRule type="cellIs" dxfId="301" priority="310" operator="equal">
      <formula>0</formula>
    </cfRule>
  </conditionalFormatting>
  <conditionalFormatting sqref="CC53">
    <cfRule type="cellIs" dxfId="300" priority="309" operator="equal">
      <formula>0</formula>
    </cfRule>
  </conditionalFormatting>
  <conditionalFormatting sqref="CW42">
    <cfRule type="cellIs" dxfId="299" priority="81" operator="equal">
      <formula>0</formula>
    </cfRule>
  </conditionalFormatting>
  <conditionalFormatting sqref="CX42">
    <cfRule type="cellIs" dxfId="298" priority="80" operator="equal">
      <formula>0</formula>
    </cfRule>
  </conditionalFormatting>
  <conditionalFormatting sqref="DX54">
    <cfRule type="cellIs" dxfId="297" priority="308" operator="equal">
      <formula>0</formula>
    </cfRule>
  </conditionalFormatting>
  <conditionalFormatting sqref="DX54">
    <cfRule type="cellIs" dxfId="296" priority="307" operator="equal">
      <formula>0</formula>
    </cfRule>
  </conditionalFormatting>
  <conditionalFormatting sqref="EH40">
    <cfRule type="cellIs" dxfId="295" priority="38" operator="equal">
      <formula>0</formula>
    </cfRule>
  </conditionalFormatting>
  <conditionalFormatting sqref="DO57:DQ59">
    <cfRule type="cellIs" dxfId="294" priority="306" operator="equal">
      <formula>0</formula>
    </cfRule>
  </conditionalFormatting>
  <conditionalFormatting sqref="DC57:DE59">
    <cfRule type="cellIs" dxfId="293" priority="305" operator="equal">
      <formula>0</formula>
    </cfRule>
  </conditionalFormatting>
  <conditionalFormatting sqref="CX57:CY59">
    <cfRule type="cellIs" dxfId="292" priority="304" operator="equal">
      <formula>0</formula>
    </cfRule>
  </conditionalFormatting>
  <conditionalFormatting sqref="CZ57:DB59">
    <cfRule type="cellIs" dxfId="291" priority="303" operator="equal">
      <formula>0</formula>
    </cfRule>
  </conditionalFormatting>
  <conditionalFormatting sqref="DM57:DO59">
    <cfRule type="cellIs" dxfId="290" priority="302" operator="equal">
      <formula>0</formula>
    </cfRule>
  </conditionalFormatting>
  <conditionalFormatting sqref="CF45:CH45 CF46:CG47">
    <cfRule type="cellIs" dxfId="289" priority="249" operator="equal">
      <formula>0</formula>
    </cfRule>
  </conditionalFormatting>
  <conditionalFormatting sqref="DJ57:DL59">
    <cfRule type="cellIs" dxfId="288" priority="300" operator="equal">
      <formula>0</formula>
    </cfRule>
  </conditionalFormatting>
  <conditionalFormatting sqref="CG57:CI59">
    <cfRule type="cellIs" dxfId="287" priority="299" operator="equal">
      <formula>0</formula>
    </cfRule>
  </conditionalFormatting>
  <conditionalFormatting sqref="CB57:CC59">
    <cfRule type="cellIs" dxfId="286" priority="298" operator="equal">
      <formula>0</formula>
    </cfRule>
  </conditionalFormatting>
  <conditionalFormatting sqref="CD57:CF59">
    <cfRule type="cellIs" dxfId="285" priority="297" operator="equal">
      <formula>0</formula>
    </cfRule>
  </conditionalFormatting>
  <conditionalFormatting sqref="CQ57:CR59">
    <cfRule type="cellIs" dxfId="284" priority="296" operator="equal">
      <formula>0</formula>
    </cfRule>
  </conditionalFormatting>
  <conditionalFormatting sqref="CK57:CM59">
    <cfRule type="cellIs" dxfId="283" priority="295" operator="equal">
      <formula>0</formula>
    </cfRule>
  </conditionalFormatting>
  <conditionalFormatting sqref="CN57:CP59">
    <cfRule type="cellIs" dxfId="282" priority="294" operator="equal">
      <formula>0</formula>
    </cfRule>
  </conditionalFormatting>
  <conditionalFormatting sqref="CX57:CZ59">
    <cfRule type="cellIs" dxfId="281" priority="293" operator="equal">
      <formula>0</formula>
    </cfRule>
  </conditionalFormatting>
  <conditionalFormatting sqref="CS57:CT59">
    <cfRule type="cellIs" dxfId="280" priority="292" operator="equal">
      <formula>0</formula>
    </cfRule>
  </conditionalFormatting>
  <conditionalFormatting sqref="CU57:CW59">
    <cfRule type="cellIs" dxfId="279" priority="291" operator="equal">
      <formula>0</formula>
    </cfRule>
  </conditionalFormatting>
  <conditionalFormatting sqref="DH57:DI59">
    <cfRule type="cellIs" dxfId="278" priority="290" operator="equal">
      <formula>0</formula>
    </cfRule>
  </conditionalFormatting>
  <conditionalFormatting sqref="DB57:DD59">
    <cfRule type="cellIs" dxfId="277" priority="289" operator="equal">
      <formula>0</formula>
    </cfRule>
  </conditionalFormatting>
  <conditionalFormatting sqref="DE57:DG59">
    <cfRule type="cellIs" dxfId="276" priority="288" operator="equal">
      <formula>0</formula>
    </cfRule>
  </conditionalFormatting>
  <conditionalFormatting sqref="CO52">
    <cfRule type="cellIs" dxfId="275" priority="287" operator="equal">
      <formula>0</formula>
    </cfRule>
  </conditionalFormatting>
  <conditionalFormatting sqref="CO52">
    <cfRule type="cellIs" dxfId="274" priority="286" operator="equal">
      <formula>0</formula>
    </cfRule>
  </conditionalFormatting>
  <conditionalFormatting sqref="CB38">
    <cfRule type="cellIs" dxfId="273" priority="233" operator="equal">
      <formula>0</formula>
    </cfRule>
  </conditionalFormatting>
  <conditionalFormatting sqref="CO53">
    <cfRule type="cellIs" dxfId="272" priority="284" operator="equal">
      <formula>0</formula>
    </cfRule>
  </conditionalFormatting>
  <conditionalFormatting sqref="DH41">
    <cfRule type="cellIs" dxfId="271" priority="56" operator="equal">
      <formula>0</formula>
    </cfRule>
  </conditionalFormatting>
  <conditionalFormatting sqref="CY35:CY36">
    <cfRule type="cellIs" dxfId="270" priority="103" operator="equal">
      <formula>0</formula>
    </cfRule>
  </conditionalFormatting>
  <conditionalFormatting sqref="CY37:DA37">
    <cfRule type="cellIs" dxfId="269" priority="102" operator="equal">
      <formula>0</formula>
    </cfRule>
  </conditionalFormatting>
  <conditionalFormatting sqref="CX37">
    <cfRule type="cellIs" dxfId="268" priority="101" operator="equal">
      <formula>0</formula>
    </cfRule>
  </conditionalFormatting>
  <conditionalFormatting sqref="DP41:DQ42">
    <cfRule type="cellIs" dxfId="267" priority="55" operator="equal">
      <formula>0</formula>
    </cfRule>
  </conditionalFormatting>
  <conditionalFormatting sqref="DC41:DE42">
    <cfRule type="cellIs" dxfId="266" priority="58" operator="equal">
      <formula>0</formula>
    </cfRule>
  </conditionalFormatting>
  <conditionalFormatting sqref="CX35:CX36">
    <cfRule type="cellIs" dxfId="265" priority="105" operator="equal">
      <formula>0</formula>
    </cfRule>
  </conditionalFormatting>
  <conditionalFormatting sqref="CX35:CX36">
    <cfRule type="cellIs" dxfId="264" priority="104" operator="equal">
      <formula>0</formula>
    </cfRule>
  </conditionalFormatting>
  <conditionalFormatting sqref="CW38">
    <cfRule type="cellIs" dxfId="263" priority="98" operator="equal">
      <formula>0</formula>
    </cfRule>
  </conditionalFormatting>
  <conditionalFormatting sqref="CW38">
    <cfRule type="cellIs" dxfId="262" priority="97" operator="equal">
      <formula>0</formula>
    </cfRule>
  </conditionalFormatting>
  <conditionalFormatting sqref="DF41:DG42">
    <cfRule type="cellIs" dxfId="261" priority="60" operator="equal">
      <formula>0</formula>
    </cfRule>
  </conditionalFormatting>
  <conditionalFormatting sqref="CF48:CG48">
    <cfRule type="cellIs" dxfId="260" priority="283" operator="equal">
      <formula>0</formula>
    </cfRule>
  </conditionalFormatting>
  <conditionalFormatting sqref="CB48">
    <cfRule type="cellIs" dxfId="259" priority="282" operator="equal">
      <formula>0</formula>
    </cfRule>
  </conditionalFormatting>
  <conditionalFormatting sqref="CC48:CE48">
    <cfRule type="cellIs" dxfId="258" priority="281" operator="equal">
      <formula>0</formula>
    </cfRule>
  </conditionalFormatting>
  <conditionalFormatting sqref="CJ49:CL49 CB49">
    <cfRule type="cellIs" dxfId="257" priority="280" operator="equal">
      <formula>0</formula>
    </cfRule>
  </conditionalFormatting>
  <conditionalFormatting sqref="CF49:CH49 CF50:CG51">
    <cfRule type="cellIs" dxfId="256" priority="279" operator="equal">
      <formula>0</formula>
    </cfRule>
  </conditionalFormatting>
  <conditionalFormatting sqref="CB49:CB51">
    <cfRule type="cellIs" dxfId="255" priority="278" operator="equal">
      <formula>0</formula>
    </cfRule>
  </conditionalFormatting>
  <conditionalFormatting sqref="CC49:CE51 CD52">
    <cfRule type="cellIs" dxfId="254" priority="277" operator="equal">
      <formula>0</formula>
    </cfRule>
  </conditionalFormatting>
  <conditionalFormatting sqref="CJ49:CL49">
    <cfRule type="cellIs" dxfId="253" priority="276" operator="equal">
      <formula>0</formula>
    </cfRule>
  </conditionalFormatting>
  <conditionalFormatting sqref="CC49:CE49">
    <cfRule type="cellIs" dxfId="252" priority="275" operator="equal">
      <formula>0</formula>
    </cfRule>
  </conditionalFormatting>
  <conditionalFormatting sqref="CF49">
    <cfRule type="cellIs" dxfId="251" priority="274" operator="equal">
      <formula>0</formula>
    </cfRule>
  </conditionalFormatting>
  <conditionalFormatting sqref="CB49:CC49">
    <cfRule type="cellIs" dxfId="250" priority="273" operator="equal">
      <formula>0</formula>
    </cfRule>
  </conditionalFormatting>
  <conditionalFormatting sqref="CH50">
    <cfRule type="cellIs" dxfId="249" priority="272" operator="equal">
      <formula>0</formula>
    </cfRule>
  </conditionalFormatting>
  <conditionalFormatting sqref="CH50">
    <cfRule type="cellIs" dxfId="248" priority="271" operator="equal">
      <formula>0</formula>
    </cfRule>
  </conditionalFormatting>
  <conditionalFormatting sqref="CJ39:CL39 CB39">
    <cfRule type="cellIs" dxfId="247" priority="270" operator="equal">
      <formula>0</formula>
    </cfRule>
  </conditionalFormatting>
  <conditionalFormatting sqref="CF39:CH39 CF40:CG41">
    <cfRule type="cellIs" dxfId="246" priority="269" operator="equal">
      <formula>0</formula>
    </cfRule>
  </conditionalFormatting>
  <conditionalFormatting sqref="CB38:CB41">
    <cfRule type="cellIs" dxfId="245" priority="268" operator="equal">
      <formula>0</formula>
    </cfRule>
  </conditionalFormatting>
  <conditionalFormatting sqref="CC39:CE41">
    <cfRule type="cellIs" dxfId="244" priority="267" operator="equal">
      <formula>0</formula>
    </cfRule>
  </conditionalFormatting>
  <conditionalFormatting sqref="CJ39:CL39">
    <cfRule type="cellIs" dxfId="243" priority="266" operator="equal">
      <formula>0</formula>
    </cfRule>
  </conditionalFormatting>
  <conditionalFormatting sqref="CC39:CE39">
    <cfRule type="cellIs" dxfId="242" priority="265" operator="equal">
      <formula>0</formula>
    </cfRule>
  </conditionalFormatting>
  <conditionalFormatting sqref="CF39">
    <cfRule type="cellIs" dxfId="241" priority="264" operator="equal">
      <formula>0</formula>
    </cfRule>
  </conditionalFormatting>
  <conditionalFormatting sqref="CB39:CC39">
    <cfRule type="cellIs" dxfId="240" priority="263" operator="equal">
      <formula>0</formula>
    </cfRule>
  </conditionalFormatting>
  <conditionalFormatting sqref="CH40">
    <cfRule type="cellIs" dxfId="239" priority="262" operator="equal">
      <formula>0</formula>
    </cfRule>
  </conditionalFormatting>
  <conditionalFormatting sqref="CH40">
    <cfRule type="cellIs" dxfId="238" priority="261" operator="equal">
      <formula>0</formula>
    </cfRule>
  </conditionalFormatting>
  <conditionalFormatting sqref="CJ42:CL42 CB42">
    <cfRule type="cellIs" dxfId="237" priority="260" operator="equal">
      <formula>0</formula>
    </cfRule>
  </conditionalFormatting>
  <conditionalFormatting sqref="CF42:CH42 CF43:CG44">
    <cfRule type="cellIs" dxfId="236" priority="259" operator="equal">
      <formula>0</formula>
    </cfRule>
  </conditionalFormatting>
  <conditionalFormatting sqref="CB41:CB44">
    <cfRule type="cellIs" dxfId="235" priority="258" operator="equal">
      <formula>0</formula>
    </cfRule>
  </conditionalFormatting>
  <conditionalFormatting sqref="CC42:CE44">
    <cfRule type="cellIs" dxfId="234" priority="257" operator="equal">
      <formula>0</formula>
    </cfRule>
  </conditionalFormatting>
  <conditionalFormatting sqref="CJ42:CL42">
    <cfRule type="cellIs" dxfId="233" priority="256" operator="equal">
      <formula>0</formula>
    </cfRule>
  </conditionalFormatting>
  <conditionalFormatting sqref="CC42:CE42">
    <cfRule type="cellIs" dxfId="232" priority="255" operator="equal">
      <formula>0</formula>
    </cfRule>
  </conditionalFormatting>
  <conditionalFormatting sqref="CF42">
    <cfRule type="cellIs" dxfId="231" priority="254" operator="equal">
      <formula>0</formula>
    </cfRule>
  </conditionalFormatting>
  <conditionalFormatting sqref="CB42:CC42">
    <cfRule type="cellIs" dxfId="230" priority="253" operator="equal">
      <formula>0</formula>
    </cfRule>
  </conditionalFormatting>
  <conditionalFormatting sqref="CH43">
    <cfRule type="cellIs" dxfId="229" priority="252" operator="equal">
      <formula>0</formula>
    </cfRule>
  </conditionalFormatting>
  <conditionalFormatting sqref="CH43">
    <cfRule type="cellIs" dxfId="228" priority="251" operator="equal">
      <formula>0</formula>
    </cfRule>
  </conditionalFormatting>
  <conditionalFormatting sqref="CJ45:CL45 CB45">
    <cfRule type="cellIs" dxfId="227" priority="250" operator="equal">
      <formula>0</formula>
    </cfRule>
  </conditionalFormatting>
  <conditionalFormatting sqref="CB45:CB47">
    <cfRule type="cellIs" dxfId="226" priority="248" operator="equal">
      <formula>0</formula>
    </cfRule>
  </conditionalFormatting>
  <conditionalFormatting sqref="CC45:CE47">
    <cfRule type="cellIs" dxfId="225" priority="247" operator="equal">
      <formula>0</formula>
    </cfRule>
  </conditionalFormatting>
  <conditionalFormatting sqref="CJ45:CL45">
    <cfRule type="cellIs" dxfId="224" priority="246" operator="equal">
      <formula>0</formula>
    </cfRule>
  </conditionalFormatting>
  <conditionalFormatting sqref="CC45:CE45">
    <cfRule type="cellIs" dxfId="223" priority="245" operator="equal">
      <formula>0</formula>
    </cfRule>
  </conditionalFormatting>
  <conditionalFormatting sqref="CF45">
    <cfRule type="cellIs" dxfId="222" priority="244" operator="equal">
      <formula>0</formula>
    </cfRule>
  </conditionalFormatting>
  <conditionalFormatting sqref="CB45:CC45">
    <cfRule type="cellIs" dxfId="221" priority="243" operator="equal">
      <formula>0</formula>
    </cfRule>
  </conditionalFormatting>
  <conditionalFormatting sqref="CH46">
    <cfRule type="cellIs" dxfId="220" priority="242" operator="equal">
      <formula>0</formula>
    </cfRule>
  </conditionalFormatting>
  <conditionalFormatting sqref="CH46">
    <cfRule type="cellIs" dxfId="219" priority="241" operator="equal">
      <formula>0</formula>
    </cfRule>
  </conditionalFormatting>
  <conditionalFormatting sqref="CB33">
    <cfRule type="cellIs" dxfId="218" priority="240" operator="equal">
      <formula>0</formula>
    </cfRule>
  </conditionalFormatting>
  <conditionalFormatting sqref="CB33:CB35">
    <cfRule type="cellIs" dxfId="217" priority="239" operator="equal">
      <formula>0</formula>
    </cfRule>
  </conditionalFormatting>
  <conditionalFormatting sqref="CB33">
    <cfRule type="cellIs" dxfId="216" priority="238" operator="equal">
      <formula>0</formula>
    </cfRule>
  </conditionalFormatting>
  <conditionalFormatting sqref="CB36">
    <cfRule type="cellIs" dxfId="215" priority="237" operator="equal">
      <formula>0</formula>
    </cfRule>
  </conditionalFormatting>
  <conditionalFormatting sqref="CB36:CB37">
    <cfRule type="cellIs" dxfId="214" priority="236" operator="equal">
      <formula>0</formula>
    </cfRule>
  </conditionalFormatting>
  <conditionalFormatting sqref="CB36">
    <cfRule type="cellIs" dxfId="213" priority="235" operator="equal">
      <formula>0</formula>
    </cfRule>
  </conditionalFormatting>
  <conditionalFormatting sqref="CB38">
    <cfRule type="cellIs" dxfId="212" priority="234" operator="equal">
      <formula>0</formula>
    </cfRule>
  </conditionalFormatting>
  <conditionalFormatting sqref="CB41">
    <cfRule type="cellIs" dxfId="211" priority="232" operator="equal">
      <formula>0</formula>
    </cfRule>
  </conditionalFormatting>
  <conditionalFormatting sqref="CB41">
    <cfRule type="cellIs" dxfId="210" priority="231" operator="equal">
      <formula>0</formula>
    </cfRule>
  </conditionalFormatting>
  <conditionalFormatting sqref="CK33:CM33 CC33">
    <cfRule type="cellIs" dxfId="209" priority="230" operator="equal">
      <formula>0</formula>
    </cfRule>
  </conditionalFormatting>
  <conditionalFormatting sqref="CG33:CI33">
    <cfRule type="cellIs" dxfId="208" priority="229" operator="equal">
      <formula>0</formula>
    </cfRule>
  </conditionalFormatting>
  <conditionalFormatting sqref="CC33">
    <cfRule type="cellIs" dxfId="207" priority="228" operator="equal">
      <formula>0</formula>
    </cfRule>
  </conditionalFormatting>
  <conditionalFormatting sqref="CD33:CF33">
    <cfRule type="cellIs" dxfId="206" priority="227" operator="equal">
      <formula>0</formula>
    </cfRule>
  </conditionalFormatting>
  <conditionalFormatting sqref="CK33:CM33">
    <cfRule type="cellIs" dxfId="205" priority="226" operator="equal">
      <formula>0</formula>
    </cfRule>
  </conditionalFormatting>
  <conditionalFormatting sqref="CD33:CF33">
    <cfRule type="cellIs" dxfId="204" priority="225" operator="equal">
      <formula>0</formula>
    </cfRule>
  </conditionalFormatting>
  <conditionalFormatting sqref="CG33">
    <cfRule type="cellIs" dxfId="203" priority="224" operator="equal">
      <formula>0</formula>
    </cfRule>
  </conditionalFormatting>
  <conditionalFormatting sqref="CC33:CD33">
    <cfRule type="cellIs" dxfId="202" priority="223" operator="equal">
      <formula>0</formula>
    </cfRule>
  </conditionalFormatting>
  <conditionalFormatting sqref="CK34:CM34 CC34">
    <cfRule type="cellIs" dxfId="201" priority="222" operator="equal">
      <formula>0</formula>
    </cfRule>
  </conditionalFormatting>
  <conditionalFormatting sqref="CG34:CI34">
    <cfRule type="cellIs" dxfId="200" priority="221" operator="equal">
      <formula>0</formula>
    </cfRule>
  </conditionalFormatting>
  <conditionalFormatting sqref="CC34">
    <cfRule type="cellIs" dxfId="199" priority="220" operator="equal">
      <formula>0</formula>
    </cfRule>
  </conditionalFormatting>
  <conditionalFormatting sqref="CD34:CF34">
    <cfRule type="cellIs" dxfId="198" priority="219" operator="equal">
      <formula>0</formula>
    </cfRule>
  </conditionalFormatting>
  <conditionalFormatting sqref="CK34:CM34">
    <cfRule type="cellIs" dxfId="197" priority="218" operator="equal">
      <formula>0</formula>
    </cfRule>
  </conditionalFormatting>
  <conditionalFormatting sqref="CD34:CF34">
    <cfRule type="cellIs" dxfId="196" priority="217" operator="equal">
      <formula>0</formula>
    </cfRule>
  </conditionalFormatting>
  <conditionalFormatting sqref="CG34">
    <cfRule type="cellIs" dxfId="195" priority="216" operator="equal">
      <formula>0</formula>
    </cfRule>
  </conditionalFormatting>
  <conditionalFormatting sqref="CC34:CD34">
    <cfRule type="cellIs" dxfId="194" priority="215" operator="equal">
      <formula>0</formula>
    </cfRule>
  </conditionalFormatting>
  <conditionalFormatting sqref="CV33:CX33 CN33">
    <cfRule type="cellIs" dxfId="193" priority="214" operator="equal">
      <formula>0</formula>
    </cfRule>
  </conditionalFormatting>
  <conditionalFormatting sqref="CR33:CT33">
    <cfRule type="cellIs" dxfId="192" priority="213" operator="equal">
      <formula>0</formula>
    </cfRule>
  </conditionalFormatting>
  <conditionalFormatting sqref="CN33">
    <cfRule type="cellIs" dxfId="191" priority="212" operator="equal">
      <formula>0</formula>
    </cfRule>
  </conditionalFormatting>
  <conditionalFormatting sqref="CO33:CQ33">
    <cfRule type="cellIs" dxfId="190" priority="211" operator="equal">
      <formula>0</formula>
    </cfRule>
  </conditionalFormatting>
  <conditionalFormatting sqref="CV33:CX33">
    <cfRule type="cellIs" dxfId="189" priority="210" operator="equal">
      <formula>0</formula>
    </cfRule>
  </conditionalFormatting>
  <conditionalFormatting sqref="CO33:CQ33">
    <cfRule type="cellIs" dxfId="188" priority="209" operator="equal">
      <formula>0</formula>
    </cfRule>
  </conditionalFormatting>
  <conditionalFormatting sqref="CR33">
    <cfRule type="cellIs" dxfId="187" priority="208" operator="equal">
      <formula>0</formula>
    </cfRule>
  </conditionalFormatting>
  <conditionalFormatting sqref="CN33:CO33">
    <cfRule type="cellIs" dxfId="186" priority="207" operator="equal">
      <formula>0</formula>
    </cfRule>
  </conditionalFormatting>
  <conditionalFormatting sqref="CV34:CX34 CN34">
    <cfRule type="cellIs" dxfId="185" priority="206" operator="equal">
      <formula>0</formula>
    </cfRule>
  </conditionalFormatting>
  <conditionalFormatting sqref="CR34:CT34">
    <cfRule type="cellIs" dxfId="184" priority="205" operator="equal">
      <formula>0</formula>
    </cfRule>
  </conditionalFormatting>
  <conditionalFormatting sqref="CN34">
    <cfRule type="cellIs" dxfId="183" priority="204" operator="equal">
      <formula>0</formula>
    </cfRule>
  </conditionalFormatting>
  <conditionalFormatting sqref="CO34:CQ34">
    <cfRule type="cellIs" dxfId="182" priority="203" operator="equal">
      <formula>0</formula>
    </cfRule>
  </conditionalFormatting>
  <conditionalFormatting sqref="CV34:CX34">
    <cfRule type="cellIs" dxfId="181" priority="202" operator="equal">
      <formula>0</formula>
    </cfRule>
  </conditionalFormatting>
  <conditionalFormatting sqref="CO34:CQ34">
    <cfRule type="cellIs" dxfId="180" priority="201" operator="equal">
      <formula>0</formula>
    </cfRule>
  </conditionalFormatting>
  <conditionalFormatting sqref="CR34">
    <cfRule type="cellIs" dxfId="179" priority="200" operator="equal">
      <formula>0</formula>
    </cfRule>
  </conditionalFormatting>
  <conditionalFormatting sqref="CN34:CO34">
    <cfRule type="cellIs" dxfId="178" priority="199" operator="equal">
      <formula>0</formula>
    </cfRule>
  </conditionalFormatting>
  <conditionalFormatting sqref="DG33:DI33 CY33">
    <cfRule type="cellIs" dxfId="177" priority="198" operator="equal">
      <formula>0</formula>
    </cfRule>
  </conditionalFormatting>
  <conditionalFormatting sqref="DC33:DE33">
    <cfRule type="cellIs" dxfId="176" priority="197" operator="equal">
      <formula>0</formula>
    </cfRule>
  </conditionalFormatting>
  <conditionalFormatting sqref="CY33">
    <cfRule type="cellIs" dxfId="175" priority="196" operator="equal">
      <formula>0</formula>
    </cfRule>
  </conditionalFormatting>
  <conditionalFormatting sqref="CZ33:DB33">
    <cfRule type="cellIs" dxfId="174" priority="195" operator="equal">
      <formula>0</formula>
    </cfRule>
  </conditionalFormatting>
  <conditionalFormatting sqref="DG33:DI33">
    <cfRule type="cellIs" dxfId="173" priority="194" operator="equal">
      <formula>0</formula>
    </cfRule>
  </conditionalFormatting>
  <conditionalFormatting sqref="CZ33:DB33">
    <cfRule type="cellIs" dxfId="172" priority="193" operator="equal">
      <formula>0</formula>
    </cfRule>
  </conditionalFormatting>
  <conditionalFormatting sqref="DC33">
    <cfRule type="cellIs" dxfId="171" priority="192" operator="equal">
      <formula>0</formula>
    </cfRule>
  </conditionalFormatting>
  <conditionalFormatting sqref="CY33:CZ33">
    <cfRule type="cellIs" dxfId="170" priority="191" operator="equal">
      <formula>0</formula>
    </cfRule>
  </conditionalFormatting>
  <conditionalFormatting sqref="DG34:DI34 CY34">
    <cfRule type="cellIs" dxfId="169" priority="190" operator="equal">
      <formula>0</formula>
    </cfRule>
  </conditionalFormatting>
  <conditionalFormatting sqref="DC34:DE34">
    <cfRule type="cellIs" dxfId="168" priority="189" operator="equal">
      <formula>0</formula>
    </cfRule>
  </conditionalFormatting>
  <conditionalFormatting sqref="CY34">
    <cfRule type="cellIs" dxfId="167" priority="188" operator="equal">
      <formula>0</formula>
    </cfRule>
  </conditionalFormatting>
  <conditionalFormatting sqref="CZ34:DB34">
    <cfRule type="cellIs" dxfId="166" priority="187" operator="equal">
      <formula>0</formula>
    </cfRule>
  </conditionalFormatting>
  <conditionalFormatting sqref="DG34:DI34">
    <cfRule type="cellIs" dxfId="165" priority="186" operator="equal">
      <formula>0</formula>
    </cfRule>
  </conditionalFormatting>
  <conditionalFormatting sqref="CZ34:DB34">
    <cfRule type="cellIs" dxfId="164" priority="185" operator="equal">
      <formula>0</formula>
    </cfRule>
  </conditionalFormatting>
  <conditionalFormatting sqref="DC34">
    <cfRule type="cellIs" dxfId="163" priority="184" operator="equal">
      <formula>0</formula>
    </cfRule>
  </conditionalFormatting>
  <conditionalFormatting sqref="CY34:CZ34">
    <cfRule type="cellIs" dxfId="162" priority="183" operator="equal">
      <formula>0</formula>
    </cfRule>
  </conditionalFormatting>
  <conditionalFormatting sqref="DR33:DT33 DJ33">
    <cfRule type="cellIs" dxfId="161" priority="182" operator="equal">
      <formula>0</formula>
    </cfRule>
  </conditionalFormatting>
  <conditionalFormatting sqref="DN33:DP33">
    <cfRule type="cellIs" dxfId="160" priority="181" operator="equal">
      <formula>0</formula>
    </cfRule>
  </conditionalFormatting>
  <conditionalFormatting sqref="DJ33">
    <cfRule type="cellIs" dxfId="159" priority="180" operator="equal">
      <formula>0</formula>
    </cfRule>
  </conditionalFormatting>
  <conditionalFormatting sqref="DK33:DM33">
    <cfRule type="cellIs" dxfId="158" priority="179" operator="equal">
      <formula>0</formula>
    </cfRule>
  </conditionalFormatting>
  <conditionalFormatting sqref="DR33:DT33">
    <cfRule type="cellIs" dxfId="157" priority="178" operator="equal">
      <formula>0</formula>
    </cfRule>
  </conditionalFormatting>
  <conditionalFormatting sqref="DK33:DM33">
    <cfRule type="cellIs" dxfId="156" priority="177" operator="equal">
      <formula>0</formula>
    </cfRule>
  </conditionalFormatting>
  <conditionalFormatting sqref="DN33">
    <cfRule type="cellIs" dxfId="155" priority="176" operator="equal">
      <formula>0</formula>
    </cfRule>
  </conditionalFormatting>
  <conditionalFormatting sqref="DJ33:DK33">
    <cfRule type="cellIs" dxfId="154" priority="175" operator="equal">
      <formula>0</formula>
    </cfRule>
  </conditionalFormatting>
  <conditionalFormatting sqref="DR34:DT34 DJ34">
    <cfRule type="cellIs" dxfId="153" priority="174" operator="equal">
      <formula>0</formula>
    </cfRule>
  </conditionalFormatting>
  <conditionalFormatting sqref="DN34:DP34">
    <cfRule type="cellIs" dxfId="152" priority="173" operator="equal">
      <formula>0</formula>
    </cfRule>
  </conditionalFormatting>
  <conditionalFormatting sqref="DJ34">
    <cfRule type="cellIs" dxfId="151" priority="172" operator="equal">
      <formula>0</formula>
    </cfRule>
  </conditionalFormatting>
  <conditionalFormatting sqref="DK34:DM34">
    <cfRule type="cellIs" dxfId="150" priority="171" operator="equal">
      <formula>0</formula>
    </cfRule>
  </conditionalFormatting>
  <conditionalFormatting sqref="DR34:DT34">
    <cfRule type="cellIs" dxfId="149" priority="170" operator="equal">
      <formula>0</formula>
    </cfRule>
  </conditionalFormatting>
  <conditionalFormatting sqref="DK34:DM34">
    <cfRule type="cellIs" dxfId="148" priority="169" operator="equal">
      <formula>0</formula>
    </cfRule>
  </conditionalFormatting>
  <conditionalFormatting sqref="DN34">
    <cfRule type="cellIs" dxfId="147" priority="168" operator="equal">
      <formula>0</formula>
    </cfRule>
  </conditionalFormatting>
  <conditionalFormatting sqref="DJ34:DK34">
    <cfRule type="cellIs" dxfId="146" priority="167" operator="equal">
      <formula>0</formula>
    </cfRule>
  </conditionalFormatting>
  <conditionalFormatting sqref="EC33:EE33 DU33">
    <cfRule type="cellIs" dxfId="145" priority="166" operator="equal">
      <formula>0</formula>
    </cfRule>
  </conditionalFormatting>
  <conditionalFormatting sqref="DY33:EA33">
    <cfRule type="cellIs" dxfId="144" priority="165" operator="equal">
      <formula>0</formula>
    </cfRule>
  </conditionalFormatting>
  <conditionalFormatting sqref="DU33">
    <cfRule type="cellIs" dxfId="143" priority="164" operator="equal">
      <formula>0</formula>
    </cfRule>
  </conditionalFormatting>
  <conditionalFormatting sqref="DV33:DX33">
    <cfRule type="cellIs" dxfId="142" priority="163" operator="equal">
      <formula>0</formula>
    </cfRule>
  </conditionalFormatting>
  <conditionalFormatting sqref="EC33:EE33">
    <cfRule type="cellIs" dxfId="141" priority="162" operator="equal">
      <formula>0</formula>
    </cfRule>
  </conditionalFormatting>
  <conditionalFormatting sqref="DV33:DX33">
    <cfRule type="cellIs" dxfId="140" priority="161" operator="equal">
      <formula>0</formula>
    </cfRule>
  </conditionalFormatting>
  <conditionalFormatting sqref="DY33">
    <cfRule type="cellIs" dxfId="139" priority="160" operator="equal">
      <formula>0</formula>
    </cfRule>
  </conditionalFormatting>
  <conditionalFormatting sqref="DU33:DV33">
    <cfRule type="cellIs" dxfId="138" priority="159" operator="equal">
      <formula>0</formula>
    </cfRule>
  </conditionalFormatting>
  <conditionalFormatting sqref="EC34:EE34 DU34">
    <cfRule type="cellIs" dxfId="137" priority="158" operator="equal">
      <formula>0</formula>
    </cfRule>
  </conditionalFormatting>
  <conditionalFormatting sqref="DY34:EA34">
    <cfRule type="cellIs" dxfId="136" priority="157" operator="equal">
      <formula>0</formula>
    </cfRule>
  </conditionalFormatting>
  <conditionalFormatting sqref="DU34">
    <cfRule type="cellIs" dxfId="135" priority="156" operator="equal">
      <formula>0</formula>
    </cfRule>
  </conditionalFormatting>
  <conditionalFormatting sqref="DV34:DX34">
    <cfRule type="cellIs" dxfId="134" priority="155" operator="equal">
      <formula>0</formula>
    </cfRule>
  </conditionalFormatting>
  <conditionalFormatting sqref="EC34:EE34">
    <cfRule type="cellIs" dxfId="133" priority="154" operator="equal">
      <formula>0</formula>
    </cfRule>
  </conditionalFormatting>
  <conditionalFormatting sqref="DV34:DX34">
    <cfRule type="cellIs" dxfId="132" priority="153" operator="equal">
      <formula>0</formula>
    </cfRule>
  </conditionalFormatting>
  <conditionalFormatting sqref="DY34">
    <cfRule type="cellIs" dxfId="131" priority="152" operator="equal">
      <formula>0</formula>
    </cfRule>
  </conditionalFormatting>
  <conditionalFormatting sqref="DU34:DV34">
    <cfRule type="cellIs" dxfId="130" priority="151" operator="equal">
      <formula>0</formula>
    </cfRule>
  </conditionalFormatting>
  <conditionalFormatting sqref="EN33:EP33 EF33">
    <cfRule type="cellIs" dxfId="129" priority="150" operator="equal">
      <formula>0</formula>
    </cfRule>
  </conditionalFormatting>
  <conditionalFormatting sqref="EJ33:EL33">
    <cfRule type="cellIs" dxfId="128" priority="149" operator="equal">
      <formula>0</formula>
    </cfRule>
  </conditionalFormatting>
  <conditionalFormatting sqref="EF33">
    <cfRule type="cellIs" dxfId="127" priority="148" operator="equal">
      <formula>0</formula>
    </cfRule>
  </conditionalFormatting>
  <conditionalFormatting sqref="EG33:EI33">
    <cfRule type="cellIs" dxfId="126" priority="147" operator="equal">
      <formula>0</formula>
    </cfRule>
  </conditionalFormatting>
  <conditionalFormatting sqref="EN33:EP33">
    <cfRule type="cellIs" dxfId="125" priority="146" operator="equal">
      <formula>0</formula>
    </cfRule>
  </conditionalFormatting>
  <conditionalFormatting sqref="EG33:EI33">
    <cfRule type="cellIs" dxfId="124" priority="145" operator="equal">
      <formula>0</formula>
    </cfRule>
  </conditionalFormatting>
  <conditionalFormatting sqref="EJ33">
    <cfRule type="cellIs" dxfId="123" priority="144" operator="equal">
      <formula>0</formula>
    </cfRule>
  </conditionalFormatting>
  <conditionalFormatting sqref="EF33:EG33">
    <cfRule type="cellIs" dxfId="122" priority="143" operator="equal">
      <formula>0</formula>
    </cfRule>
  </conditionalFormatting>
  <conditionalFormatting sqref="EN34:EP34 EF34">
    <cfRule type="cellIs" dxfId="121" priority="142" operator="equal">
      <formula>0</formula>
    </cfRule>
  </conditionalFormatting>
  <conditionalFormatting sqref="EJ34:EL34">
    <cfRule type="cellIs" dxfId="120" priority="141" operator="equal">
      <formula>0</formula>
    </cfRule>
  </conditionalFormatting>
  <conditionalFormatting sqref="EF34">
    <cfRule type="cellIs" dxfId="119" priority="140" operator="equal">
      <formula>0</formula>
    </cfRule>
  </conditionalFormatting>
  <conditionalFormatting sqref="EG34 EI34">
    <cfRule type="cellIs" dxfId="118" priority="139" operator="equal">
      <formula>0</formula>
    </cfRule>
  </conditionalFormatting>
  <conditionalFormatting sqref="EN34:EP34">
    <cfRule type="cellIs" dxfId="117" priority="138" operator="equal">
      <formula>0</formula>
    </cfRule>
  </conditionalFormatting>
  <conditionalFormatting sqref="EG34 EI34">
    <cfRule type="cellIs" dxfId="116" priority="137" operator="equal">
      <formula>0</formula>
    </cfRule>
  </conditionalFormatting>
  <conditionalFormatting sqref="EJ34">
    <cfRule type="cellIs" dxfId="115" priority="136" operator="equal">
      <formula>0</formula>
    </cfRule>
  </conditionalFormatting>
  <conditionalFormatting sqref="EF34:EG34">
    <cfRule type="cellIs" dxfId="114" priority="135" operator="equal">
      <formula>0</formula>
    </cfRule>
  </conditionalFormatting>
  <conditionalFormatting sqref="CU39:CV40 CM39:CM40">
    <cfRule type="cellIs" dxfId="113" priority="134" operator="equal">
      <formula>0</formula>
    </cfRule>
  </conditionalFormatting>
  <conditionalFormatting sqref="CQ39:CS40">
    <cfRule type="cellIs" dxfId="112" priority="133" operator="equal">
      <formula>0</formula>
    </cfRule>
  </conditionalFormatting>
  <conditionalFormatting sqref="CM39:CM40">
    <cfRule type="cellIs" dxfId="111" priority="132" operator="equal">
      <formula>0</formula>
    </cfRule>
  </conditionalFormatting>
  <conditionalFormatting sqref="CN39:CP40">
    <cfRule type="cellIs" dxfId="110" priority="131" operator="equal">
      <formula>0</formula>
    </cfRule>
  </conditionalFormatting>
  <conditionalFormatting sqref="CU39:CV40">
    <cfRule type="cellIs" dxfId="109" priority="130" operator="equal">
      <formula>0</formula>
    </cfRule>
  </conditionalFormatting>
  <conditionalFormatting sqref="CN39:CP40">
    <cfRule type="cellIs" dxfId="108" priority="129" operator="equal">
      <formula>0</formula>
    </cfRule>
  </conditionalFormatting>
  <conditionalFormatting sqref="CQ39:CQ40">
    <cfRule type="cellIs" dxfId="107" priority="128" operator="equal">
      <formula>0</formula>
    </cfRule>
  </conditionalFormatting>
  <conditionalFormatting sqref="CM39:CN40">
    <cfRule type="cellIs" dxfId="106" priority="127" operator="equal">
      <formula>0</formula>
    </cfRule>
  </conditionalFormatting>
  <conditionalFormatting sqref="CU41:CV41 CM41">
    <cfRule type="cellIs" dxfId="105" priority="126" operator="equal">
      <formula>0</formula>
    </cfRule>
  </conditionalFormatting>
  <conditionalFormatting sqref="CQ41:CS41">
    <cfRule type="cellIs" dxfId="104" priority="125" operator="equal">
      <formula>0</formula>
    </cfRule>
  </conditionalFormatting>
  <conditionalFormatting sqref="CM41">
    <cfRule type="cellIs" dxfId="103" priority="124" operator="equal">
      <formula>0</formula>
    </cfRule>
  </conditionalFormatting>
  <conditionalFormatting sqref="CN41:CP41">
    <cfRule type="cellIs" dxfId="102" priority="123" operator="equal">
      <formula>0</formula>
    </cfRule>
  </conditionalFormatting>
  <conditionalFormatting sqref="CU41:CV41">
    <cfRule type="cellIs" dxfId="101" priority="122" operator="equal">
      <formula>0</formula>
    </cfRule>
  </conditionalFormatting>
  <conditionalFormatting sqref="CN41:CP41">
    <cfRule type="cellIs" dxfId="100" priority="121" operator="equal">
      <formula>0</formula>
    </cfRule>
  </conditionalFormatting>
  <conditionalFormatting sqref="CQ41">
    <cfRule type="cellIs" dxfId="99" priority="120" operator="equal">
      <formula>0</formula>
    </cfRule>
  </conditionalFormatting>
  <conditionalFormatting sqref="CM41:CN41">
    <cfRule type="cellIs" dxfId="98" priority="119" operator="equal">
      <formula>0</formula>
    </cfRule>
  </conditionalFormatting>
  <conditionalFormatting sqref="CU42:CV42 CM42">
    <cfRule type="cellIs" dxfId="97" priority="118" operator="equal">
      <formula>0</formula>
    </cfRule>
  </conditionalFormatting>
  <conditionalFormatting sqref="CQ42:CS42">
    <cfRule type="cellIs" dxfId="96" priority="117" operator="equal">
      <formula>0</formula>
    </cfRule>
  </conditionalFormatting>
  <conditionalFormatting sqref="CM42">
    <cfRule type="cellIs" dxfId="95" priority="116" operator="equal">
      <formula>0</formula>
    </cfRule>
  </conditionalFormatting>
  <conditionalFormatting sqref="CN42:CP42">
    <cfRule type="cellIs" dxfId="94" priority="115" operator="equal">
      <formula>0</formula>
    </cfRule>
  </conditionalFormatting>
  <conditionalFormatting sqref="CU42:CV42">
    <cfRule type="cellIs" dxfId="93" priority="114" operator="equal">
      <formula>0</formula>
    </cfRule>
  </conditionalFormatting>
  <conditionalFormatting sqref="CN42:CP42">
    <cfRule type="cellIs" dxfId="92" priority="113" operator="equal">
      <formula>0</formula>
    </cfRule>
  </conditionalFormatting>
  <conditionalFormatting sqref="CQ42">
    <cfRule type="cellIs" dxfId="91" priority="112" operator="equal">
      <formula>0</formula>
    </cfRule>
  </conditionalFormatting>
  <conditionalFormatting sqref="CM42:CN42">
    <cfRule type="cellIs" dxfId="90" priority="111" operator="equal">
      <formula>0</formula>
    </cfRule>
  </conditionalFormatting>
  <conditionalFormatting sqref="CX39:CZ40">
    <cfRule type="cellIs" dxfId="89" priority="91" operator="equal">
      <formula>0</formula>
    </cfRule>
  </conditionalFormatting>
  <conditionalFormatting sqref="CW35:CW36">
    <cfRule type="cellIs" dxfId="88" priority="110" operator="equal">
      <formula>0</formula>
    </cfRule>
  </conditionalFormatting>
  <conditionalFormatting sqref="CW35:CW36">
    <cfRule type="cellIs" dxfId="87" priority="109" operator="equal">
      <formula>0</formula>
    </cfRule>
  </conditionalFormatting>
  <conditionalFormatting sqref="CX39:CX40">
    <cfRule type="cellIs" dxfId="86" priority="88" operator="equal">
      <formula>0</formula>
    </cfRule>
  </conditionalFormatting>
  <conditionalFormatting sqref="CX41:CZ41">
    <cfRule type="cellIs" dxfId="85" priority="87" operator="equal">
      <formula>0</formula>
    </cfRule>
  </conditionalFormatting>
  <conditionalFormatting sqref="CW37">
    <cfRule type="cellIs" dxfId="84" priority="108" operator="equal">
      <formula>0</formula>
    </cfRule>
  </conditionalFormatting>
  <conditionalFormatting sqref="CW37">
    <cfRule type="cellIs" dxfId="83" priority="107" operator="equal">
      <formula>0</formula>
    </cfRule>
  </conditionalFormatting>
  <conditionalFormatting sqref="CX41">
    <cfRule type="cellIs" dxfId="82" priority="84" operator="equal">
      <formula>0</formula>
    </cfRule>
  </conditionalFormatting>
  <conditionalFormatting sqref="CX42:CZ42">
    <cfRule type="cellIs" dxfId="81" priority="83" operator="equal">
      <formula>0</formula>
    </cfRule>
  </conditionalFormatting>
  <conditionalFormatting sqref="CY35:DA36">
    <cfRule type="cellIs" dxfId="80" priority="106" operator="equal">
      <formula>0</formula>
    </cfRule>
  </conditionalFormatting>
  <conditionalFormatting sqref="DY43">
    <cfRule type="cellIs" dxfId="79" priority="65" operator="equal">
      <formula>0</formula>
    </cfRule>
  </conditionalFormatting>
  <conditionalFormatting sqref="DY43">
    <cfRule type="cellIs" dxfId="78" priority="64" operator="equal">
      <formula>0</formula>
    </cfRule>
  </conditionalFormatting>
  <conditionalFormatting sqref="DF43:DG43">
    <cfRule type="cellIs" dxfId="77" priority="63" operator="equal">
      <formula>0</formula>
    </cfRule>
  </conditionalFormatting>
  <conditionalFormatting sqref="DA43:DB43">
    <cfRule type="cellIs" dxfId="76" priority="62" operator="equal">
      <formula>0</formula>
    </cfRule>
  </conditionalFormatting>
  <conditionalFormatting sqref="DC43:DE43">
    <cfRule type="cellIs" dxfId="75" priority="61" operator="equal">
      <formula>0</formula>
    </cfRule>
  </conditionalFormatting>
  <conditionalFormatting sqref="CX37">
    <cfRule type="cellIs" dxfId="74" priority="100" operator="equal">
      <formula>0</formula>
    </cfRule>
  </conditionalFormatting>
  <conditionalFormatting sqref="CY37">
    <cfRule type="cellIs" dxfId="73" priority="99" operator="equal">
      <formula>0</formula>
    </cfRule>
  </conditionalFormatting>
  <conditionalFormatting sqref="CW42">
    <cfRule type="cellIs" dxfId="72" priority="82" operator="equal">
      <formula>0</formula>
    </cfRule>
  </conditionalFormatting>
  <conditionalFormatting sqref="EH40">
    <cfRule type="cellIs" dxfId="71" priority="39" operator="equal">
      <formula>0</formula>
    </cfRule>
  </conditionalFormatting>
  <conditionalFormatting sqref="EH35">
    <cfRule type="cellIs" dxfId="70" priority="46" operator="equal">
      <formula>0</formula>
    </cfRule>
  </conditionalFormatting>
  <conditionalFormatting sqref="EH36:EH37">
    <cfRule type="cellIs" dxfId="69" priority="45" operator="equal">
      <formula>0</formula>
    </cfRule>
  </conditionalFormatting>
  <conditionalFormatting sqref="EH34">
    <cfRule type="cellIs" dxfId="68" priority="48" operator="equal">
      <formula>0</formula>
    </cfRule>
  </conditionalFormatting>
  <conditionalFormatting sqref="EH38">
    <cfRule type="cellIs" dxfId="67" priority="42" operator="equal">
      <formula>0</formula>
    </cfRule>
  </conditionalFormatting>
  <conditionalFormatting sqref="EH39">
    <cfRule type="cellIs" dxfId="66" priority="41" operator="equal">
      <formula>0</formula>
    </cfRule>
  </conditionalFormatting>
  <conditionalFormatting sqref="CY38:DA38 DA39">
    <cfRule type="cellIs" dxfId="65" priority="96" operator="equal">
      <formula>0</formula>
    </cfRule>
  </conditionalFormatting>
  <conditionalFormatting sqref="CX38">
    <cfRule type="cellIs" dxfId="64" priority="95" operator="equal">
      <formula>0</formula>
    </cfRule>
  </conditionalFormatting>
  <conditionalFormatting sqref="CX38">
    <cfRule type="cellIs" dxfId="63" priority="94" operator="equal">
      <formula>0</formula>
    </cfRule>
  </conditionalFormatting>
  <conditionalFormatting sqref="CY38">
    <cfRule type="cellIs" dxfId="62" priority="93" operator="equal">
      <formula>0</formula>
    </cfRule>
  </conditionalFormatting>
  <conditionalFormatting sqref="DA40">
    <cfRule type="cellIs" dxfId="61" priority="92" operator="equal">
      <formula>0</formula>
    </cfRule>
  </conditionalFormatting>
  <conditionalFormatting sqref="CW41">
    <cfRule type="cellIs" dxfId="60" priority="86" operator="equal">
      <formula>0</formula>
    </cfRule>
  </conditionalFormatting>
  <conditionalFormatting sqref="CW41">
    <cfRule type="cellIs" dxfId="59" priority="85" operator="equal">
      <formula>0</formula>
    </cfRule>
  </conditionalFormatting>
  <conditionalFormatting sqref="EH39">
    <cfRule type="cellIs" dxfId="58" priority="40" operator="equal">
      <formula>0</formula>
    </cfRule>
  </conditionalFormatting>
  <conditionalFormatting sqref="CW39:CW40">
    <cfRule type="cellIs" dxfId="57" priority="90" operator="equal">
      <formula>0</formula>
    </cfRule>
  </conditionalFormatting>
  <conditionalFormatting sqref="CW39:CW40">
    <cfRule type="cellIs" dxfId="56" priority="89" operator="equal">
      <formula>0</formula>
    </cfRule>
  </conditionalFormatting>
  <conditionalFormatting sqref="EH36:EH37">
    <cfRule type="cellIs" dxfId="55" priority="44" operator="equal">
      <formula>0</formula>
    </cfRule>
  </conditionalFormatting>
  <conditionalFormatting sqref="EH38">
    <cfRule type="cellIs" dxfId="54" priority="43" operator="equal">
      <formula>0</formula>
    </cfRule>
  </conditionalFormatting>
  <conditionalFormatting sqref="CR43:CS44">
    <cfRule type="cellIs" dxfId="53" priority="79" operator="equal">
      <formula>0</formula>
    </cfRule>
  </conditionalFormatting>
  <conditionalFormatting sqref="CM44">
    <cfRule type="cellIs" dxfId="52" priority="78" operator="equal">
      <formula>0</formula>
    </cfRule>
  </conditionalFormatting>
  <conditionalFormatting sqref="CO43:CQ44">
    <cfRule type="cellIs" dxfId="51" priority="77" operator="equal">
      <formula>0</formula>
    </cfRule>
  </conditionalFormatting>
  <conditionalFormatting sqref="CT43">
    <cfRule type="cellIs" dxfId="50" priority="76" operator="equal">
      <formula>0</formula>
    </cfRule>
  </conditionalFormatting>
  <conditionalFormatting sqref="CT43">
    <cfRule type="cellIs" dxfId="49" priority="75" operator="equal">
      <formula>0</formula>
    </cfRule>
  </conditionalFormatting>
  <conditionalFormatting sqref="DI44:DJ44">
    <cfRule type="cellIs" dxfId="48" priority="74" operator="equal">
      <formula>0</formula>
    </cfRule>
  </conditionalFormatting>
  <conditionalFormatting sqref="DD44:DE44">
    <cfRule type="cellIs" dxfId="47" priority="73" operator="equal">
      <formula>0</formula>
    </cfRule>
  </conditionalFormatting>
  <conditionalFormatting sqref="DF44:DH44">
    <cfRule type="cellIs" dxfId="46" priority="72" operator="equal">
      <formula>0</formula>
    </cfRule>
  </conditionalFormatting>
  <conditionalFormatting sqref="DY41">
    <cfRule type="cellIs" dxfId="45" priority="51" operator="equal">
      <formula>0</formula>
    </cfRule>
  </conditionalFormatting>
  <conditionalFormatting sqref="DY41">
    <cfRule type="cellIs" dxfId="44" priority="50" operator="equal">
      <formula>0</formula>
    </cfRule>
  </conditionalFormatting>
  <conditionalFormatting sqref="DO44">
    <cfRule type="cellIs" dxfId="43" priority="71" operator="equal">
      <formula>0</formula>
    </cfRule>
  </conditionalFormatting>
  <conditionalFormatting sqref="DP44">
    <cfRule type="cellIs" dxfId="42" priority="70" operator="equal">
      <formula>0</formula>
    </cfRule>
  </conditionalFormatting>
  <conditionalFormatting sqref="DQ44">
    <cfRule type="cellIs" dxfId="41" priority="69" operator="equal">
      <formula>0</formula>
    </cfRule>
  </conditionalFormatting>
  <conditionalFormatting sqref="DW43:DX44">
    <cfRule type="cellIs" dxfId="40" priority="68" operator="equal">
      <formula>0</formula>
    </cfRule>
  </conditionalFormatting>
  <conditionalFormatting sqref="DR43:DS44">
    <cfRule type="cellIs" dxfId="39" priority="67" operator="equal">
      <formula>0</formula>
    </cfRule>
  </conditionalFormatting>
  <conditionalFormatting sqref="DT43:DV44">
    <cfRule type="cellIs" dxfId="38" priority="66" operator="equal">
      <formula>0</formula>
    </cfRule>
  </conditionalFormatting>
  <conditionalFormatting sqref="DA41:DB42">
    <cfRule type="cellIs" dxfId="37" priority="59" operator="equal">
      <formula>0</formula>
    </cfRule>
  </conditionalFormatting>
  <conditionalFormatting sqref="DH41">
    <cfRule type="cellIs" dxfId="36" priority="57" operator="equal">
      <formula>0</formula>
    </cfRule>
  </conditionalFormatting>
  <conditionalFormatting sqref="DW41:DX42">
    <cfRule type="cellIs" dxfId="35" priority="54" operator="equal">
      <formula>0</formula>
    </cfRule>
  </conditionalFormatting>
  <conditionalFormatting sqref="DR41:DS42">
    <cfRule type="cellIs" dxfId="34" priority="53" operator="equal">
      <formula>0</formula>
    </cfRule>
  </conditionalFormatting>
  <conditionalFormatting sqref="DT41:DV42">
    <cfRule type="cellIs" dxfId="33" priority="52" operator="equal">
      <formula>0</formula>
    </cfRule>
  </conditionalFormatting>
  <conditionalFormatting sqref="EH34">
    <cfRule type="cellIs" dxfId="32" priority="49" operator="equal">
      <formula>0</formula>
    </cfRule>
  </conditionalFormatting>
  <conditionalFormatting sqref="EH35">
    <cfRule type="cellIs" dxfId="31" priority="47" operator="equal">
      <formula>0</formula>
    </cfRule>
  </conditionalFormatting>
  <conditionalFormatting sqref="CN43">
    <cfRule type="cellIs" dxfId="30" priority="37" operator="equal">
      <formula>0</formula>
    </cfRule>
  </conditionalFormatting>
  <conditionalFormatting sqref="EI40">
    <cfRule type="cellIs" dxfId="29" priority="36" operator="equal">
      <formula>0</formula>
    </cfRule>
  </conditionalFormatting>
  <conditionalFormatting sqref="EP40">
    <cfRule type="cellIs" dxfId="28" priority="35" operator="equal">
      <formula>0</formula>
    </cfRule>
  </conditionalFormatting>
  <conditionalFormatting sqref="EJ40:EL40">
    <cfRule type="cellIs" dxfId="27" priority="34" operator="equal">
      <formula>0</formula>
    </cfRule>
  </conditionalFormatting>
  <conditionalFormatting sqref="EM40:EO40">
    <cfRule type="cellIs" dxfId="26" priority="33" operator="equal">
      <formula>0</formula>
    </cfRule>
  </conditionalFormatting>
  <conditionalFormatting sqref="EI40:EJ40">
    <cfRule type="cellIs" dxfId="25" priority="32" operator="equal">
      <formula>0</formula>
    </cfRule>
  </conditionalFormatting>
  <conditionalFormatting sqref="EI41">
    <cfRule type="cellIs" dxfId="24" priority="31" operator="equal">
      <formula>0</formula>
    </cfRule>
  </conditionalFormatting>
  <conditionalFormatting sqref="EP41:EP44">
    <cfRule type="cellIs" dxfId="23" priority="30" operator="equal">
      <formula>0</formula>
    </cfRule>
  </conditionalFormatting>
  <conditionalFormatting sqref="EJ41:EL41 EJ44:EL44">
    <cfRule type="cellIs" dxfId="22" priority="29" operator="equal">
      <formula>0</formula>
    </cfRule>
  </conditionalFormatting>
  <conditionalFormatting sqref="EM41:EO44">
    <cfRule type="cellIs" dxfId="21" priority="28" operator="equal">
      <formula>0</formula>
    </cfRule>
  </conditionalFormatting>
  <conditionalFormatting sqref="EI41:EJ41 EI44:EJ44">
    <cfRule type="cellIs" dxfId="20" priority="27" operator="equal">
      <formula>0</formula>
    </cfRule>
  </conditionalFormatting>
  <conditionalFormatting sqref="CB21:CB22">
    <cfRule type="cellIs" dxfId="19" priority="26" operator="equal">
      <formula>0</formula>
    </cfRule>
  </conditionalFormatting>
  <conditionalFormatting sqref="CW54:CW56">
    <cfRule type="cellIs" dxfId="18" priority="25" operator="equal">
      <formula>0</formula>
    </cfRule>
  </conditionalFormatting>
  <conditionalFormatting sqref="CX54:CY56">
    <cfRule type="cellIs" dxfId="17" priority="24" operator="equal">
      <formula>0</formula>
    </cfRule>
  </conditionalFormatting>
  <conditionalFormatting sqref="DD78">
    <cfRule type="cellIs" dxfId="16" priority="23" operator="equal">
      <formula>0</formula>
    </cfRule>
  </conditionalFormatting>
  <conditionalFormatting sqref="ED69:EI69">
    <cfRule type="cellIs" dxfId="15" priority="22" operator="equal">
      <formula>0</formula>
    </cfRule>
  </conditionalFormatting>
  <conditionalFormatting sqref="DL65">
    <cfRule type="cellIs" dxfId="14" priority="21" operator="equal">
      <formula>0</formula>
    </cfRule>
  </conditionalFormatting>
  <conditionalFormatting sqref="DD65">
    <cfRule type="cellIs" dxfId="13" priority="20" operator="equal">
      <formula>0</formula>
    </cfRule>
  </conditionalFormatting>
  <conditionalFormatting sqref="DL74">
    <cfRule type="cellIs" dxfId="12" priority="19" operator="equal">
      <formula>0</formula>
    </cfRule>
  </conditionalFormatting>
  <conditionalFormatting sqref="DD74">
    <cfRule type="cellIs" dxfId="11" priority="18" operator="equal">
      <formula>0</formula>
    </cfRule>
  </conditionalFormatting>
  <conditionalFormatting sqref="EV66:EY67 ED67">
    <cfRule type="cellIs" dxfId="10" priority="16" operator="equal">
      <formula>0</formula>
    </cfRule>
    <cfRule type="cellIs" dxfId="9" priority="17" operator="equal">
      <formula>0</formula>
    </cfRule>
  </conditionalFormatting>
  <conditionalFormatting sqref="DB82 DL82 DX82:DX83 DY82">
    <cfRule type="cellIs" dxfId="8" priority="15" operator="equal">
      <formula>0</formula>
    </cfRule>
  </conditionalFormatting>
  <conditionalFormatting sqref="DA82:DA83">
    <cfRule type="cellIs" dxfId="7" priority="14" operator="equal">
      <formula>0</formula>
    </cfRule>
  </conditionalFormatting>
  <conditionalFormatting sqref="EI103">
    <cfRule type="cellIs" dxfId="6" priority="13" operator="equal">
      <formula>0</formula>
    </cfRule>
  </conditionalFormatting>
  <conditionalFormatting sqref="DL103">
    <cfRule type="cellIs" dxfId="5" priority="12" operator="equal">
      <formula>0</formula>
    </cfRule>
  </conditionalFormatting>
  <conditionalFormatting sqref="DA68:DC71 CM68">
    <cfRule type="cellIs" dxfId="4" priority="6" operator="equal">
      <formula>0</formula>
    </cfRule>
  </conditionalFormatting>
  <conditionalFormatting sqref="DD68">
    <cfRule type="cellIs" dxfId="3" priority="5" operator="equal">
      <formula>0</formula>
    </cfRule>
  </conditionalFormatting>
  <conditionalFormatting sqref="DO68">
    <cfRule type="cellIs" dxfId="2" priority="2" operator="equal">
      <formula>0</formula>
    </cfRule>
  </conditionalFormatting>
  <conditionalFormatting sqref="DD71">
    <cfRule type="cellIs" dxfId="1" priority="3" operator="equal">
      <formula>0</formula>
    </cfRule>
  </conditionalFormatting>
  <conditionalFormatting sqref="DO71">
    <cfRule type="cellIs" dxfId="0" priority="1" operator="equal">
      <formula>0</formula>
    </cfRule>
  </conditionalFormatting>
  <printOptions horizontalCentered="1" verticalCentered="1"/>
  <pageMargins left="0.25" right="0.25" top="0.75" bottom="0.75" header="0.3" footer="0.3"/>
  <pageSetup paperSize="9" scale="24"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4C5B3D84-9607-4ADE-BB8E-A466D5CE46B7}">
          <x14:formula1>
            <xm:f>【別表】自治体コード!$A$2:$A$21</xm:f>
          </x14:formula1>
          <xm:sqref>D11:M13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E6468-1C9A-465F-8B85-A54ECFB98249}">
  <dimension ref="A1:C21"/>
  <sheetViews>
    <sheetView workbookViewId="0">
      <selection activeCell="F8" sqref="F8"/>
    </sheetView>
  </sheetViews>
  <sheetFormatPr defaultRowHeight="13"/>
  <cols>
    <col min="1" max="1" width="12.1796875" customWidth="1"/>
    <col min="2" max="2" width="13.81640625" customWidth="1"/>
    <col min="3" max="3" width="16.6328125" customWidth="1"/>
  </cols>
  <sheetData>
    <row r="1" spans="1:3">
      <c r="A1" s="167" t="s">
        <v>564</v>
      </c>
      <c r="B1" s="167" t="s">
        <v>567</v>
      </c>
      <c r="C1" s="167" t="s">
        <v>568</v>
      </c>
    </row>
    <row r="2" spans="1:3">
      <c r="A2" s="167" t="s">
        <v>565</v>
      </c>
      <c r="B2" s="167" t="s">
        <v>519</v>
      </c>
      <c r="C2" s="167" t="s">
        <v>520</v>
      </c>
    </row>
    <row r="3" spans="1:3">
      <c r="A3" s="167" t="s">
        <v>566</v>
      </c>
      <c r="B3" s="167" t="s">
        <v>521</v>
      </c>
      <c r="C3" s="167" t="s">
        <v>522</v>
      </c>
    </row>
    <row r="4" spans="1:3">
      <c r="A4" s="167" t="s">
        <v>523</v>
      </c>
      <c r="B4" s="167" t="s">
        <v>524</v>
      </c>
      <c r="C4" s="167" t="s">
        <v>525</v>
      </c>
    </row>
    <row r="5" spans="1:3">
      <c r="A5" s="167" t="s">
        <v>518</v>
      </c>
      <c r="B5" s="167" t="s">
        <v>526</v>
      </c>
      <c r="C5" s="167" t="s">
        <v>527</v>
      </c>
    </row>
    <row r="6" spans="1:3">
      <c r="A6" s="167" t="s">
        <v>528</v>
      </c>
      <c r="B6" s="167" t="s">
        <v>529</v>
      </c>
      <c r="C6" s="167" t="s">
        <v>530</v>
      </c>
    </row>
    <row r="7" spans="1:3">
      <c r="A7" s="167" t="s">
        <v>274</v>
      </c>
      <c r="B7" s="167" t="s">
        <v>529</v>
      </c>
      <c r="C7" s="167" t="s">
        <v>531</v>
      </c>
    </row>
    <row r="8" spans="1:3">
      <c r="A8" s="167" t="s">
        <v>532</v>
      </c>
      <c r="B8" s="167" t="s">
        <v>529</v>
      </c>
      <c r="C8" s="167" t="s">
        <v>533</v>
      </c>
    </row>
    <row r="9" spans="1:3">
      <c r="A9" s="167" t="s">
        <v>534</v>
      </c>
      <c r="B9" s="167" t="s">
        <v>535</v>
      </c>
      <c r="C9" s="167" t="s">
        <v>536</v>
      </c>
    </row>
    <row r="10" spans="1:3">
      <c r="A10" s="167" t="s">
        <v>537</v>
      </c>
      <c r="B10" s="167" t="s">
        <v>180</v>
      </c>
      <c r="C10" s="167" t="s">
        <v>538</v>
      </c>
    </row>
    <row r="11" spans="1:3">
      <c r="A11" s="167" t="s">
        <v>539</v>
      </c>
      <c r="B11" s="167" t="s">
        <v>180</v>
      </c>
      <c r="C11" s="167" t="s">
        <v>181</v>
      </c>
    </row>
    <row r="12" spans="1:3">
      <c r="A12" s="167" t="s">
        <v>540</v>
      </c>
      <c r="B12" s="167" t="s">
        <v>541</v>
      </c>
      <c r="C12" s="167" t="s">
        <v>542</v>
      </c>
    </row>
    <row r="13" spans="1:3">
      <c r="A13" s="167" t="s">
        <v>543</v>
      </c>
      <c r="B13" s="167" t="s">
        <v>544</v>
      </c>
      <c r="C13" s="167" t="s">
        <v>545</v>
      </c>
    </row>
    <row r="14" spans="1:3">
      <c r="A14" s="167" t="s">
        <v>546</v>
      </c>
      <c r="B14" s="167" t="s">
        <v>547</v>
      </c>
      <c r="C14" s="167" t="s">
        <v>548</v>
      </c>
    </row>
    <row r="15" spans="1:3">
      <c r="A15" s="167" t="s">
        <v>549</v>
      </c>
      <c r="B15" s="167" t="s">
        <v>547</v>
      </c>
      <c r="C15" s="167" t="s">
        <v>550</v>
      </c>
    </row>
    <row r="16" spans="1:3">
      <c r="A16" s="167" t="s">
        <v>551</v>
      </c>
      <c r="B16" s="167" t="s">
        <v>227</v>
      </c>
      <c r="C16" s="167" t="s">
        <v>228</v>
      </c>
    </row>
    <row r="17" spans="1:3">
      <c r="A17" s="167" t="s">
        <v>552</v>
      </c>
      <c r="B17" s="167" t="s">
        <v>553</v>
      </c>
      <c r="C17" s="167" t="s">
        <v>554</v>
      </c>
    </row>
    <row r="18" spans="1:3">
      <c r="A18" s="167" t="s">
        <v>275</v>
      </c>
      <c r="B18" s="167" t="s">
        <v>555</v>
      </c>
      <c r="C18" s="167" t="s">
        <v>556</v>
      </c>
    </row>
    <row r="19" spans="1:3">
      <c r="A19" s="167" t="s">
        <v>557</v>
      </c>
      <c r="B19" s="167" t="s">
        <v>558</v>
      </c>
      <c r="C19" s="167" t="s">
        <v>559</v>
      </c>
    </row>
    <row r="20" spans="1:3">
      <c r="A20" s="167" t="s">
        <v>560</v>
      </c>
      <c r="B20" s="167" t="s">
        <v>558</v>
      </c>
      <c r="C20" s="167" t="s">
        <v>561</v>
      </c>
    </row>
    <row r="21" spans="1:3">
      <c r="A21" s="168" t="s">
        <v>573</v>
      </c>
      <c r="B21" s="167" t="s">
        <v>562</v>
      </c>
      <c r="C21" s="167" t="s">
        <v>563</v>
      </c>
    </row>
  </sheetData>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調査票①</vt:lpstr>
      <vt:lpstr>公開用シート （指定都市）</vt:lpstr>
      <vt:lpstr>【別表】自治体コード</vt:lpstr>
      <vt:lpstr>'公開用シート （指定都市）'!Print_Area</vt:lpstr>
      <vt:lpstr>調査票①!Print_Area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2021-03-22T03:08:49Z</cp:lastPrinted>
  <dcterms:created xsi:type="dcterms:W3CDTF">2021-08-13T06:46:58Z</dcterms:created>
  <dcterms:modified xsi:type="dcterms:W3CDTF">2022-03-30T00:16:38Z</dcterms:modified>
</cp:coreProperties>
</file>