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77E57064-8FA9-49CF-9A48-6C6630EDC903}"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【別表】自治体コード!$A$1:$C$35</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<sst xmlns="http://schemas.openxmlformats.org/spreadsheetml/2006/main" count="198373" uniqueCount="19620">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</sst>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3" t="s">
        <v>0</v>
      </c>
      <c r="B2" s="617" t="s">
        <v>1</v>
      </c>
      <c r="C2" s="617" t="s">
        <v>2</v>
      </c>
      <c r="D2" s="614" t="s">
        <v>72</v>
      </c>
      <c r="E2" s="611" t="s">
        <v>3</v>
      </c>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3"/>
      <c r="BD2" s="611" t="s">
        <v>10750</v>
      </c>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2"/>
      <c r="DD2" s="612"/>
      <c r="DE2" s="612"/>
      <c r="DF2" s="612"/>
      <c r="DG2" s="612"/>
      <c r="DH2" s="612"/>
      <c r="DI2" s="612"/>
      <c r="DJ2" s="612"/>
      <c r="DK2" s="612"/>
      <c r="DL2" s="612"/>
      <c r="DM2" s="612"/>
      <c r="DN2" s="612"/>
      <c r="DO2" s="612"/>
      <c r="DP2" s="612"/>
      <c r="DQ2" s="612"/>
      <c r="DR2" s="612"/>
      <c r="DS2" s="612"/>
      <c r="DT2" s="612"/>
      <c r="DU2" s="612"/>
      <c r="DV2" s="612"/>
      <c r="DW2" s="612"/>
      <c r="DX2" s="612"/>
      <c r="DY2" s="612"/>
      <c r="DZ2" s="612"/>
      <c r="EA2" s="612"/>
      <c r="EB2" s="612"/>
      <c r="EC2" s="612"/>
      <c r="ED2" s="612"/>
      <c r="EE2" s="612"/>
      <c r="EF2" s="612"/>
      <c r="EG2" s="612"/>
      <c r="EH2" s="612"/>
      <c r="EI2" s="612"/>
      <c r="EJ2" s="612"/>
      <c r="EK2" s="612"/>
      <c r="EL2" s="612"/>
      <c r="EM2" s="612"/>
      <c r="EN2" s="612"/>
      <c r="EO2" s="612"/>
      <c r="EP2" s="612"/>
      <c r="EQ2" s="612"/>
      <c r="ER2" s="612"/>
      <c r="ES2" s="612"/>
      <c r="ET2" s="612"/>
      <c r="EU2" s="612"/>
      <c r="EV2" s="612"/>
      <c r="EW2" s="612"/>
      <c r="EX2" s="612"/>
      <c r="EY2" s="612"/>
      <c r="EZ2" s="612"/>
      <c r="FA2" s="612"/>
      <c r="FB2" s="612"/>
      <c r="FC2" s="612"/>
      <c r="FD2" s="612"/>
      <c r="FE2" s="612"/>
      <c r="FF2" s="612"/>
      <c r="FG2" s="612"/>
      <c r="FH2" s="612"/>
      <c r="FI2" s="612"/>
      <c r="FJ2" s="612"/>
      <c r="FK2" s="612"/>
      <c r="FL2" s="612"/>
      <c r="FM2" s="612"/>
      <c r="FN2" s="612"/>
      <c r="FO2" s="612"/>
      <c r="FP2" s="612"/>
      <c r="FQ2" s="612"/>
      <c r="FR2" s="612"/>
      <c r="FS2" s="612"/>
      <c r="FT2" s="612"/>
      <c r="FU2" s="612"/>
      <c r="FV2" s="612"/>
      <c r="FW2" s="612"/>
      <c r="FX2" s="612"/>
      <c r="FY2" s="612"/>
      <c r="FZ2" s="612"/>
      <c r="GA2" s="612"/>
      <c r="GB2" s="612"/>
      <c r="GC2" s="612"/>
      <c r="GD2" s="612"/>
      <c r="GE2" s="612"/>
      <c r="GF2" s="612"/>
      <c r="GG2" s="612"/>
      <c r="GH2" s="612"/>
      <c r="GI2" s="612"/>
      <c r="GJ2" s="612"/>
      <c r="GK2" s="613"/>
      <c r="GL2" s="663" t="s">
        <v>4</v>
      </c>
      <c r="GM2" s="664"/>
      <c r="GN2" s="664"/>
      <c r="GO2" s="664"/>
      <c r="GP2" s="664"/>
      <c r="GQ2" s="665" t="s">
        <v>5</v>
      </c>
      <c r="GR2" s="666"/>
      <c r="GS2" s="666"/>
      <c r="GT2" s="666"/>
      <c r="GU2" s="666"/>
      <c r="GV2" s="666"/>
      <c r="GW2" s="666"/>
      <c r="GX2" s="666"/>
      <c r="GY2" s="666"/>
      <c r="GZ2" s="666"/>
      <c r="HA2" s="666"/>
      <c r="HB2" s="666"/>
      <c r="HC2" s="666"/>
      <c r="HD2" s="676" t="s">
        <v>6</v>
      </c>
      <c r="HE2" s="677"/>
      <c r="HF2" s="651" t="s">
        <v>7</v>
      </c>
      <c r="HG2" s="652"/>
      <c r="HH2" s="653"/>
      <c r="HI2" s="678" t="s">
        <v>8</v>
      </c>
      <c r="HJ2" s="679"/>
      <c r="HK2" s="680"/>
    </row>
    <row r="3" spans="1:219" ht="21.65" customHeight="1">
      <c r="A3" s="643"/>
      <c r="B3" s="617"/>
      <c r="C3" s="617"/>
      <c r="D3" s="615"/>
      <c r="E3" s="644" t="s">
        <v>9</v>
      </c>
      <c r="F3" s="645"/>
      <c r="G3" s="646"/>
      <c r="H3" s="644" t="s">
        <v>11954</v>
      </c>
      <c r="I3" s="645"/>
      <c r="J3" s="646"/>
      <c r="K3" s="650" t="s">
        <v>67</v>
      </c>
      <c r="L3" s="650"/>
      <c r="M3" s="650"/>
      <c r="N3" s="641" t="s">
        <v>10</v>
      </c>
      <c r="O3" s="641"/>
      <c r="P3" s="641"/>
      <c r="Q3" s="641" t="s">
        <v>11</v>
      </c>
      <c r="R3" s="641"/>
      <c r="S3" s="641"/>
      <c r="T3" s="644" t="s">
        <v>12</v>
      </c>
      <c r="U3" s="645"/>
      <c r="V3" s="646"/>
      <c r="W3" s="644" t="s">
        <v>13</v>
      </c>
      <c r="X3" s="645"/>
      <c r="Y3" s="646"/>
      <c r="Z3" s="641" t="s">
        <v>14</v>
      </c>
      <c r="AA3" s="641"/>
      <c r="AB3" s="641"/>
      <c r="AC3" s="650" t="s">
        <v>68</v>
      </c>
      <c r="AD3" s="650"/>
      <c r="AE3" s="650"/>
      <c r="AF3" s="656" t="s">
        <v>15</v>
      </c>
      <c r="AG3" s="657"/>
      <c r="AH3" s="658"/>
      <c r="AI3" s="641" t="s">
        <v>16</v>
      </c>
      <c r="AJ3" s="641"/>
      <c r="AK3" s="641"/>
      <c r="AL3" s="641" t="s">
        <v>17</v>
      </c>
      <c r="AM3" s="641"/>
      <c r="AN3" s="641"/>
      <c r="AO3" s="650" t="s">
        <v>18</v>
      </c>
      <c r="AP3" s="650"/>
      <c r="AQ3" s="650"/>
      <c r="AR3" s="650" t="s">
        <v>19</v>
      </c>
      <c r="AS3" s="650"/>
      <c r="AT3" s="650"/>
      <c r="AU3" s="641" t="s">
        <v>20</v>
      </c>
      <c r="AV3" s="641"/>
      <c r="AW3" s="641"/>
      <c r="AX3" s="641" t="s">
        <v>21</v>
      </c>
      <c r="AY3" s="641"/>
      <c r="AZ3" s="641"/>
      <c r="BA3" s="641" t="s">
        <v>22</v>
      </c>
      <c r="BB3" s="641"/>
      <c r="BC3" s="641"/>
      <c r="BD3" s="640" t="s">
        <v>23</v>
      </c>
      <c r="BE3" s="640"/>
      <c r="BF3" s="640"/>
      <c r="BG3" s="640"/>
      <c r="BH3" s="640"/>
      <c r="BI3" s="640"/>
      <c r="BJ3" s="640" t="s">
        <v>24</v>
      </c>
      <c r="BK3" s="640"/>
      <c r="BL3" s="640"/>
      <c r="BM3" s="640"/>
      <c r="BN3" s="640"/>
      <c r="BO3" s="640"/>
      <c r="BP3" s="640" t="s">
        <v>12158</v>
      </c>
      <c r="BQ3" s="640"/>
      <c r="BR3" s="640"/>
      <c r="BS3" s="640"/>
      <c r="BT3" s="640"/>
      <c r="BU3" s="640"/>
      <c r="BV3" s="640" t="s">
        <v>12159</v>
      </c>
      <c r="BW3" s="640"/>
      <c r="BX3" s="640"/>
      <c r="BY3" s="640"/>
      <c r="BZ3" s="640"/>
      <c r="CA3" s="640"/>
      <c r="CB3" s="640" t="s">
        <v>25</v>
      </c>
      <c r="CC3" s="640"/>
      <c r="CD3" s="640"/>
      <c r="CE3" s="640"/>
      <c r="CF3" s="640"/>
      <c r="CG3" s="640"/>
      <c r="CH3" s="640" t="s">
        <v>26</v>
      </c>
      <c r="CI3" s="640"/>
      <c r="CJ3" s="640"/>
      <c r="CK3" s="640"/>
      <c r="CL3" s="640"/>
      <c r="CM3" s="640"/>
      <c r="CN3" s="640" t="s">
        <v>27</v>
      </c>
      <c r="CO3" s="640"/>
      <c r="CP3" s="640"/>
      <c r="CQ3" s="640"/>
      <c r="CR3" s="640"/>
      <c r="CS3" s="640"/>
      <c r="CT3" s="640" t="s">
        <v>69</v>
      </c>
      <c r="CU3" s="640"/>
      <c r="CV3" s="640"/>
      <c r="CW3" s="640"/>
      <c r="CX3" s="640"/>
      <c r="CY3" s="640"/>
      <c r="CZ3" s="640" t="s">
        <v>12160</v>
      </c>
      <c r="DA3" s="640"/>
      <c r="DB3" s="640"/>
      <c r="DC3" s="640"/>
      <c r="DD3" s="640"/>
      <c r="DE3" s="640"/>
      <c r="DF3" s="640" t="s">
        <v>12161</v>
      </c>
      <c r="DG3" s="640"/>
      <c r="DH3" s="640"/>
      <c r="DI3" s="640"/>
      <c r="DJ3" s="640"/>
      <c r="DK3" s="640"/>
      <c r="DL3" s="640" t="s">
        <v>28</v>
      </c>
      <c r="DM3" s="640"/>
      <c r="DN3" s="640"/>
      <c r="DO3" s="640"/>
      <c r="DP3" s="640"/>
      <c r="DQ3" s="640"/>
      <c r="DR3" s="642" t="s">
        <v>29</v>
      </c>
      <c r="DS3" s="642"/>
      <c r="DT3" s="642"/>
      <c r="DU3" s="642"/>
      <c r="DV3" s="642"/>
      <c r="DW3" s="642"/>
      <c r="DX3" s="640" t="s">
        <v>12162</v>
      </c>
      <c r="DY3" s="640"/>
      <c r="DZ3" s="640"/>
      <c r="EA3" s="640"/>
      <c r="EB3" s="640"/>
      <c r="EC3" s="640"/>
      <c r="ED3" s="640" t="s">
        <v>30</v>
      </c>
      <c r="EE3" s="640"/>
      <c r="EF3" s="640"/>
      <c r="EG3" s="640"/>
      <c r="EH3" s="640"/>
      <c r="EI3" s="640"/>
      <c r="EJ3" s="640" t="s">
        <v>31</v>
      </c>
      <c r="EK3" s="640"/>
      <c r="EL3" s="640"/>
      <c r="EM3" s="640"/>
      <c r="EN3" s="640"/>
      <c r="EO3" s="640"/>
      <c r="EP3" s="640" t="s">
        <v>32</v>
      </c>
      <c r="EQ3" s="640"/>
      <c r="ER3" s="640"/>
      <c r="ES3" s="640"/>
      <c r="ET3" s="640"/>
      <c r="EU3" s="640"/>
      <c r="EV3" s="642" t="s">
        <v>13936</v>
      </c>
      <c r="EW3" s="640"/>
      <c r="EX3" s="640"/>
      <c r="EY3" s="640"/>
      <c r="EZ3" s="640"/>
      <c r="FA3" s="640"/>
      <c r="FB3" s="640" t="s">
        <v>12163</v>
      </c>
      <c r="FC3" s="640"/>
      <c r="FD3" s="640"/>
      <c r="FE3" s="640"/>
      <c r="FF3" s="640"/>
      <c r="FG3" s="640"/>
      <c r="FH3" s="640" t="s">
        <v>34</v>
      </c>
      <c r="FI3" s="640"/>
      <c r="FJ3" s="640"/>
      <c r="FK3" s="640"/>
      <c r="FL3" s="640"/>
      <c r="FM3" s="640"/>
      <c r="FN3" s="640" t="s">
        <v>12164</v>
      </c>
      <c r="FO3" s="640"/>
      <c r="FP3" s="640"/>
      <c r="FQ3" s="640"/>
      <c r="FR3" s="640"/>
      <c r="FS3" s="640"/>
      <c r="FT3" s="640" t="s">
        <v>12165</v>
      </c>
      <c r="FU3" s="640"/>
      <c r="FV3" s="640"/>
      <c r="FW3" s="640"/>
      <c r="FX3" s="640"/>
      <c r="FY3" s="640"/>
      <c r="FZ3" s="640" t="s">
        <v>12166</v>
      </c>
      <c r="GA3" s="640"/>
      <c r="GB3" s="640"/>
      <c r="GC3" s="640"/>
      <c r="GD3" s="640"/>
      <c r="GE3" s="640"/>
      <c r="GF3" s="655" t="s">
        <v>35</v>
      </c>
      <c r="GG3" s="655"/>
      <c r="GH3" s="655"/>
      <c r="GI3" s="655"/>
      <c r="GJ3" s="655"/>
      <c r="GK3" s="655"/>
      <c r="GL3" s="617" t="s">
        <v>36</v>
      </c>
      <c r="GM3" s="617" t="s">
        <v>12167</v>
      </c>
      <c r="GN3" s="672" t="s">
        <v>12412</v>
      </c>
      <c r="GO3" s="654" t="s">
        <v>38</v>
      </c>
      <c r="GP3" s="654" t="s">
        <v>12413</v>
      </c>
      <c r="GQ3" s="617" t="s">
        <v>12155</v>
      </c>
      <c r="GR3" s="617" t="s">
        <v>12154</v>
      </c>
      <c r="GS3" s="634" t="s">
        <v>40</v>
      </c>
      <c r="GT3" s="635"/>
      <c r="GU3" s="635"/>
      <c r="GV3" s="635"/>
      <c r="GW3" s="668"/>
      <c r="GX3" s="617" t="s">
        <v>41</v>
      </c>
      <c r="GY3" s="617"/>
      <c r="GZ3" s="617"/>
      <c r="HA3" s="617"/>
      <c r="HB3" s="667" t="s">
        <v>38</v>
      </c>
      <c r="HC3" s="673" t="s">
        <v>12414</v>
      </c>
      <c r="HD3" s="634" t="s">
        <v>42</v>
      </c>
      <c r="HE3" s="635"/>
      <c r="HF3" s="662" t="s">
        <v>44</v>
      </c>
      <c r="HG3" s="662"/>
      <c r="HH3" s="662"/>
      <c r="HI3" s="662" t="s">
        <v>45</v>
      </c>
      <c r="HJ3" s="662"/>
      <c r="HK3" s="617"/>
    </row>
    <row r="4" spans="1:219" ht="9" customHeight="1">
      <c r="A4" s="643"/>
      <c r="B4" s="617"/>
      <c r="C4" s="617"/>
      <c r="D4" s="615"/>
      <c r="E4" s="647"/>
      <c r="F4" s="648"/>
      <c r="G4" s="649"/>
      <c r="H4" s="647"/>
      <c r="I4" s="648"/>
      <c r="J4" s="649"/>
      <c r="K4" s="650"/>
      <c r="L4" s="650"/>
      <c r="M4" s="650"/>
      <c r="N4" s="641"/>
      <c r="O4" s="641"/>
      <c r="P4" s="641"/>
      <c r="Q4" s="641"/>
      <c r="R4" s="641"/>
      <c r="S4" s="641"/>
      <c r="T4" s="647"/>
      <c r="U4" s="648"/>
      <c r="V4" s="649"/>
      <c r="W4" s="647"/>
      <c r="X4" s="648"/>
      <c r="Y4" s="649"/>
      <c r="Z4" s="641"/>
      <c r="AA4" s="641"/>
      <c r="AB4" s="641"/>
      <c r="AC4" s="650"/>
      <c r="AD4" s="650"/>
      <c r="AE4" s="650"/>
      <c r="AF4" s="659"/>
      <c r="AG4" s="660"/>
      <c r="AH4" s="661"/>
      <c r="AI4" s="641"/>
      <c r="AJ4" s="641"/>
      <c r="AK4" s="641"/>
      <c r="AL4" s="641"/>
      <c r="AM4" s="641"/>
      <c r="AN4" s="641"/>
      <c r="AO4" s="650"/>
      <c r="AP4" s="650"/>
      <c r="AQ4" s="650"/>
      <c r="AR4" s="650"/>
      <c r="AS4" s="650"/>
      <c r="AT4" s="650"/>
      <c r="AU4" s="641"/>
      <c r="AV4" s="641"/>
      <c r="AW4" s="641"/>
      <c r="AX4" s="641"/>
      <c r="AY4" s="641"/>
      <c r="AZ4" s="641"/>
      <c r="BA4" s="641"/>
      <c r="BB4" s="641"/>
      <c r="BC4" s="641"/>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2"/>
      <c r="DS4" s="642"/>
      <c r="DT4" s="642"/>
      <c r="DU4" s="642"/>
      <c r="DV4" s="642"/>
      <c r="DW4" s="642"/>
      <c r="DX4" s="640"/>
      <c r="DY4" s="640"/>
      <c r="DZ4" s="640"/>
      <c r="EA4" s="640"/>
      <c r="EB4" s="640"/>
      <c r="EC4" s="640"/>
      <c r="ED4" s="640"/>
      <c r="EE4" s="640"/>
      <c r="EF4" s="640"/>
      <c r="EG4" s="640"/>
      <c r="EH4" s="640"/>
      <c r="EI4" s="640"/>
      <c r="EJ4" s="640"/>
      <c r="EK4" s="640"/>
      <c r="EL4" s="640"/>
      <c r="EM4" s="640"/>
      <c r="EN4" s="640"/>
      <c r="EO4" s="640"/>
      <c r="EP4" s="640"/>
      <c r="EQ4" s="640"/>
      <c r="ER4" s="640"/>
      <c r="ES4" s="640"/>
      <c r="ET4" s="640"/>
      <c r="EU4" s="640"/>
      <c r="EV4" s="640"/>
      <c r="EW4" s="640"/>
      <c r="EX4" s="640"/>
      <c r="EY4" s="640"/>
      <c r="EZ4" s="640"/>
      <c r="FA4" s="640"/>
      <c r="FB4" s="640"/>
      <c r="FC4" s="640"/>
      <c r="FD4" s="640"/>
      <c r="FE4" s="640"/>
      <c r="FF4" s="640"/>
      <c r="FG4" s="640"/>
      <c r="FH4" s="640"/>
      <c r="FI4" s="640"/>
      <c r="FJ4" s="640"/>
      <c r="FK4" s="640"/>
      <c r="FL4" s="640"/>
      <c r="FM4" s="640"/>
      <c r="FN4" s="640"/>
      <c r="FO4" s="640"/>
      <c r="FP4" s="640"/>
      <c r="FQ4" s="640"/>
      <c r="FR4" s="640"/>
      <c r="FS4" s="640"/>
      <c r="FT4" s="640"/>
      <c r="FU4" s="640"/>
      <c r="FV4" s="640"/>
      <c r="FW4" s="640"/>
      <c r="FX4" s="640"/>
      <c r="FY4" s="640"/>
      <c r="FZ4" s="640"/>
      <c r="GA4" s="640"/>
      <c r="GB4" s="640"/>
      <c r="GC4" s="640"/>
      <c r="GD4" s="640"/>
      <c r="GE4" s="640"/>
      <c r="GF4" s="655"/>
      <c r="GG4" s="655"/>
      <c r="GH4" s="655"/>
      <c r="GI4" s="655"/>
      <c r="GJ4" s="655"/>
      <c r="GK4" s="655"/>
      <c r="GL4" s="617"/>
      <c r="GM4" s="617"/>
      <c r="GN4" s="672"/>
      <c r="GO4" s="654"/>
      <c r="GP4" s="654"/>
      <c r="GQ4" s="617"/>
      <c r="GR4" s="617"/>
      <c r="GS4" s="636"/>
      <c r="GT4" s="637"/>
      <c r="GU4" s="637"/>
      <c r="GV4" s="637"/>
      <c r="GW4" s="669"/>
      <c r="GX4" s="617"/>
      <c r="GY4" s="617"/>
      <c r="GZ4" s="617"/>
      <c r="HA4" s="617"/>
      <c r="HB4" s="667"/>
      <c r="HC4" s="674"/>
      <c r="HD4" s="636"/>
      <c r="HE4" s="637"/>
      <c r="HF4" s="662"/>
      <c r="HG4" s="662"/>
      <c r="HH4" s="662"/>
      <c r="HI4" s="662"/>
      <c r="HJ4" s="662"/>
      <c r="HK4" s="617"/>
    </row>
    <row r="5" spans="1:219" ht="12.65" customHeight="1">
      <c r="A5" s="643"/>
      <c r="B5" s="617"/>
      <c r="C5" s="617"/>
      <c r="D5" s="615"/>
      <c r="E5" s="618" t="s">
        <v>46</v>
      </c>
      <c r="F5" s="619" t="s">
        <v>47</v>
      </c>
      <c r="G5" s="617" t="s">
        <v>10924</v>
      </c>
      <c r="H5" s="618" t="s">
        <v>46</v>
      </c>
      <c r="I5" s="619" t="s">
        <v>47</v>
      </c>
      <c r="J5" s="617" t="s">
        <v>10924</v>
      </c>
      <c r="K5" s="618" t="s">
        <v>46</v>
      </c>
      <c r="L5" s="619" t="s">
        <v>47</v>
      </c>
      <c r="M5" s="617" t="s">
        <v>10924</v>
      </c>
      <c r="N5" s="618" t="s">
        <v>46</v>
      </c>
      <c r="O5" s="619" t="s">
        <v>47</v>
      </c>
      <c r="P5" s="617" t="s">
        <v>10924</v>
      </c>
      <c r="Q5" s="618" t="s">
        <v>46</v>
      </c>
      <c r="R5" s="619" t="s">
        <v>47</v>
      </c>
      <c r="S5" s="617" t="s">
        <v>10924</v>
      </c>
      <c r="T5" s="618" t="s">
        <v>46</v>
      </c>
      <c r="U5" s="619" t="s">
        <v>47</v>
      </c>
      <c r="V5" s="617" t="s">
        <v>10924</v>
      </c>
      <c r="W5" s="618" t="s">
        <v>46</v>
      </c>
      <c r="X5" s="619" t="s">
        <v>47</v>
      </c>
      <c r="Y5" s="617" t="s">
        <v>10924</v>
      </c>
      <c r="Z5" s="618" t="s">
        <v>46</v>
      </c>
      <c r="AA5" s="619" t="s">
        <v>47</v>
      </c>
      <c r="AB5" s="617" t="s">
        <v>10924</v>
      </c>
      <c r="AC5" s="618" t="s">
        <v>46</v>
      </c>
      <c r="AD5" s="619" t="s">
        <v>47</v>
      </c>
      <c r="AE5" s="617" t="s">
        <v>10924</v>
      </c>
      <c r="AF5" s="621" t="s">
        <v>19615</v>
      </c>
      <c r="AG5" s="624" t="s">
        <v>10923</v>
      </c>
      <c r="AH5" s="627" t="s">
        <v>12411</v>
      </c>
      <c r="AI5" s="618" t="s">
        <v>46</v>
      </c>
      <c r="AJ5" s="619" t="s">
        <v>47</v>
      </c>
      <c r="AK5" s="617" t="s">
        <v>10924</v>
      </c>
      <c r="AL5" s="618" t="s">
        <v>46</v>
      </c>
      <c r="AM5" s="619" t="s">
        <v>47</v>
      </c>
      <c r="AN5" s="617" t="s">
        <v>10924</v>
      </c>
      <c r="AO5" s="618" t="s">
        <v>46</v>
      </c>
      <c r="AP5" s="619" t="s">
        <v>47</v>
      </c>
      <c r="AQ5" s="617" t="s">
        <v>10924</v>
      </c>
      <c r="AR5" s="618" t="s">
        <v>46</v>
      </c>
      <c r="AS5" s="619" t="s">
        <v>47</v>
      </c>
      <c r="AT5" s="617" t="s">
        <v>10924</v>
      </c>
      <c r="AU5" s="618" t="s">
        <v>46</v>
      </c>
      <c r="AV5" s="619" t="s">
        <v>47</v>
      </c>
      <c r="AW5" s="617" t="s">
        <v>10924</v>
      </c>
      <c r="AX5" s="618" t="s">
        <v>46</v>
      </c>
      <c r="AY5" s="619" t="s">
        <v>47</v>
      </c>
      <c r="AZ5" s="617" t="s">
        <v>10924</v>
      </c>
      <c r="BA5" s="618" t="s">
        <v>46</v>
      </c>
      <c r="BB5" s="619" t="s">
        <v>47</v>
      </c>
      <c r="BC5" s="617" t="s">
        <v>10924</v>
      </c>
      <c r="BD5" s="617" t="s">
        <v>48</v>
      </c>
      <c r="BE5" s="617" t="s">
        <v>134</v>
      </c>
      <c r="BF5" s="620" t="s">
        <v>49</v>
      </c>
      <c r="BG5" s="614" t="s">
        <v>10925</v>
      </c>
      <c r="BH5" s="614" t="s">
        <v>50</v>
      </c>
      <c r="BI5" s="614" t="s">
        <v>10926</v>
      </c>
      <c r="BJ5" s="617" t="s">
        <v>48</v>
      </c>
      <c r="BK5" s="617" t="s">
        <v>134</v>
      </c>
      <c r="BL5" s="620" t="s">
        <v>49</v>
      </c>
      <c r="BM5" s="614" t="s">
        <v>10925</v>
      </c>
      <c r="BN5" s="614" t="s">
        <v>50</v>
      </c>
      <c r="BO5" s="614" t="s">
        <v>10926</v>
      </c>
      <c r="BP5" s="617" t="s">
        <v>48</v>
      </c>
      <c r="BQ5" s="617" t="s">
        <v>134</v>
      </c>
      <c r="BR5" s="620" t="s">
        <v>49</v>
      </c>
      <c r="BS5" s="614" t="s">
        <v>10925</v>
      </c>
      <c r="BT5" s="614" t="s">
        <v>50</v>
      </c>
      <c r="BU5" s="614" t="s">
        <v>10926</v>
      </c>
      <c r="BV5" s="617" t="s">
        <v>48</v>
      </c>
      <c r="BW5" s="617" t="s">
        <v>134</v>
      </c>
      <c r="BX5" s="617" t="s">
        <v>49</v>
      </c>
      <c r="BY5" s="614" t="s">
        <v>10925</v>
      </c>
      <c r="BZ5" s="614" t="s">
        <v>50</v>
      </c>
      <c r="CA5" s="614" t="s">
        <v>10926</v>
      </c>
      <c r="CB5" s="617" t="s">
        <v>48</v>
      </c>
      <c r="CC5" s="617" t="s">
        <v>134</v>
      </c>
      <c r="CD5" s="620" t="s">
        <v>49</v>
      </c>
      <c r="CE5" s="614" t="s">
        <v>10925</v>
      </c>
      <c r="CF5" s="614" t="s">
        <v>50</v>
      </c>
      <c r="CG5" s="614" t="s">
        <v>10926</v>
      </c>
      <c r="CH5" s="617" t="s">
        <v>48</v>
      </c>
      <c r="CI5" s="617" t="s">
        <v>134</v>
      </c>
      <c r="CJ5" s="630" t="s">
        <v>49</v>
      </c>
      <c r="CK5" s="614" t="s">
        <v>10925</v>
      </c>
      <c r="CL5" s="614" t="s">
        <v>50</v>
      </c>
      <c r="CM5" s="614" t="s">
        <v>10926</v>
      </c>
      <c r="CN5" s="617" t="s">
        <v>48</v>
      </c>
      <c r="CO5" s="617" t="s">
        <v>134</v>
      </c>
      <c r="CP5" s="620" t="s">
        <v>49</v>
      </c>
      <c r="CQ5" s="614" t="s">
        <v>10925</v>
      </c>
      <c r="CR5" s="614" t="s">
        <v>50</v>
      </c>
      <c r="CS5" s="614" t="s">
        <v>10926</v>
      </c>
      <c r="CT5" s="617" t="s">
        <v>48</v>
      </c>
      <c r="CU5" s="617" t="s">
        <v>134</v>
      </c>
      <c r="CV5" s="620" t="s">
        <v>49</v>
      </c>
      <c r="CW5" s="614" t="s">
        <v>10925</v>
      </c>
      <c r="CX5" s="614" t="s">
        <v>50</v>
      </c>
      <c r="CY5" s="614" t="s">
        <v>10926</v>
      </c>
      <c r="CZ5" s="617" t="s">
        <v>48</v>
      </c>
      <c r="DA5" s="617" t="s">
        <v>134</v>
      </c>
      <c r="DB5" s="620" t="s">
        <v>49</v>
      </c>
      <c r="DC5" s="614" t="s">
        <v>10925</v>
      </c>
      <c r="DD5" s="614" t="s">
        <v>50</v>
      </c>
      <c r="DE5" s="614" t="s">
        <v>10926</v>
      </c>
      <c r="DF5" s="617" t="s">
        <v>48</v>
      </c>
      <c r="DG5" s="617" t="s">
        <v>134</v>
      </c>
      <c r="DH5" s="620" t="s">
        <v>49</v>
      </c>
      <c r="DI5" s="614" t="s">
        <v>10925</v>
      </c>
      <c r="DJ5" s="614" t="s">
        <v>50</v>
      </c>
      <c r="DK5" s="614" t="s">
        <v>10926</v>
      </c>
      <c r="DL5" s="617" t="s">
        <v>48</v>
      </c>
      <c r="DM5" s="617" t="s">
        <v>134</v>
      </c>
      <c r="DN5" s="620" t="s">
        <v>49</v>
      </c>
      <c r="DO5" s="614" t="s">
        <v>10925</v>
      </c>
      <c r="DP5" s="614" t="s">
        <v>50</v>
      </c>
      <c r="DQ5" s="614" t="s">
        <v>10926</v>
      </c>
      <c r="DR5" s="617" t="s">
        <v>48</v>
      </c>
      <c r="DS5" s="617" t="s">
        <v>134</v>
      </c>
      <c r="DT5" s="620" t="s">
        <v>49</v>
      </c>
      <c r="DU5" s="614" t="s">
        <v>10925</v>
      </c>
      <c r="DV5" s="614" t="s">
        <v>50</v>
      </c>
      <c r="DW5" s="614" t="s">
        <v>10926</v>
      </c>
      <c r="DX5" s="617" t="s">
        <v>48</v>
      </c>
      <c r="DY5" s="617" t="s">
        <v>134</v>
      </c>
      <c r="DZ5" s="620" t="s">
        <v>49</v>
      </c>
      <c r="EA5" s="614" t="s">
        <v>10925</v>
      </c>
      <c r="EB5" s="614" t="s">
        <v>50</v>
      </c>
      <c r="EC5" s="614" t="s">
        <v>10926</v>
      </c>
      <c r="ED5" s="617" t="s">
        <v>48</v>
      </c>
      <c r="EE5" s="617" t="s">
        <v>134</v>
      </c>
      <c r="EF5" s="620" t="s">
        <v>49</v>
      </c>
      <c r="EG5" s="614" t="s">
        <v>10925</v>
      </c>
      <c r="EH5" s="614" t="s">
        <v>50</v>
      </c>
      <c r="EI5" s="614" t="s">
        <v>10926</v>
      </c>
      <c r="EJ5" s="617" t="s">
        <v>48</v>
      </c>
      <c r="EK5" s="617" t="s">
        <v>134</v>
      </c>
      <c r="EL5" s="620" t="s">
        <v>49</v>
      </c>
      <c r="EM5" s="614" t="s">
        <v>10925</v>
      </c>
      <c r="EN5" s="614" t="s">
        <v>50</v>
      </c>
      <c r="EO5" s="614" t="s">
        <v>10926</v>
      </c>
      <c r="EP5" s="617" t="s">
        <v>48</v>
      </c>
      <c r="EQ5" s="617" t="s">
        <v>134</v>
      </c>
      <c r="ER5" s="620" t="s">
        <v>49</v>
      </c>
      <c r="ES5" s="614" t="s">
        <v>10925</v>
      </c>
      <c r="ET5" s="614" t="s">
        <v>50</v>
      </c>
      <c r="EU5" s="614" t="s">
        <v>10926</v>
      </c>
      <c r="EV5" s="617" t="s">
        <v>48</v>
      </c>
      <c r="EW5" s="617" t="s">
        <v>134</v>
      </c>
      <c r="EX5" s="620" t="s">
        <v>49</v>
      </c>
      <c r="EY5" s="614" t="s">
        <v>10925</v>
      </c>
      <c r="EZ5" s="614" t="s">
        <v>50</v>
      </c>
      <c r="FA5" s="614" t="s">
        <v>10926</v>
      </c>
      <c r="FB5" s="617" t="s">
        <v>48</v>
      </c>
      <c r="FC5" s="617" t="s">
        <v>134</v>
      </c>
      <c r="FD5" s="620" t="s">
        <v>49</v>
      </c>
      <c r="FE5" s="614" t="s">
        <v>10925</v>
      </c>
      <c r="FF5" s="614" t="s">
        <v>50</v>
      </c>
      <c r="FG5" s="614" t="s">
        <v>10926</v>
      </c>
      <c r="FH5" s="617" t="s">
        <v>48</v>
      </c>
      <c r="FI5" s="617" t="s">
        <v>134</v>
      </c>
      <c r="FJ5" s="620" t="s">
        <v>49</v>
      </c>
      <c r="FK5" s="614" t="s">
        <v>10925</v>
      </c>
      <c r="FL5" s="614" t="s">
        <v>50</v>
      </c>
      <c r="FM5" s="614" t="s">
        <v>10926</v>
      </c>
      <c r="FN5" s="617" t="s">
        <v>48</v>
      </c>
      <c r="FO5" s="617" t="s">
        <v>134</v>
      </c>
      <c r="FP5" s="617" t="s">
        <v>49</v>
      </c>
      <c r="FQ5" s="614" t="s">
        <v>10925</v>
      </c>
      <c r="FR5" s="614" t="s">
        <v>50</v>
      </c>
      <c r="FS5" s="614" t="s">
        <v>10926</v>
      </c>
      <c r="FT5" s="617" t="s">
        <v>48</v>
      </c>
      <c r="FU5" s="617" t="s">
        <v>134</v>
      </c>
      <c r="FV5" s="620" t="s">
        <v>49</v>
      </c>
      <c r="FW5" s="614" t="s">
        <v>10925</v>
      </c>
      <c r="FX5" s="614" t="s">
        <v>50</v>
      </c>
      <c r="FY5" s="614" t="s">
        <v>10926</v>
      </c>
      <c r="FZ5" s="617" t="s">
        <v>48</v>
      </c>
      <c r="GA5" s="617" t="s">
        <v>134</v>
      </c>
      <c r="GB5" s="620" t="s">
        <v>49</v>
      </c>
      <c r="GC5" s="614" t="s">
        <v>10925</v>
      </c>
      <c r="GD5" s="614" t="s">
        <v>50</v>
      </c>
      <c r="GE5" s="614" t="s">
        <v>10926</v>
      </c>
      <c r="GF5" s="617" t="s">
        <v>48</v>
      </c>
      <c r="GG5" s="617" t="s">
        <v>131</v>
      </c>
      <c r="GH5" s="620" t="s">
        <v>49</v>
      </c>
      <c r="GI5" s="614" t="s">
        <v>10925</v>
      </c>
      <c r="GJ5" s="614" t="s">
        <v>50</v>
      </c>
      <c r="GK5" s="614" t="s">
        <v>10926</v>
      </c>
      <c r="GL5" s="617"/>
      <c r="GM5" s="617"/>
      <c r="GN5" s="672"/>
      <c r="GO5" s="654"/>
      <c r="GP5" s="654"/>
      <c r="GQ5" s="617"/>
      <c r="GR5" s="617"/>
      <c r="GS5" s="670"/>
      <c r="GT5" s="638"/>
      <c r="GU5" s="638"/>
      <c r="GV5" s="638"/>
      <c r="GW5" s="671"/>
      <c r="GX5" s="617"/>
      <c r="GY5" s="617"/>
      <c r="GZ5" s="617"/>
      <c r="HA5" s="617"/>
      <c r="HB5" s="667"/>
      <c r="HC5" s="674"/>
      <c r="HD5" s="636"/>
      <c r="HE5" s="637"/>
      <c r="HF5" s="662"/>
      <c r="HG5" s="662"/>
      <c r="HH5" s="662"/>
      <c r="HI5" s="662"/>
      <c r="HJ5" s="662"/>
      <c r="HK5" s="617"/>
    </row>
    <row r="6" spans="1:219" ht="83.4" customHeight="1">
      <c r="A6" s="643"/>
      <c r="B6" s="617"/>
      <c r="C6" s="617"/>
      <c r="D6" s="615"/>
      <c r="E6" s="618"/>
      <c r="F6" s="619"/>
      <c r="G6" s="617"/>
      <c r="H6" s="618"/>
      <c r="I6" s="619"/>
      <c r="J6" s="617"/>
      <c r="K6" s="618"/>
      <c r="L6" s="619"/>
      <c r="M6" s="617"/>
      <c r="N6" s="618"/>
      <c r="O6" s="619"/>
      <c r="P6" s="617"/>
      <c r="Q6" s="618"/>
      <c r="R6" s="619"/>
      <c r="S6" s="617"/>
      <c r="T6" s="618"/>
      <c r="U6" s="619"/>
      <c r="V6" s="617"/>
      <c r="W6" s="618"/>
      <c r="X6" s="619"/>
      <c r="Y6" s="617"/>
      <c r="Z6" s="618"/>
      <c r="AA6" s="619"/>
      <c r="AB6" s="617"/>
      <c r="AC6" s="618"/>
      <c r="AD6" s="619"/>
      <c r="AE6" s="617"/>
      <c r="AF6" s="622"/>
      <c r="AG6" s="625"/>
      <c r="AH6" s="628"/>
      <c r="AI6" s="618"/>
      <c r="AJ6" s="619"/>
      <c r="AK6" s="617"/>
      <c r="AL6" s="618"/>
      <c r="AM6" s="619"/>
      <c r="AN6" s="617"/>
      <c r="AO6" s="618"/>
      <c r="AP6" s="619"/>
      <c r="AQ6" s="617"/>
      <c r="AR6" s="618"/>
      <c r="AS6" s="619"/>
      <c r="AT6" s="617"/>
      <c r="AU6" s="618"/>
      <c r="AV6" s="619"/>
      <c r="AW6" s="617"/>
      <c r="AX6" s="618"/>
      <c r="AY6" s="619"/>
      <c r="AZ6" s="617"/>
      <c r="BA6" s="618"/>
      <c r="BB6" s="619"/>
      <c r="BC6" s="617"/>
      <c r="BD6" s="617"/>
      <c r="BE6" s="617"/>
      <c r="BF6" s="620"/>
      <c r="BG6" s="615"/>
      <c r="BH6" s="615"/>
      <c r="BI6" s="615"/>
      <c r="BJ6" s="617"/>
      <c r="BK6" s="617"/>
      <c r="BL6" s="620"/>
      <c r="BM6" s="615"/>
      <c r="BN6" s="615"/>
      <c r="BO6" s="615"/>
      <c r="BP6" s="617"/>
      <c r="BQ6" s="617"/>
      <c r="BR6" s="620"/>
      <c r="BS6" s="615"/>
      <c r="BT6" s="615"/>
      <c r="BU6" s="615"/>
      <c r="BV6" s="617"/>
      <c r="BW6" s="617"/>
      <c r="BX6" s="617"/>
      <c r="BY6" s="615"/>
      <c r="BZ6" s="615"/>
      <c r="CA6" s="615"/>
      <c r="CB6" s="617"/>
      <c r="CC6" s="617"/>
      <c r="CD6" s="620"/>
      <c r="CE6" s="615"/>
      <c r="CF6" s="615"/>
      <c r="CG6" s="615"/>
      <c r="CH6" s="617"/>
      <c r="CI6" s="617"/>
      <c r="CJ6" s="630"/>
      <c r="CK6" s="615"/>
      <c r="CL6" s="615"/>
      <c r="CM6" s="615"/>
      <c r="CN6" s="617"/>
      <c r="CO6" s="617"/>
      <c r="CP6" s="620"/>
      <c r="CQ6" s="615"/>
      <c r="CR6" s="615"/>
      <c r="CS6" s="615"/>
      <c r="CT6" s="617"/>
      <c r="CU6" s="617"/>
      <c r="CV6" s="620"/>
      <c r="CW6" s="615"/>
      <c r="CX6" s="615"/>
      <c r="CY6" s="615"/>
      <c r="CZ6" s="617"/>
      <c r="DA6" s="617"/>
      <c r="DB6" s="620"/>
      <c r="DC6" s="615"/>
      <c r="DD6" s="615"/>
      <c r="DE6" s="615"/>
      <c r="DF6" s="617"/>
      <c r="DG6" s="617"/>
      <c r="DH6" s="620"/>
      <c r="DI6" s="615"/>
      <c r="DJ6" s="615"/>
      <c r="DK6" s="615"/>
      <c r="DL6" s="617"/>
      <c r="DM6" s="617"/>
      <c r="DN6" s="620"/>
      <c r="DO6" s="615"/>
      <c r="DP6" s="615"/>
      <c r="DQ6" s="615"/>
      <c r="DR6" s="617"/>
      <c r="DS6" s="617"/>
      <c r="DT6" s="620"/>
      <c r="DU6" s="615"/>
      <c r="DV6" s="615"/>
      <c r="DW6" s="615"/>
      <c r="DX6" s="617"/>
      <c r="DY6" s="617"/>
      <c r="DZ6" s="620"/>
      <c r="EA6" s="615"/>
      <c r="EB6" s="615"/>
      <c r="EC6" s="615"/>
      <c r="ED6" s="617"/>
      <c r="EE6" s="617"/>
      <c r="EF6" s="620"/>
      <c r="EG6" s="615"/>
      <c r="EH6" s="615"/>
      <c r="EI6" s="615"/>
      <c r="EJ6" s="617"/>
      <c r="EK6" s="617"/>
      <c r="EL6" s="620"/>
      <c r="EM6" s="615"/>
      <c r="EN6" s="615"/>
      <c r="EO6" s="615"/>
      <c r="EP6" s="617"/>
      <c r="EQ6" s="617"/>
      <c r="ER6" s="620"/>
      <c r="ES6" s="615"/>
      <c r="ET6" s="615"/>
      <c r="EU6" s="615"/>
      <c r="EV6" s="617"/>
      <c r="EW6" s="617"/>
      <c r="EX6" s="620"/>
      <c r="EY6" s="615"/>
      <c r="EZ6" s="615"/>
      <c r="FA6" s="615"/>
      <c r="FB6" s="617"/>
      <c r="FC6" s="617"/>
      <c r="FD6" s="620"/>
      <c r="FE6" s="615"/>
      <c r="FF6" s="615"/>
      <c r="FG6" s="615"/>
      <c r="FH6" s="617"/>
      <c r="FI6" s="617"/>
      <c r="FJ6" s="620"/>
      <c r="FK6" s="615"/>
      <c r="FL6" s="615"/>
      <c r="FM6" s="615"/>
      <c r="FN6" s="617"/>
      <c r="FO6" s="617"/>
      <c r="FP6" s="617"/>
      <c r="FQ6" s="615"/>
      <c r="FR6" s="615"/>
      <c r="FS6" s="615"/>
      <c r="FT6" s="617"/>
      <c r="FU6" s="617"/>
      <c r="FV6" s="620"/>
      <c r="FW6" s="615"/>
      <c r="FX6" s="615"/>
      <c r="FY6" s="615"/>
      <c r="FZ6" s="617"/>
      <c r="GA6" s="617"/>
      <c r="GB6" s="620"/>
      <c r="GC6" s="615"/>
      <c r="GD6" s="615"/>
      <c r="GE6" s="615"/>
      <c r="GF6" s="617"/>
      <c r="GG6" s="617"/>
      <c r="GH6" s="620"/>
      <c r="GI6" s="615"/>
      <c r="GJ6" s="615"/>
      <c r="GK6" s="615"/>
      <c r="GL6" s="617"/>
      <c r="GM6" s="617"/>
      <c r="GN6" s="672"/>
      <c r="GO6" s="654"/>
      <c r="GP6" s="654"/>
      <c r="GQ6" s="617"/>
      <c r="GR6" s="617"/>
      <c r="GS6" s="639" t="s">
        <v>51</v>
      </c>
      <c r="GT6" s="639" t="s">
        <v>52</v>
      </c>
      <c r="GU6" s="639" t="s">
        <v>53</v>
      </c>
      <c r="GV6" s="639" t="s">
        <v>54</v>
      </c>
      <c r="GW6" s="617" t="s">
        <v>10927</v>
      </c>
      <c r="GX6" s="639" t="s">
        <v>55</v>
      </c>
      <c r="GY6" s="639" t="s">
        <v>56</v>
      </c>
      <c r="GZ6" s="639" t="s">
        <v>57</v>
      </c>
      <c r="HA6" s="639" t="s">
        <v>58</v>
      </c>
      <c r="HB6" s="667"/>
      <c r="HC6" s="674"/>
      <c r="HD6" s="636"/>
      <c r="HE6" s="638"/>
      <c r="HF6" s="662"/>
      <c r="HG6" s="662"/>
      <c r="HH6" s="662"/>
      <c r="HI6" s="662"/>
      <c r="HJ6" s="662"/>
      <c r="HK6" s="617"/>
    </row>
    <row r="7" spans="1:219" ht="28.25" customHeight="1">
      <c r="A7" s="643"/>
      <c r="B7" s="617"/>
      <c r="C7" s="617"/>
      <c r="D7" s="615"/>
      <c r="E7" s="618"/>
      <c r="F7" s="619"/>
      <c r="G7" s="617"/>
      <c r="H7" s="618"/>
      <c r="I7" s="619"/>
      <c r="J7" s="617"/>
      <c r="K7" s="618"/>
      <c r="L7" s="619"/>
      <c r="M7" s="617"/>
      <c r="N7" s="618"/>
      <c r="O7" s="619"/>
      <c r="P7" s="617"/>
      <c r="Q7" s="618"/>
      <c r="R7" s="619"/>
      <c r="S7" s="617"/>
      <c r="T7" s="618"/>
      <c r="U7" s="619"/>
      <c r="V7" s="617"/>
      <c r="W7" s="618"/>
      <c r="X7" s="619"/>
      <c r="Y7" s="617"/>
      <c r="Z7" s="618"/>
      <c r="AA7" s="619"/>
      <c r="AB7" s="617"/>
      <c r="AC7" s="618"/>
      <c r="AD7" s="619"/>
      <c r="AE7" s="617"/>
      <c r="AF7" s="623"/>
      <c r="AG7" s="625"/>
      <c r="AH7" s="628"/>
      <c r="AI7" s="618"/>
      <c r="AJ7" s="619"/>
      <c r="AK7" s="617"/>
      <c r="AL7" s="618"/>
      <c r="AM7" s="619"/>
      <c r="AN7" s="617"/>
      <c r="AO7" s="618"/>
      <c r="AP7" s="619"/>
      <c r="AQ7" s="617"/>
      <c r="AR7" s="618"/>
      <c r="AS7" s="619"/>
      <c r="AT7" s="617"/>
      <c r="AU7" s="618"/>
      <c r="AV7" s="619"/>
      <c r="AW7" s="617"/>
      <c r="AX7" s="618"/>
      <c r="AY7" s="619"/>
      <c r="AZ7" s="617"/>
      <c r="BA7" s="618"/>
      <c r="BB7" s="619"/>
      <c r="BC7" s="617"/>
      <c r="BD7" s="617"/>
      <c r="BE7" s="617"/>
      <c r="BF7" s="620"/>
      <c r="BG7" s="615"/>
      <c r="BH7" s="615"/>
      <c r="BI7" s="615"/>
      <c r="BJ7" s="617"/>
      <c r="BK7" s="617"/>
      <c r="BL7" s="620"/>
      <c r="BM7" s="615"/>
      <c r="BN7" s="615"/>
      <c r="BO7" s="615"/>
      <c r="BP7" s="617"/>
      <c r="BQ7" s="617"/>
      <c r="BR7" s="620"/>
      <c r="BS7" s="615"/>
      <c r="BT7" s="615"/>
      <c r="BU7" s="615"/>
      <c r="BV7" s="617"/>
      <c r="BW7" s="617"/>
      <c r="BX7" s="617"/>
      <c r="BY7" s="615"/>
      <c r="BZ7" s="615"/>
      <c r="CA7" s="615"/>
      <c r="CB7" s="617"/>
      <c r="CC7" s="617"/>
      <c r="CD7" s="620"/>
      <c r="CE7" s="615"/>
      <c r="CF7" s="615"/>
      <c r="CG7" s="615"/>
      <c r="CH7" s="617"/>
      <c r="CI7" s="617"/>
      <c r="CJ7" s="630"/>
      <c r="CK7" s="615"/>
      <c r="CL7" s="615"/>
      <c r="CM7" s="615"/>
      <c r="CN7" s="617"/>
      <c r="CO7" s="617"/>
      <c r="CP7" s="620"/>
      <c r="CQ7" s="615"/>
      <c r="CR7" s="615"/>
      <c r="CS7" s="615"/>
      <c r="CT7" s="617"/>
      <c r="CU7" s="617"/>
      <c r="CV7" s="620"/>
      <c r="CW7" s="615"/>
      <c r="CX7" s="615"/>
      <c r="CY7" s="615"/>
      <c r="CZ7" s="617"/>
      <c r="DA7" s="617"/>
      <c r="DB7" s="620"/>
      <c r="DC7" s="615"/>
      <c r="DD7" s="615"/>
      <c r="DE7" s="615"/>
      <c r="DF7" s="617"/>
      <c r="DG7" s="617"/>
      <c r="DH7" s="620"/>
      <c r="DI7" s="615"/>
      <c r="DJ7" s="615"/>
      <c r="DK7" s="615"/>
      <c r="DL7" s="617"/>
      <c r="DM7" s="617"/>
      <c r="DN7" s="620"/>
      <c r="DO7" s="615"/>
      <c r="DP7" s="615"/>
      <c r="DQ7" s="615"/>
      <c r="DR7" s="617"/>
      <c r="DS7" s="617"/>
      <c r="DT7" s="620"/>
      <c r="DU7" s="615"/>
      <c r="DV7" s="615"/>
      <c r="DW7" s="615"/>
      <c r="DX7" s="617"/>
      <c r="DY7" s="617"/>
      <c r="DZ7" s="620"/>
      <c r="EA7" s="615"/>
      <c r="EB7" s="615"/>
      <c r="EC7" s="615"/>
      <c r="ED7" s="617"/>
      <c r="EE7" s="617"/>
      <c r="EF7" s="620"/>
      <c r="EG7" s="615"/>
      <c r="EH7" s="615"/>
      <c r="EI7" s="615"/>
      <c r="EJ7" s="617"/>
      <c r="EK7" s="617"/>
      <c r="EL7" s="620"/>
      <c r="EM7" s="615"/>
      <c r="EN7" s="615"/>
      <c r="EO7" s="615"/>
      <c r="EP7" s="617"/>
      <c r="EQ7" s="617"/>
      <c r="ER7" s="620"/>
      <c r="ES7" s="615"/>
      <c r="ET7" s="615"/>
      <c r="EU7" s="615"/>
      <c r="EV7" s="617"/>
      <c r="EW7" s="617"/>
      <c r="EX7" s="620"/>
      <c r="EY7" s="615"/>
      <c r="EZ7" s="615"/>
      <c r="FA7" s="615"/>
      <c r="FB7" s="617"/>
      <c r="FC7" s="617"/>
      <c r="FD7" s="620"/>
      <c r="FE7" s="615"/>
      <c r="FF7" s="615"/>
      <c r="FG7" s="615"/>
      <c r="FH7" s="617"/>
      <c r="FI7" s="617"/>
      <c r="FJ7" s="620"/>
      <c r="FK7" s="615"/>
      <c r="FL7" s="615"/>
      <c r="FM7" s="615"/>
      <c r="FN7" s="617"/>
      <c r="FO7" s="617"/>
      <c r="FP7" s="617"/>
      <c r="FQ7" s="615"/>
      <c r="FR7" s="615"/>
      <c r="FS7" s="615"/>
      <c r="FT7" s="617"/>
      <c r="FU7" s="617"/>
      <c r="FV7" s="620"/>
      <c r="FW7" s="615"/>
      <c r="FX7" s="615"/>
      <c r="FY7" s="615"/>
      <c r="FZ7" s="617"/>
      <c r="GA7" s="617"/>
      <c r="GB7" s="620"/>
      <c r="GC7" s="615"/>
      <c r="GD7" s="615"/>
      <c r="GE7" s="615"/>
      <c r="GF7" s="617"/>
      <c r="GG7" s="617"/>
      <c r="GH7" s="620"/>
      <c r="GI7" s="615"/>
      <c r="GJ7" s="615"/>
      <c r="GK7" s="615"/>
      <c r="GL7" s="617"/>
      <c r="GM7" s="617"/>
      <c r="GN7" s="672"/>
      <c r="GO7" s="654"/>
      <c r="GP7" s="654"/>
      <c r="GQ7" s="617"/>
      <c r="GR7" s="617"/>
      <c r="GS7" s="639"/>
      <c r="GT7" s="639"/>
      <c r="GU7" s="639"/>
      <c r="GV7" s="639"/>
      <c r="GW7" s="617"/>
      <c r="GX7" s="639"/>
      <c r="GY7" s="639"/>
      <c r="GZ7" s="639"/>
      <c r="HA7" s="639"/>
      <c r="HB7" s="667"/>
      <c r="HC7" s="674"/>
      <c r="HD7" s="605"/>
      <c r="HE7" s="224"/>
      <c r="HF7" s="58" t="s">
        <v>59</v>
      </c>
      <c r="HG7" s="631" t="s">
        <v>60</v>
      </c>
      <c r="HH7" s="632"/>
      <c r="HI7" s="58" t="s">
        <v>61</v>
      </c>
      <c r="HJ7" s="631" t="s">
        <v>62</v>
      </c>
      <c r="HK7" s="633"/>
    </row>
    <row r="8" spans="1:219" ht="132" customHeight="1">
      <c r="A8" s="643"/>
      <c r="B8" s="617"/>
      <c r="C8" s="617"/>
      <c r="D8" s="616"/>
      <c r="E8" s="59" t="s">
        <v>63</v>
      </c>
      <c r="F8" s="619"/>
      <c r="G8" s="617"/>
      <c r="H8" s="59" t="s">
        <v>63</v>
      </c>
      <c r="I8" s="619"/>
      <c r="J8" s="617"/>
      <c r="K8" s="60" t="s">
        <v>63</v>
      </c>
      <c r="L8" s="619"/>
      <c r="M8" s="617"/>
      <c r="N8" s="61" t="s">
        <v>63</v>
      </c>
      <c r="O8" s="619"/>
      <c r="P8" s="617"/>
      <c r="Q8" s="61" t="s">
        <v>63</v>
      </c>
      <c r="R8" s="619"/>
      <c r="S8" s="617"/>
      <c r="T8" s="62" t="s">
        <v>63</v>
      </c>
      <c r="U8" s="619"/>
      <c r="V8" s="617"/>
      <c r="W8" s="62" t="s">
        <v>63</v>
      </c>
      <c r="X8" s="619"/>
      <c r="Y8" s="617"/>
      <c r="Z8" s="62" t="s">
        <v>63</v>
      </c>
      <c r="AA8" s="619"/>
      <c r="AB8" s="617"/>
      <c r="AC8" s="62" t="s">
        <v>63</v>
      </c>
      <c r="AD8" s="619"/>
      <c r="AE8" s="617"/>
      <c r="AF8" s="159" t="s">
        <v>63</v>
      </c>
      <c r="AG8" s="626"/>
      <c r="AH8" s="629"/>
      <c r="AI8" s="62" t="s">
        <v>63</v>
      </c>
      <c r="AJ8" s="619"/>
      <c r="AK8" s="617"/>
      <c r="AL8" s="62" t="s">
        <v>63</v>
      </c>
      <c r="AM8" s="619"/>
      <c r="AN8" s="617"/>
      <c r="AO8" s="62" t="s">
        <v>63</v>
      </c>
      <c r="AP8" s="619"/>
      <c r="AQ8" s="617"/>
      <c r="AR8" s="62" t="s">
        <v>63</v>
      </c>
      <c r="AS8" s="619"/>
      <c r="AT8" s="617"/>
      <c r="AU8" s="62" t="s">
        <v>63</v>
      </c>
      <c r="AV8" s="619"/>
      <c r="AW8" s="617"/>
      <c r="AX8" s="62" t="s">
        <v>63</v>
      </c>
      <c r="AY8" s="619"/>
      <c r="AZ8" s="617"/>
      <c r="BA8" s="62" t="s">
        <v>63</v>
      </c>
      <c r="BB8" s="619"/>
      <c r="BC8" s="617"/>
      <c r="BD8" s="617"/>
      <c r="BE8" s="617"/>
      <c r="BF8" s="620"/>
      <c r="BG8" s="616"/>
      <c r="BH8" s="616"/>
      <c r="BI8" s="616"/>
      <c r="BJ8" s="617"/>
      <c r="BK8" s="617"/>
      <c r="BL8" s="620"/>
      <c r="BM8" s="616"/>
      <c r="BN8" s="616"/>
      <c r="BO8" s="616"/>
      <c r="BP8" s="617"/>
      <c r="BQ8" s="617"/>
      <c r="BR8" s="620"/>
      <c r="BS8" s="616"/>
      <c r="BT8" s="616"/>
      <c r="BU8" s="616"/>
      <c r="BV8" s="617"/>
      <c r="BW8" s="617"/>
      <c r="BX8" s="617"/>
      <c r="BY8" s="616"/>
      <c r="BZ8" s="616"/>
      <c r="CA8" s="616"/>
      <c r="CB8" s="617"/>
      <c r="CC8" s="617"/>
      <c r="CD8" s="620"/>
      <c r="CE8" s="616"/>
      <c r="CF8" s="616"/>
      <c r="CG8" s="616"/>
      <c r="CH8" s="617"/>
      <c r="CI8" s="617"/>
      <c r="CJ8" s="630"/>
      <c r="CK8" s="616"/>
      <c r="CL8" s="616"/>
      <c r="CM8" s="616"/>
      <c r="CN8" s="617"/>
      <c r="CO8" s="617"/>
      <c r="CP8" s="620"/>
      <c r="CQ8" s="616"/>
      <c r="CR8" s="616"/>
      <c r="CS8" s="616"/>
      <c r="CT8" s="617"/>
      <c r="CU8" s="617"/>
      <c r="CV8" s="620"/>
      <c r="CW8" s="616"/>
      <c r="CX8" s="616"/>
      <c r="CY8" s="616"/>
      <c r="CZ8" s="617"/>
      <c r="DA8" s="617"/>
      <c r="DB8" s="620"/>
      <c r="DC8" s="616"/>
      <c r="DD8" s="616"/>
      <c r="DE8" s="616"/>
      <c r="DF8" s="617"/>
      <c r="DG8" s="617"/>
      <c r="DH8" s="620"/>
      <c r="DI8" s="616"/>
      <c r="DJ8" s="616"/>
      <c r="DK8" s="616"/>
      <c r="DL8" s="617"/>
      <c r="DM8" s="617"/>
      <c r="DN8" s="620"/>
      <c r="DO8" s="616"/>
      <c r="DP8" s="616"/>
      <c r="DQ8" s="616"/>
      <c r="DR8" s="617"/>
      <c r="DS8" s="617"/>
      <c r="DT8" s="620"/>
      <c r="DU8" s="616"/>
      <c r="DV8" s="616"/>
      <c r="DW8" s="616"/>
      <c r="DX8" s="617"/>
      <c r="DY8" s="617"/>
      <c r="DZ8" s="620"/>
      <c r="EA8" s="616"/>
      <c r="EB8" s="616"/>
      <c r="EC8" s="616"/>
      <c r="ED8" s="617"/>
      <c r="EE8" s="617"/>
      <c r="EF8" s="620"/>
      <c r="EG8" s="616"/>
      <c r="EH8" s="616"/>
      <c r="EI8" s="616"/>
      <c r="EJ8" s="617"/>
      <c r="EK8" s="617"/>
      <c r="EL8" s="620"/>
      <c r="EM8" s="616"/>
      <c r="EN8" s="616"/>
      <c r="EO8" s="616"/>
      <c r="EP8" s="617"/>
      <c r="EQ8" s="617"/>
      <c r="ER8" s="620"/>
      <c r="ES8" s="616"/>
      <c r="ET8" s="616"/>
      <c r="EU8" s="616"/>
      <c r="EV8" s="617"/>
      <c r="EW8" s="617"/>
      <c r="EX8" s="620"/>
      <c r="EY8" s="616"/>
      <c r="EZ8" s="616"/>
      <c r="FA8" s="616"/>
      <c r="FB8" s="617"/>
      <c r="FC8" s="617"/>
      <c r="FD8" s="620"/>
      <c r="FE8" s="616"/>
      <c r="FF8" s="616"/>
      <c r="FG8" s="616"/>
      <c r="FH8" s="617"/>
      <c r="FI8" s="617"/>
      <c r="FJ8" s="620"/>
      <c r="FK8" s="616"/>
      <c r="FL8" s="616"/>
      <c r="FM8" s="616"/>
      <c r="FN8" s="617"/>
      <c r="FO8" s="617"/>
      <c r="FP8" s="617"/>
      <c r="FQ8" s="616"/>
      <c r="FR8" s="616"/>
      <c r="FS8" s="616"/>
      <c r="FT8" s="617"/>
      <c r="FU8" s="617"/>
      <c r="FV8" s="620"/>
      <c r="FW8" s="616"/>
      <c r="FX8" s="616"/>
      <c r="FY8" s="616"/>
      <c r="FZ8" s="617"/>
      <c r="GA8" s="617"/>
      <c r="GB8" s="620"/>
      <c r="GC8" s="616"/>
      <c r="GD8" s="616"/>
      <c r="GE8" s="616"/>
      <c r="GF8" s="617"/>
      <c r="GG8" s="617"/>
      <c r="GH8" s="620"/>
      <c r="GI8" s="616"/>
      <c r="GJ8" s="616"/>
      <c r="GK8" s="616"/>
      <c r="GL8" s="617"/>
      <c r="GM8" s="617"/>
      <c r="GN8" s="672"/>
      <c r="GO8" s="654"/>
      <c r="GP8" s="654"/>
      <c r="GQ8" s="617"/>
      <c r="GR8" s="617"/>
      <c r="GS8" s="639"/>
      <c r="GT8" s="639"/>
      <c r="GU8" s="639"/>
      <c r="GV8" s="639"/>
      <c r="GW8" s="617"/>
      <c r="GX8" s="639"/>
      <c r="GY8" s="639"/>
      <c r="GZ8" s="639"/>
      <c r="HA8" s="639"/>
      <c r="HB8" s="667"/>
      <c r="HC8" s="675"/>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10" t="s">
        <v>0</v>
      </c>
      <c r="E8" s="710"/>
      <c r="F8" s="710"/>
      <c r="G8" s="710"/>
      <c r="H8" s="710"/>
      <c r="I8" s="710"/>
      <c r="J8" s="710"/>
      <c r="K8" s="710"/>
      <c r="L8" s="710"/>
      <c r="M8" s="710"/>
      <c r="N8" s="710" t="s">
        <v>1</v>
      </c>
      <c r="O8" s="710"/>
      <c r="P8" s="710"/>
      <c r="Q8" s="710"/>
      <c r="R8" s="710"/>
      <c r="S8" s="710"/>
      <c r="T8" s="710"/>
      <c r="U8" s="710"/>
      <c r="V8" s="710"/>
      <c r="W8" s="710"/>
      <c r="X8" s="710"/>
      <c r="Y8" s="710"/>
      <c r="Z8" s="710"/>
      <c r="AA8" s="710" t="s">
        <v>12313</v>
      </c>
      <c r="AB8" s="710"/>
      <c r="AC8" s="710"/>
      <c r="AD8" s="710"/>
      <c r="AE8" s="710"/>
      <c r="AF8" s="710"/>
      <c r="AG8" s="710"/>
      <c r="AH8" s="710"/>
      <c r="AI8" s="710"/>
      <c r="AJ8" s="710"/>
      <c r="AK8" s="710" t="s">
        <v>12314</v>
      </c>
      <c r="AL8" s="710"/>
      <c r="AM8" s="710"/>
      <c r="AN8" s="710"/>
      <c r="AO8" s="710"/>
      <c r="AP8" s="710"/>
      <c r="AQ8" s="710"/>
      <c r="AU8" s="85"/>
      <c r="AX8" s="85"/>
      <c r="AY8" s="85"/>
      <c r="AZ8" s="85"/>
      <c r="BA8" s="85"/>
      <c r="BB8" s="85"/>
      <c r="BC8" s="85"/>
      <c r="BD8" s="85"/>
    </row>
    <row r="9" spans="3:143" ht="12.65" customHeight="1">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W9" s="85"/>
      <c r="AX9" s="85"/>
      <c r="AY9" s="85"/>
      <c r="AZ9" s="85"/>
      <c r="BA9" s="85"/>
      <c r="BB9" s="85"/>
      <c r="BC9" s="85"/>
      <c r="BD9" s="85"/>
    </row>
    <row r="10" spans="3:143" ht="12.65" customHeight="1">
      <c r="D10" s="710"/>
      <c r="E10" s="710"/>
      <c r="F10" s="710"/>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85"/>
      <c r="AS10" s="85"/>
      <c r="AT10" s="85"/>
      <c r="AW10" s="85"/>
      <c r="AX10" s="85"/>
      <c r="AY10" s="85"/>
      <c r="AZ10" s="85"/>
      <c r="BA10" s="85"/>
      <c r="BB10" s="85"/>
      <c r="BC10" s="85"/>
      <c r="BD10" s="85"/>
    </row>
    <row r="11" spans="3:143" ht="12.65" customHeight="1">
      <c r="D11" s="711" t="s">
        <v>17068</v>
      </c>
      <c r="E11" s="712"/>
      <c r="F11" s="712"/>
      <c r="G11" s="712"/>
      <c r="H11" s="712"/>
      <c r="I11" s="712"/>
      <c r="J11" s="712"/>
      <c r="K11" s="712"/>
      <c r="L11" s="712"/>
      <c r="M11" s="712"/>
      <c r="N11" s="713" t="str">
        <f>VLOOKUP($D$11,調査票①!$A$2:$HK$1735,2,FALSE)&amp;""</f>
        <v>宮城県</v>
      </c>
      <c r="O11" s="713"/>
      <c r="P11" s="713"/>
      <c r="Q11" s="713"/>
      <c r="R11" s="713"/>
      <c r="S11" s="713"/>
      <c r="T11" s="713"/>
      <c r="U11" s="713"/>
      <c r="V11" s="713"/>
      <c r="W11" s="713"/>
      <c r="X11" s="713"/>
      <c r="Y11" s="713"/>
      <c r="Z11" s="713"/>
      <c r="AA11" s="713" t="str">
        <f>VLOOKUP($D$11,調査票①!$A$3:$HK$1735,3,FALSE)&amp;""</f>
        <v>石巻市</v>
      </c>
      <c r="AB11" s="713"/>
      <c r="AC11" s="713"/>
      <c r="AD11" s="713"/>
      <c r="AE11" s="713"/>
      <c r="AF11" s="713"/>
      <c r="AG11" s="713"/>
      <c r="AH11" s="713"/>
      <c r="AI11" s="713"/>
      <c r="AJ11" s="713"/>
      <c r="AK11" s="714" t="str">
        <f>VLOOKUP($D$11,調査票①!$A$3:$HK$1735,4,FALSE)&amp;""</f>
        <v>都市　Ⅲ－２</v>
      </c>
      <c r="AL11" s="714"/>
      <c r="AM11" s="714"/>
      <c r="AN11" s="714"/>
      <c r="AO11" s="714"/>
      <c r="AP11" s="714"/>
      <c r="AQ11" s="714"/>
      <c r="AR11" s="87"/>
      <c r="AS11" s="87"/>
      <c r="AT11" s="85"/>
      <c r="AW11" s="85"/>
      <c r="AX11" s="85"/>
      <c r="AY11" s="85"/>
      <c r="AZ11" s="85"/>
      <c r="BA11" s="85"/>
      <c r="BB11" s="85"/>
      <c r="BC11" s="85"/>
      <c r="BD11" s="85"/>
      <c r="CC11" s="80"/>
    </row>
    <row r="12" spans="3:143" ht="12.65" customHeight="1">
      <c r="D12" s="712"/>
      <c r="E12" s="712"/>
      <c r="F12" s="712"/>
      <c r="G12" s="712"/>
      <c r="H12" s="712"/>
      <c r="I12" s="712"/>
      <c r="J12" s="712"/>
      <c r="K12" s="712"/>
      <c r="L12" s="712"/>
      <c r="M12" s="712"/>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714"/>
      <c r="AM12" s="714"/>
      <c r="AN12" s="714"/>
      <c r="AO12" s="714"/>
      <c r="AP12" s="714"/>
      <c r="AQ12" s="714"/>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2"/>
      <c r="E13" s="712"/>
      <c r="F13" s="712"/>
      <c r="G13" s="712"/>
      <c r="H13" s="712"/>
      <c r="I13" s="712"/>
      <c r="J13" s="712"/>
      <c r="K13" s="712"/>
      <c r="L13" s="712"/>
      <c r="M13" s="712"/>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4"/>
      <c r="AL13" s="714"/>
      <c r="AM13" s="714"/>
      <c r="AN13" s="714"/>
      <c r="AO13" s="714"/>
      <c r="AP13" s="714"/>
      <c r="AQ13" s="714"/>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9"/>
      <c r="BP19" s="739"/>
      <c r="BQ19" s="739"/>
      <c r="BR19" s="739"/>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40"/>
      <c r="E20" s="741"/>
      <c r="F20" s="741"/>
      <c r="G20" s="741"/>
      <c r="H20" s="741"/>
      <c r="I20" s="741"/>
      <c r="J20" s="741"/>
      <c r="K20" s="741"/>
      <c r="L20" s="741"/>
      <c r="M20" s="742"/>
      <c r="N20" s="746" t="s">
        <v>12316</v>
      </c>
      <c r="O20" s="746"/>
      <c r="P20" s="746"/>
      <c r="Q20" s="746"/>
      <c r="R20" s="747" t="s">
        <v>12317</v>
      </c>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48"/>
      <c r="AZ20" s="748"/>
      <c r="BA20" s="748"/>
      <c r="BB20" s="748"/>
      <c r="BC20" s="748"/>
      <c r="BD20" s="748"/>
      <c r="BE20" s="748"/>
      <c r="BF20" s="748"/>
      <c r="BG20" s="748"/>
      <c r="BH20" s="748"/>
      <c r="BI20" s="749"/>
      <c r="BJ20" s="753" t="s">
        <v>12318</v>
      </c>
      <c r="BK20" s="754"/>
      <c r="BL20" s="754"/>
      <c r="BM20" s="754"/>
      <c r="BN20" s="755"/>
      <c r="BO20" s="759" t="s">
        <v>12319</v>
      </c>
      <c r="BP20" s="760"/>
      <c r="BQ20" s="760"/>
      <c r="BR20" s="761"/>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3"/>
      <c r="E21" s="744"/>
      <c r="F21" s="744"/>
      <c r="G21" s="744"/>
      <c r="H21" s="744"/>
      <c r="I21" s="744"/>
      <c r="J21" s="744"/>
      <c r="K21" s="744"/>
      <c r="L21" s="744"/>
      <c r="M21" s="745"/>
      <c r="N21" s="746"/>
      <c r="O21" s="746"/>
      <c r="P21" s="746"/>
      <c r="Q21" s="746"/>
      <c r="R21" s="750"/>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1"/>
      <c r="BA21" s="751"/>
      <c r="BB21" s="751"/>
      <c r="BC21" s="751"/>
      <c r="BD21" s="751"/>
      <c r="BE21" s="751"/>
      <c r="BF21" s="751"/>
      <c r="BG21" s="751"/>
      <c r="BH21" s="751"/>
      <c r="BI21" s="752"/>
      <c r="BJ21" s="756"/>
      <c r="BK21" s="757"/>
      <c r="BL21" s="757"/>
      <c r="BM21" s="757"/>
      <c r="BN21" s="758"/>
      <c r="BO21" s="762"/>
      <c r="BP21" s="763"/>
      <c r="BQ21" s="763"/>
      <c r="BR21" s="764"/>
      <c r="BS21" s="98"/>
      <c r="BT21" s="100"/>
      <c r="BU21" s="106"/>
      <c r="BV21" s="106"/>
      <c r="BW21" s="106"/>
      <c r="BX21" s="106"/>
      <c r="BY21" s="106"/>
      <c r="BZ21" s="106"/>
      <c r="CA21" s="106"/>
      <c r="CB21" s="107"/>
      <c r="CC21" s="715" t="s">
        <v>12322</v>
      </c>
      <c r="CD21" s="716"/>
      <c r="CE21" s="716"/>
      <c r="CF21" s="716"/>
      <c r="CG21" s="716"/>
      <c r="CH21" s="716"/>
      <c r="CI21" s="716"/>
      <c r="CJ21" s="716"/>
      <c r="CK21" s="716"/>
      <c r="CL21" s="717"/>
      <c r="CM21" s="715" t="str">
        <f>VLOOKUP($D$11,調査票①!$A$3:$HK$1735,194,FALSE)&amp;""</f>
        <v>設置予定無し</v>
      </c>
      <c r="CN21" s="716"/>
      <c r="CO21" s="716"/>
      <c r="CP21" s="716"/>
      <c r="CQ21" s="716"/>
      <c r="CR21" s="716"/>
      <c r="CS21" s="716"/>
      <c r="CT21" s="716"/>
      <c r="CU21" s="716"/>
      <c r="CV21" s="717"/>
      <c r="CW21" s="109"/>
      <c r="CX21" s="110"/>
      <c r="CY21" s="111"/>
      <c r="CZ21" s="721" t="s">
        <v>12323</v>
      </c>
      <c r="DA21" s="722"/>
      <c r="DB21" s="722"/>
      <c r="DC21" s="722"/>
      <c r="DD21" s="722"/>
      <c r="DE21" s="722"/>
      <c r="DF21" s="722"/>
      <c r="DG21" s="722"/>
      <c r="DH21" s="722"/>
      <c r="DI21" s="723"/>
      <c r="DJ21" s="727" t="str">
        <f>VLOOKUP($D$11,調査票①!$A$3:$HK$1735,195,FALSE)&amp;""</f>
        <v>-</v>
      </c>
      <c r="DK21" s="728"/>
      <c r="DL21" s="728"/>
      <c r="DM21" s="728"/>
      <c r="DN21" s="728"/>
      <c r="DO21" s="728"/>
      <c r="DP21" s="728"/>
      <c r="DQ21" s="728"/>
      <c r="DR21" s="728"/>
      <c r="DS21" s="729"/>
      <c r="DT21" s="102"/>
      <c r="DU21" s="102"/>
      <c r="DV21" s="102"/>
      <c r="DW21" s="721" t="s">
        <v>12324</v>
      </c>
      <c r="DX21" s="722"/>
      <c r="DY21" s="722"/>
      <c r="DZ21" s="722"/>
      <c r="EA21" s="722"/>
      <c r="EB21" s="722"/>
      <c r="EC21" s="722"/>
      <c r="ED21" s="722"/>
      <c r="EE21" s="722"/>
      <c r="EF21" s="723"/>
      <c r="EG21" s="733" t="str">
        <f>VLOOKUP($D$11,調査票①!$A$3:$HK$1735,196,FALSE)&amp;""</f>
        <v>委託有</v>
      </c>
      <c r="EH21" s="734"/>
      <c r="EI21" s="734"/>
      <c r="EJ21" s="734"/>
      <c r="EK21" s="734"/>
      <c r="EL21" s="735"/>
      <c r="EM21" s="98"/>
      <c r="EN21" s="98"/>
      <c r="EO21" s="98"/>
      <c r="EP21" s="98"/>
      <c r="EQ21" s="98"/>
      <c r="ER21" s="98"/>
      <c r="ES21" s="100"/>
    </row>
    <row r="22" spans="3:149" ht="19.75" customHeight="1">
      <c r="C22" s="96"/>
      <c r="D22" s="765" t="s">
        <v>12325</v>
      </c>
      <c r="E22" s="766"/>
      <c r="F22" s="766"/>
      <c r="G22" s="766"/>
      <c r="H22" s="766"/>
      <c r="I22" s="766"/>
      <c r="J22" s="766"/>
      <c r="K22" s="766"/>
      <c r="L22" s="766"/>
      <c r="M22" s="767"/>
      <c r="N22" s="771" t="str">
        <f>VLOOKUP($D$11,調査票①!$A$3:$HK$1735,6,FALSE)&amp;""</f>
        <v>　</v>
      </c>
      <c r="O22" s="771"/>
      <c r="P22" s="771"/>
      <c r="Q22" s="771"/>
      <c r="R22" s="772" t="str">
        <f>VLOOKUP($D$11,調査票①!$A$3:$HK$1735,7,FALSE)&amp;""</f>
        <v>　</v>
      </c>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4"/>
      <c r="BJ22" s="778">
        <f>VLOOKUP($AK$11,導入率!$A$4:$AX$37,3,FALSE)</f>
        <v>1</v>
      </c>
      <c r="BK22" s="779"/>
      <c r="BL22" s="779"/>
      <c r="BM22" s="779"/>
      <c r="BN22" s="780"/>
      <c r="BO22" s="784">
        <f>調査票①!E1731</f>
        <v>0.99552715654952073</v>
      </c>
      <c r="BP22" s="785"/>
      <c r="BQ22" s="785"/>
      <c r="BR22" s="786"/>
      <c r="BS22" s="98"/>
      <c r="BT22" s="100"/>
      <c r="CB22" s="107"/>
      <c r="CC22" s="718"/>
      <c r="CD22" s="719"/>
      <c r="CE22" s="719"/>
      <c r="CF22" s="719"/>
      <c r="CG22" s="719"/>
      <c r="CH22" s="719"/>
      <c r="CI22" s="719"/>
      <c r="CJ22" s="719"/>
      <c r="CK22" s="719"/>
      <c r="CL22" s="720"/>
      <c r="CM22" s="718"/>
      <c r="CN22" s="719"/>
      <c r="CO22" s="719"/>
      <c r="CP22" s="719"/>
      <c r="CQ22" s="719"/>
      <c r="CR22" s="719"/>
      <c r="CS22" s="719"/>
      <c r="CT22" s="719"/>
      <c r="CU22" s="719"/>
      <c r="CV22" s="720"/>
      <c r="CW22" s="98"/>
      <c r="CX22" s="98"/>
      <c r="CY22" s="98"/>
      <c r="CZ22" s="724"/>
      <c r="DA22" s="725"/>
      <c r="DB22" s="725"/>
      <c r="DC22" s="725"/>
      <c r="DD22" s="725"/>
      <c r="DE22" s="725"/>
      <c r="DF22" s="725"/>
      <c r="DG22" s="725"/>
      <c r="DH22" s="725"/>
      <c r="DI22" s="726"/>
      <c r="DJ22" s="730"/>
      <c r="DK22" s="731"/>
      <c r="DL22" s="731"/>
      <c r="DM22" s="731"/>
      <c r="DN22" s="731"/>
      <c r="DO22" s="731"/>
      <c r="DP22" s="731"/>
      <c r="DQ22" s="731"/>
      <c r="DR22" s="731"/>
      <c r="DS22" s="732"/>
      <c r="DT22" s="98"/>
      <c r="DU22" s="98"/>
      <c r="DV22" s="98"/>
      <c r="DW22" s="724"/>
      <c r="DX22" s="725"/>
      <c r="DY22" s="725"/>
      <c r="DZ22" s="725"/>
      <c r="EA22" s="725"/>
      <c r="EB22" s="725"/>
      <c r="EC22" s="725"/>
      <c r="ED22" s="725"/>
      <c r="EE22" s="725"/>
      <c r="EF22" s="726"/>
      <c r="EG22" s="736"/>
      <c r="EH22" s="737"/>
      <c r="EI22" s="737"/>
      <c r="EJ22" s="737"/>
      <c r="EK22" s="737"/>
      <c r="EL22" s="738"/>
      <c r="EM22" s="96"/>
      <c r="EN22" s="98"/>
      <c r="EO22" s="98"/>
      <c r="EP22" s="98"/>
      <c r="EQ22" s="98"/>
      <c r="ER22" s="98"/>
      <c r="ES22" s="100"/>
    </row>
    <row r="23" spans="3:149" ht="19.75" customHeight="1">
      <c r="C23" s="96"/>
      <c r="D23" s="768"/>
      <c r="E23" s="769"/>
      <c r="F23" s="769"/>
      <c r="G23" s="769"/>
      <c r="H23" s="769"/>
      <c r="I23" s="769"/>
      <c r="J23" s="769"/>
      <c r="K23" s="769"/>
      <c r="L23" s="769"/>
      <c r="M23" s="770"/>
      <c r="N23" s="771"/>
      <c r="O23" s="771"/>
      <c r="P23" s="771"/>
      <c r="Q23" s="771"/>
      <c r="R23" s="775"/>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7"/>
      <c r="BJ23" s="781"/>
      <c r="BK23" s="782"/>
      <c r="BL23" s="782"/>
      <c r="BM23" s="782"/>
      <c r="BN23" s="783"/>
      <c r="BO23" s="787"/>
      <c r="BP23" s="788"/>
      <c r="BQ23" s="788"/>
      <c r="BR23" s="789"/>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5" t="s">
        <v>12327</v>
      </c>
      <c r="E24" s="766"/>
      <c r="F24" s="766"/>
      <c r="G24" s="766"/>
      <c r="H24" s="766"/>
      <c r="I24" s="766"/>
      <c r="J24" s="766"/>
      <c r="K24" s="766"/>
      <c r="L24" s="766"/>
      <c r="M24" s="767"/>
      <c r="N24" s="771" t="str">
        <f>VLOOKUP($D$11,調査票①!$A$3:$HK$1735,9,FALSE)&amp;""</f>
        <v>　</v>
      </c>
      <c r="O24" s="771"/>
      <c r="P24" s="771"/>
      <c r="Q24" s="771"/>
      <c r="R24" s="772" t="str">
        <f>VLOOKUP($D$11,調査票①!$A$3:$HK$1735,10,FALSE)&amp;""</f>
        <v>　</v>
      </c>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4"/>
      <c r="BJ24" s="778">
        <f>VLOOKUP($AK$11,導入率!$A$4:$AX$37,4,FALSE)</f>
        <v>1</v>
      </c>
      <c r="BK24" s="779"/>
      <c r="BL24" s="779"/>
      <c r="BM24" s="779"/>
      <c r="BN24" s="780"/>
      <c r="BO24" s="784">
        <f>調査票①!H1731</f>
        <v>0.98486932599724897</v>
      </c>
      <c r="BP24" s="785"/>
      <c r="BQ24" s="785"/>
      <c r="BR24" s="786"/>
      <c r="BS24" s="98"/>
      <c r="BT24" s="100"/>
      <c r="CB24" s="96"/>
      <c r="CC24" s="790" t="s">
        <v>12328</v>
      </c>
      <c r="CD24" s="790"/>
      <c r="CE24" s="790"/>
      <c r="CF24" s="790"/>
      <c r="CG24" s="790"/>
      <c r="CH24" s="790"/>
      <c r="CI24" s="790"/>
      <c r="CJ24" s="790"/>
      <c r="CK24" s="790"/>
      <c r="CL24" s="790"/>
      <c r="CM24" s="790"/>
      <c r="CN24" s="790"/>
      <c r="CO24" s="790"/>
      <c r="CP24" s="790"/>
      <c r="CQ24" s="790"/>
      <c r="CR24" s="790"/>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2" t="s">
        <v>70</v>
      </c>
      <c r="DX24" s="793"/>
      <c r="DY24" s="793"/>
      <c r="DZ24" s="793"/>
      <c r="EA24" s="793"/>
      <c r="EB24" s="793"/>
      <c r="EC24" s="793"/>
      <c r="ED24" s="794"/>
      <c r="EE24" s="795" t="s">
        <v>12329</v>
      </c>
      <c r="EF24" s="793"/>
      <c r="EG24" s="793"/>
      <c r="EH24" s="793"/>
      <c r="EI24" s="793"/>
      <c r="EJ24" s="793"/>
      <c r="EK24" s="793"/>
      <c r="EL24" s="794"/>
      <c r="EM24" s="98"/>
      <c r="EN24" s="98"/>
      <c r="EO24" s="98"/>
      <c r="EP24" s="98"/>
      <c r="EQ24" s="98"/>
      <c r="ER24" s="98"/>
      <c r="ES24" s="100"/>
    </row>
    <row r="25" spans="3:149" ht="19.75" customHeight="1">
      <c r="C25" s="96"/>
      <c r="D25" s="768"/>
      <c r="E25" s="769"/>
      <c r="F25" s="769"/>
      <c r="G25" s="769"/>
      <c r="H25" s="769"/>
      <c r="I25" s="769"/>
      <c r="J25" s="769"/>
      <c r="K25" s="769"/>
      <c r="L25" s="769"/>
      <c r="M25" s="770"/>
      <c r="N25" s="771"/>
      <c r="O25" s="771"/>
      <c r="P25" s="771"/>
      <c r="Q25" s="771"/>
      <c r="R25" s="775"/>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7"/>
      <c r="BJ25" s="781"/>
      <c r="BK25" s="782"/>
      <c r="BL25" s="782"/>
      <c r="BM25" s="782"/>
      <c r="BN25" s="783"/>
      <c r="BO25" s="787"/>
      <c r="BP25" s="788"/>
      <c r="BQ25" s="788"/>
      <c r="BR25" s="789"/>
      <c r="BS25" s="98"/>
      <c r="BT25" s="100"/>
      <c r="CA25" s="80"/>
      <c r="CB25" s="113"/>
      <c r="CC25" s="791"/>
      <c r="CD25" s="791"/>
      <c r="CE25" s="791"/>
      <c r="CF25" s="791"/>
      <c r="CG25" s="791"/>
      <c r="CH25" s="791"/>
      <c r="CI25" s="791"/>
      <c r="CJ25" s="791"/>
      <c r="CK25" s="791"/>
      <c r="CL25" s="791"/>
      <c r="CM25" s="790"/>
      <c r="CN25" s="790"/>
      <c r="CO25" s="790"/>
      <c r="CP25" s="790"/>
      <c r="CQ25" s="790"/>
      <c r="CR25" s="790"/>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6" t="s">
        <v>12330</v>
      </c>
      <c r="DX25" s="797"/>
      <c r="DY25" s="797"/>
      <c r="DZ25" s="798"/>
      <c r="EA25" s="701" t="s">
        <v>12331</v>
      </c>
      <c r="EB25" s="802"/>
      <c r="EC25" s="802"/>
      <c r="ED25" s="803"/>
      <c r="EE25" s="796" t="s">
        <v>12330</v>
      </c>
      <c r="EF25" s="797"/>
      <c r="EG25" s="797"/>
      <c r="EH25" s="798"/>
      <c r="EI25" s="701" t="s">
        <v>12331</v>
      </c>
      <c r="EJ25" s="802"/>
      <c r="EK25" s="802"/>
      <c r="EL25" s="803"/>
      <c r="EM25" s="98"/>
      <c r="EN25" s="98"/>
      <c r="EO25" s="98"/>
      <c r="EP25" s="98"/>
      <c r="EQ25" s="98"/>
      <c r="ER25" s="98"/>
      <c r="ES25" s="100"/>
    </row>
    <row r="26" spans="3:149" ht="19.75" customHeight="1">
      <c r="C26" s="96"/>
      <c r="D26" s="765" t="s">
        <v>12332</v>
      </c>
      <c r="E26" s="766"/>
      <c r="F26" s="766"/>
      <c r="G26" s="766"/>
      <c r="H26" s="766"/>
      <c r="I26" s="766"/>
      <c r="J26" s="766"/>
      <c r="K26" s="766"/>
      <c r="L26" s="766"/>
      <c r="M26" s="767"/>
      <c r="N26" s="771" t="str">
        <f>VLOOKUP($D$11,調査票①!$A$3:$HK$1735,12,FALSE)&amp;""</f>
        <v>　</v>
      </c>
      <c r="O26" s="771"/>
      <c r="P26" s="771"/>
      <c r="Q26" s="771"/>
      <c r="R26" s="816" t="str">
        <f>VLOOKUP($D$11,調査票①!$A$3:$HK$1735,13,FALSE)&amp;""</f>
        <v>　</v>
      </c>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4"/>
      <c r="BJ26" s="778">
        <f>VLOOKUP($AK$11,導入率!$A$4:$AX$37,5,FALSE)</f>
        <v>0.90476190476190477</v>
      </c>
      <c r="BK26" s="779"/>
      <c r="BL26" s="779"/>
      <c r="BM26" s="779"/>
      <c r="BN26" s="780"/>
      <c r="BO26" s="784">
        <f>調査票①!K1731</f>
        <v>0.89906542056074767</v>
      </c>
      <c r="BP26" s="785"/>
      <c r="BQ26" s="785"/>
      <c r="BR26" s="786"/>
      <c r="BS26" s="98"/>
      <c r="BT26" s="100"/>
      <c r="CB26" s="113"/>
      <c r="CC26" s="817" t="s">
        <v>12333</v>
      </c>
      <c r="CD26" s="817"/>
      <c r="CE26" s="817"/>
      <c r="CF26" s="817"/>
      <c r="CG26" s="817"/>
      <c r="CH26" s="817"/>
      <c r="CI26" s="817"/>
      <c r="CJ26" s="817"/>
      <c r="CK26" s="817"/>
      <c r="CL26" s="817"/>
      <c r="CM26" s="807" t="str">
        <f>VLOOKUP($D$11,調査票①!$A$3:$HK$1735,197,FALSE)&amp;""</f>
        <v/>
      </c>
      <c r="CN26" s="807"/>
      <c r="CO26" s="807"/>
      <c r="CP26" s="807"/>
      <c r="CQ26" s="807"/>
      <c r="CR26" s="807"/>
      <c r="CS26" s="807"/>
      <c r="CT26" s="807"/>
      <c r="CU26" s="807"/>
      <c r="CV26" s="807"/>
      <c r="CW26" s="114"/>
      <c r="CX26" s="114"/>
      <c r="CY26" s="114"/>
      <c r="CZ26" s="808" t="s">
        <v>12334</v>
      </c>
      <c r="DA26" s="808"/>
      <c r="DB26" s="808"/>
      <c r="DC26" s="808"/>
      <c r="DD26" s="808"/>
      <c r="DE26" s="808"/>
      <c r="DF26" s="808"/>
      <c r="DG26" s="808"/>
      <c r="DH26" s="808"/>
      <c r="DI26" s="808"/>
      <c r="DJ26" s="809" t="str">
        <f>VLOOKUP($D$11,調査票①!$A$3:$HK$1735,198,FALSE)&amp;""</f>
        <v/>
      </c>
      <c r="DK26" s="809"/>
      <c r="DL26" s="809"/>
      <c r="DM26" s="809"/>
      <c r="DN26" s="809"/>
      <c r="DO26" s="809"/>
      <c r="DP26" s="809"/>
      <c r="DQ26" s="809"/>
      <c r="DR26" s="809"/>
      <c r="DS26" s="809"/>
      <c r="DT26" s="114"/>
      <c r="DU26" s="114"/>
      <c r="DV26" s="114"/>
      <c r="DW26" s="799"/>
      <c r="DX26" s="800"/>
      <c r="DY26" s="800"/>
      <c r="DZ26" s="801"/>
      <c r="EA26" s="804"/>
      <c r="EB26" s="805"/>
      <c r="EC26" s="805"/>
      <c r="ED26" s="806"/>
      <c r="EE26" s="799"/>
      <c r="EF26" s="800"/>
      <c r="EG26" s="800"/>
      <c r="EH26" s="801"/>
      <c r="EI26" s="804"/>
      <c r="EJ26" s="805"/>
      <c r="EK26" s="805"/>
      <c r="EL26" s="806"/>
      <c r="EM26" s="98"/>
      <c r="EN26" s="98"/>
      <c r="EO26" s="98"/>
      <c r="EP26" s="98"/>
      <c r="EQ26" s="98"/>
      <c r="ER26" s="98"/>
      <c r="ES26" s="100"/>
    </row>
    <row r="27" spans="3:149" ht="19.75" customHeight="1">
      <c r="C27" s="96"/>
      <c r="D27" s="768"/>
      <c r="E27" s="769"/>
      <c r="F27" s="769"/>
      <c r="G27" s="769"/>
      <c r="H27" s="769"/>
      <c r="I27" s="769"/>
      <c r="J27" s="769"/>
      <c r="K27" s="769"/>
      <c r="L27" s="769"/>
      <c r="M27" s="770"/>
      <c r="N27" s="771"/>
      <c r="O27" s="771"/>
      <c r="P27" s="771"/>
      <c r="Q27" s="771"/>
      <c r="R27" s="775"/>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7"/>
      <c r="BJ27" s="781"/>
      <c r="BK27" s="782"/>
      <c r="BL27" s="782"/>
      <c r="BM27" s="782"/>
      <c r="BN27" s="783"/>
      <c r="BO27" s="787"/>
      <c r="BP27" s="788"/>
      <c r="BQ27" s="788"/>
      <c r="BR27" s="789"/>
      <c r="BS27" s="98"/>
      <c r="BT27" s="100"/>
      <c r="CB27" s="113"/>
      <c r="CC27" s="817"/>
      <c r="CD27" s="817"/>
      <c r="CE27" s="817"/>
      <c r="CF27" s="817"/>
      <c r="CG27" s="817"/>
      <c r="CH27" s="817"/>
      <c r="CI27" s="817"/>
      <c r="CJ27" s="817"/>
      <c r="CK27" s="817"/>
      <c r="CL27" s="817"/>
      <c r="CM27" s="807"/>
      <c r="CN27" s="807"/>
      <c r="CO27" s="807"/>
      <c r="CP27" s="807"/>
      <c r="CQ27" s="807"/>
      <c r="CR27" s="807"/>
      <c r="CS27" s="807"/>
      <c r="CT27" s="807"/>
      <c r="CU27" s="807"/>
      <c r="CV27" s="807"/>
      <c r="CW27" s="114"/>
      <c r="CX27" s="114"/>
      <c r="CY27" s="114"/>
      <c r="CZ27" s="808"/>
      <c r="DA27" s="808"/>
      <c r="DB27" s="808"/>
      <c r="DC27" s="808"/>
      <c r="DD27" s="808"/>
      <c r="DE27" s="808"/>
      <c r="DF27" s="808"/>
      <c r="DG27" s="808"/>
      <c r="DH27" s="808"/>
      <c r="DI27" s="808"/>
      <c r="DJ27" s="809"/>
      <c r="DK27" s="809"/>
      <c r="DL27" s="809"/>
      <c r="DM27" s="809"/>
      <c r="DN27" s="809"/>
      <c r="DO27" s="809"/>
      <c r="DP27" s="809"/>
      <c r="DQ27" s="809"/>
      <c r="DR27" s="809"/>
      <c r="DS27" s="809"/>
      <c r="DT27" s="114"/>
      <c r="DU27" s="114"/>
      <c r="DV27" s="114"/>
      <c r="DW27" s="810">
        <f>VLOOKUP($AK$11,導入率!A4:AX37,43,FALSE)</f>
        <v>0.13333333333333333</v>
      </c>
      <c r="DX27" s="811"/>
      <c r="DY27" s="811"/>
      <c r="DZ27" s="812"/>
      <c r="EA27" s="810">
        <f>VLOOKUP($AK$11,導入率!A4:AX37,44,FALSE)</f>
        <v>0.7</v>
      </c>
      <c r="EB27" s="811"/>
      <c r="EC27" s="811"/>
      <c r="ED27" s="812"/>
      <c r="EE27" s="810">
        <f>調査票①!GL1731</f>
        <v>0.14177803602556652</v>
      </c>
      <c r="EF27" s="811"/>
      <c r="EG27" s="811"/>
      <c r="EH27" s="812"/>
      <c r="EI27" s="810">
        <f>調査票①!GN1731</f>
        <v>0.27425915165601394</v>
      </c>
      <c r="EJ27" s="811"/>
      <c r="EK27" s="811"/>
      <c r="EL27" s="812"/>
      <c r="EM27" s="98"/>
      <c r="EN27" s="98"/>
      <c r="EO27" s="98"/>
      <c r="EP27" s="98"/>
      <c r="EQ27" s="98"/>
      <c r="ER27" s="98"/>
      <c r="ES27" s="100"/>
    </row>
    <row r="28" spans="3:149" ht="19.75" customHeight="1">
      <c r="C28" s="96"/>
      <c r="D28" s="765" t="s">
        <v>12335</v>
      </c>
      <c r="E28" s="766"/>
      <c r="F28" s="766"/>
      <c r="G28" s="766"/>
      <c r="H28" s="766"/>
      <c r="I28" s="766"/>
      <c r="J28" s="766"/>
      <c r="K28" s="766"/>
      <c r="L28" s="766"/>
      <c r="M28" s="767"/>
      <c r="N28" s="771" t="str">
        <f>VLOOKUP($D$11,調査票①!$A$3:$HK$1735,15,FALSE)&amp;""</f>
        <v>　</v>
      </c>
      <c r="O28" s="771"/>
      <c r="P28" s="771"/>
      <c r="Q28" s="771"/>
      <c r="R28" s="772" t="str">
        <f>VLOOKUP($D$11,調査票①!$A$3:$HK$1735,16,FALSE)&amp;""</f>
        <v>　</v>
      </c>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4"/>
      <c r="BJ28" s="778">
        <f>VLOOKUP($AK$11,導入率!$A$4:$AX$37,6,FALSE)</f>
        <v>1</v>
      </c>
      <c r="BK28" s="779"/>
      <c r="BL28" s="779"/>
      <c r="BM28" s="779"/>
      <c r="BN28" s="780"/>
      <c r="BO28" s="784">
        <f>調査票①!N1731</f>
        <v>0.92835820895522392</v>
      </c>
      <c r="BP28" s="785"/>
      <c r="BQ28" s="785"/>
      <c r="BR28" s="786"/>
      <c r="BS28" s="98"/>
      <c r="BT28" s="100"/>
      <c r="CB28" s="113"/>
      <c r="CC28" s="817"/>
      <c r="CD28" s="817"/>
      <c r="CE28" s="817"/>
      <c r="CF28" s="817"/>
      <c r="CG28" s="817"/>
      <c r="CH28" s="817"/>
      <c r="CI28" s="817"/>
      <c r="CJ28" s="817"/>
      <c r="CK28" s="817"/>
      <c r="CL28" s="817"/>
      <c r="CM28" s="807"/>
      <c r="CN28" s="807"/>
      <c r="CO28" s="807"/>
      <c r="CP28" s="807"/>
      <c r="CQ28" s="807"/>
      <c r="CR28" s="807"/>
      <c r="CS28" s="807"/>
      <c r="CT28" s="807"/>
      <c r="CU28" s="807"/>
      <c r="CV28" s="807"/>
      <c r="CW28" s="114"/>
      <c r="CX28" s="114"/>
      <c r="CY28" s="114"/>
      <c r="CZ28" s="808"/>
      <c r="DA28" s="808"/>
      <c r="DB28" s="808"/>
      <c r="DC28" s="808"/>
      <c r="DD28" s="808"/>
      <c r="DE28" s="808"/>
      <c r="DF28" s="808"/>
      <c r="DG28" s="808"/>
      <c r="DH28" s="808"/>
      <c r="DI28" s="808"/>
      <c r="DJ28" s="809"/>
      <c r="DK28" s="809"/>
      <c r="DL28" s="809"/>
      <c r="DM28" s="809"/>
      <c r="DN28" s="809"/>
      <c r="DO28" s="809"/>
      <c r="DP28" s="809"/>
      <c r="DQ28" s="809"/>
      <c r="DR28" s="809"/>
      <c r="DS28" s="809"/>
      <c r="DT28" s="114"/>
      <c r="DU28" s="114"/>
      <c r="DV28" s="114"/>
      <c r="DW28" s="813"/>
      <c r="DX28" s="814"/>
      <c r="DY28" s="814"/>
      <c r="DZ28" s="815"/>
      <c r="EA28" s="813"/>
      <c r="EB28" s="814"/>
      <c r="EC28" s="814"/>
      <c r="ED28" s="815"/>
      <c r="EE28" s="813"/>
      <c r="EF28" s="814"/>
      <c r="EG28" s="814"/>
      <c r="EH28" s="815"/>
      <c r="EI28" s="813"/>
      <c r="EJ28" s="814"/>
      <c r="EK28" s="814"/>
      <c r="EL28" s="815"/>
      <c r="EM28" s="98"/>
      <c r="EN28" s="98"/>
      <c r="EO28" s="98"/>
      <c r="EP28" s="98"/>
      <c r="EQ28" s="98"/>
      <c r="ER28" s="98"/>
      <c r="ES28" s="100"/>
    </row>
    <row r="29" spans="3:149" ht="19.75" customHeight="1">
      <c r="C29" s="96"/>
      <c r="D29" s="768"/>
      <c r="E29" s="769"/>
      <c r="F29" s="769"/>
      <c r="G29" s="769"/>
      <c r="H29" s="769"/>
      <c r="I29" s="769"/>
      <c r="J29" s="769"/>
      <c r="K29" s="769"/>
      <c r="L29" s="769"/>
      <c r="M29" s="770"/>
      <c r="N29" s="771"/>
      <c r="O29" s="771"/>
      <c r="P29" s="771"/>
      <c r="Q29" s="771"/>
      <c r="R29" s="775"/>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7"/>
      <c r="BJ29" s="781"/>
      <c r="BK29" s="782"/>
      <c r="BL29" s="782"/>
      <c r="BM29" s="782"/>
      <c r="BN29" s="783"/>
      <c r="BO29" s="787"/>
      <c r="BP29" s="788"/>
      <c r="BQ29" s="788"/>
      <c r="BR29" s="789"/>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5" t="s">
        <v>12336</v>
      </c>
      <c r="E30" s="766"/>
      <c r="F30" s="766"/>
      <c r="G30" s="766"/>
      <c r="H30" s="766"/>
      <c r="I30" s="766"/>
      <c r="J30" s="766"/>
      <c r="K30" s="766"/>
      <c r="L30" s="766"/>
      <c r="M30" s="767"/>
      <c r="N30" s="771" t="str">
        <f>VLOOKUP($D$11,調査票①!$A$3:$HK$1735,18,FALSE)&amp;""</f>
        <v>　</v>
      </c>
      <c r="O30" s="771"/>
      <c r="P30" s="771"/>
      <c r="Q30" s="771"/>
      <c r="R30" s="772" t="str">
        <f>VLOOKUP($D$11,調査票①!$A$3:$HK$1735,19,FALSE)&amp;""</f>
        <v>　</v>
      </c>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4"/>
      <c r="BJ30" s="778">
        <f>VLOOKUP($AK$11,導入率!$A$4:$AX$37,7,FALSE)</f>
        <v>0.9</v>
      </c>
      <c r="BK30" s="779"/>
      <c r="BL30" s="779"/>
      <c r="BM30" s="779"/>
      <c r="BN30" s="780"/>
      <c r="BO30" s="784">
        <f>調査票①!Q1731</f>
        <v>0.88569321533923306</v>
      </c>
      <c r="BP30" s="785"/>
      <c r="BQ30" s="785"/>
      <c r="BR30" s="786"/>
      <c r="BS30" s="98"/>
      <c r="BT30" s="100"/>
      <c r="EQ30" s="80"/>
    </row>
    <row r="31" spans="3:149" ht="19.75" customHeight="1">
      <c r="C31" s="96"/>
      <c r="D31" s="768"/>
      <c r="E31" s="769"/>
      <c r="F31" s="769"/>
      <c r="G31" s="769"/>
      <c r="H31" s="769"/>
      <c r="I31" s="769"/>
      <c r="J31" s="769"/>
      <c r="K31" s="769"/>
      <c r="L31" s="769"/>
      <c r="M31" s="770"/>
      <c r="N31" s="771"/>
      <c r="O31" s="771"/>
      <c r="P31" s="771"/>
      <c r="Q31" s="771"/>
      <c r="R31" s="775"/>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7"/>
      <c r="BJ31" s="781"/>
      <c r="BK31" s="782"/>
      <c r="BL31" s="782"/>
      <c r="BM31" s="782"/>
      <c r="BN31" s="783"/>
      <c r="BO31" s="787"/>
      <c r="BP31" s="788"/>
      <c r="BQ31" s="788"/>
      <c r="BR31" s="789"/>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5" t="s">
        <v>12337</v>
      </c>
      <c r="E32" s="766"/>
      <c r="F32" s="766"/>
      <c r="G32" s="766"/>
      <c r="H32" s="766"/>
      <c r="I32" s="766"/>
      <c r="J32" s="766"/>
      <c r="K32" s="766"/>
      <c r="L32" s="766"/>
      <c r="M32" s="767"/>
      <c r="N32" s="771" t="str">
        <f>VLOOKUP($D$11,調査票①!$A$3:$HK$1735,21,FALSE)&amp;""</f>
        <v>　</v>
      </c>
      <c r="O32" s="771"/>
      <c r="P32" s="771"/>
      <c r="Q32" s="771"/>
      <c r="R32" s="772" t="str">
        <f>VLOOKUP($D$11,調査票①!$A$3:$HK$1735,22,FALSE)&amp;""</f>
        <v/>
      </c>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4"/>
      <c r="BJ32" s="778">
        <f>VLOOKUP($AK$11,導入率!$A$4:$AX$37,8,FALSE)</f>
        <v>0.95652173913043481</v>
      </c>
      <c r="BK32" s="779"/>
      <c r="BL32" s="779"/>
      <c r="BM32" s="779"/>
      <c r="BN32" s="780"/>
      <c r="BO32" s="784">
        <f>調査票①!T1731</f>
        <v>0.98208469055374592</v>
      </c>
      <c r="BP32" s="785"/>
      <c r="BQ32" s="785"/>
      <c r="BR32" s="786"/>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8"/>
      <c r="E33" s="769"/>
      <c r="F33" s="769"/>
      <c r="G33" s="769"/>
      <c r="H33" s="769"/>
      <c r="I33" s="769"/>
      <c r="J33" s="769"/>
      <c r="K33" s="769"/>
      <c r="L33" s="769"/>
      <c r="M33" s="770"/>
      <c r="N33" s="771"/>
      <c r="O33" s="771"/>
      <c r="P33" s="771"/>
      <c r="Q33" s="771"/>
      <c r="R33" s="775"/>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7"/>
      <c r="BJ33" s="781"/>
      <c r="BK33" s="782"/>
      <c r="BL33" s="782"/>
      <c r="BM33" s="782"/>
      <c r="BN33" s="783"/>
      <c r="BO33" s="787"/>
      <c r="BP33" s="788"/>
      <c r="BQ33" s="788"/>
      <c r="BR33" s="789"/>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5" t="s">
        <v>12338</v>
      </c>
      <c r="E34" s="766"/>
      <c r="F34" s="766"/>
      <c r="G34" s="766"/>
      <c r="H34" s="766"/>
      <c r="I34" s="766"/>
      <c r="J34" s="766"/>
      <c r="K34" s="766"/>
      <c r="L34" s="766"/>
      <c r="M34" s="767"/>
      <c r="N34" s="771" t="str">
        <f>VLOOKUP($D$11,調査票①!$A$3:$HK$1735,24,FALSE)&amp;""</f>
        <v>　</v>
      </c>
      <c r="O34" s="771"/>
      <c r="P34" s="771"/>
      <c r="Q34" s="771"/>
      <c r="R34" s="772" t="str">
        <f>VLOOKUP($D$11,調査票①!$A$3:$HK$1735,25,FALSE)&amp;""</f>
        <v>　</v>
      </c>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4"/>
      <c r="BJ34" s="778">
        <f>VLOOKUP($AK$11,導入率!$A$4:$AX$37,9,FALSE)</f>
        <v>1</v>
      </c>
      <c r="BK34" s="779"/>
      <c r="BL34" s="779"/>
      <c r="BM34" s="779"/>
      <c r="BN34" s="780"/>
      <c r="BO34" s="784">
        <f>調査票①!W1731</f>
        <v>0.97490092470277412</v>
      </c>
      <c r="BP34" s="785"/>
      <c r="BQ34" s="785"/>
      <c r="BR34" s="786"/>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8"/>
      <c r="E35" s="769"/>
      <c r="F35" s="769"/>
      <c r="G35" s="769"/>
      <c r="H35" s="769"/>
      <c r="I35" s="769"/>
      <c r="J35" s="769"/>
      <c r="K35" s="769"/>
      <c r="L35" s="769"/>
      <c r="M35" s="770"/>
      <c r="N35" s="771"/>
      <c r="O35" s="771"/>
      <c r="P35" s="771"/>
      <c r="Q35" s="771"/>
      <c r="R35" s="775"/>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7"/>
      <c r="BJ35" s="781"/>
      <c r="BK35" s="782"/>
      <c r="BL35" s="782"/>
      <c r="BM35" s="782"/>
      <c r="BN35" s="783"/>
      <c r="BO35" s="787"/>
      <c r="BP35" s="788"/>
      <c r="BQ35" s="788"/>
      <c r="BR35" s="789"/>
      <c r="BS35" s="98"/>
      <c r="BT35" s="100"/>
      <c r="CB35" s="109"/>
      <c r="CC35" s="818" t="s">
        <v>39</v>
      </c>
      <c r="CD35" s="819"/>
      <c r="CE35" s="819"/>
      <c r="CF35" s="819"/>
      <c r="CG35" s="819"/>
      <c r="CH35" s="819"/>
      <c r="CI35" s="819"/>
      <c r="CJ35" s="819"/>
      <c r="CK35" s="819"/>
      <c r="CL35" s="820"/>
      <c r="CM35" s="818" t="s">
        <v>12324</v>
      </c>
      <c r="CN35" s="819"/>
      <c r="CO35" s="819"/>
      <c r="CP35" s="819"/>
      <c r="CQ35" s="819"/>
      <c r="CR35" s="819"/>
      <c r="CS35" s="819"/>
      <c r="CT35" s="819"/>
      <c r="CU35" s="819"/>
      <c r="CV35" s="820"/>
      <c r="CW35" s="110"/>
      <c r="CX35" s="110"/>
      <c r="CY35" s="110"/>
      <c r="CZ35" s="110"/>
      <c r="DA35" s="110"/>
      <c r="DB35" s="771" t="s">
        <v>12339</v>
      </c>
      <c r="DC35" s="771"/>
      <c r="DD35" s="771"/>
      <c r="DE35" s="771"/>
      <c r="DF35" s="771"/>
      <c r="DG35" s="771"/>
      <c r="DH35" s="771"/>
      <c r="DI35" s="771"/>
      <c r="DJ35" s="771"/>
      <c r="DK35" s="771"/>
      <c r="DL35" s="771"/>
      <c r="DM35" s="771"/>
      <c r="DN35" s="771"/>
      <c r="DO35" s="771"/>
      <c r="DP35" s="771"/>
      <c r="DQ35" s="771"/>
      <c r="DR35" s="819" t="s">
        <v>12340</v>
      </c>
      <c r="DS35" s="819"/>
      <c r="DT35" s="819"/>
      <c r="DU35" s="819"/>
      <c r="DV35" s="819"/>
      <c r="DW35" s="819"/>
      <c r="DX35" s="819"/>
      <c r="DY35" s="819"/>
      <c r="DZ35" s="819"/>
      <c r="EA35" s="819"/>
      <c r="EB35" s="819"/>
      <c r="EC35" s="819"/>
      <c r="ED35" s="819"/>
      <c r="EE35" s="819"/>
      <c r="EF35" s="819"/>
      <c r="EG35" s="820"/>
      <c r="EH35" s="110"/>
      <c r="EI35" s="792" t="s">
        <v>70</v>
      </c>
      <c r="EJ35" s="793"/>
      <c r="EK35" s="793"/>
      <c r="EL35" s="793"/>
      <c r="EM35" s="793"/>
      <c r="EN35" s="793"/>
      <c r="EO35" s="793"/>
      <c r="EP35" s="794"/>
      <c r="EQ35" s="98"/>
      <c r="ER35" s="98"/>
      <c r="ES35" s="100"/>
    </row>
    <row r="36" spans="3:149" ht="19.75" customHeight="1">
      <c r="C36" s="96"/>
      <c r="D36" s="765" t="s">
        <v>12341</v>
      </c>
      <c r="E36" s="766"/>
      <c r="F36" s="766"/>
      <c r="G36" s="766"/>
      <c r="H36" s="766"/>
      <c r="I36" s="766"/>
      <c r="J36" s="766"/>
      <c r="K36" s="766"/>
      <c r="L36" s="766"/>
      <c r="M36" s="767"/>
      <c r="N36" s="771" t="str">
        <f>VLOOKUP($D$11,調査票①!$A$3:$HK$1735,27,FALSE)&amp;""</f>
        <v/>
      </c>
      <c r="O36" s="771"/>
      <c r="P36" s="771"/>
      <c r="Q36" s="771"/>
      <c r="R36" s="772" t="str">
        <f>VLOOKUP($D$11,調査票①!$A$3:$HK$1735,28,FALSE)&amp;""</f>
        <v/>
      </c>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4"/>
      <c r="BJ36" s="778">
        <f>VLOOKUP($AK$11,導入率!$A$4:$AX$37,10,FALSE)</f>
        <v>0.93333333333333335</v>
      </c>
      <c r="BK36" s="779"/>
      <c r="BL36" s="779"/>
      <c r="BM36" s="779"/>
      <c r="BN36" s="780"/>
      <c r="BO36" s="784">
        <f>調査票①!Z1731</f>
        <v>0.72546419098143233</v>
      </c>
      <c r="BP36" s="785"/>
      <c r="BQ36" s="785"/>
      <c r="BR36" s="786"/>
      <c r="BS36" s="98"/>
      <c r="BT36" s="100"/>
      <c r="CB36" s="109"/>
      <c r="CC36" s="821"/>
      <c r="CD36" s="822"/>
      <c r="CE36" s="822"/>
      <c r="CF36" s="822"/>
      <c r="CG36" s="822"/>
      <c r="CH36" s="822"/>
      <c r="CI36" s="822"/>
      <c r="CJ36" s="822"/>
      <c r="CK36" s="822"/>
      <c r="CL36" s="823"/>
      <c r="CM36" s="821"/>
      <c r="CN36" s="822"/>
      <c r="CO36" s="822"/>
      <c r="CP36" s="822"/>
      <c r="CQ36" s="822"/>
      <c r="CR36" s="822"/>
      <c r="CS36" s="822"/>
      <c r="CT36" s="822"/>
      <c r="CU36" s="822"/>
      <c r="CV36" s="823"/>
      <c r="CW36" s="110"/>
      <c r="CX36" s="110"/>
      <c r="CY36" s="110"/>
      <c r="CZ36" s="110"/>
      <c r="DA36" s="110"/>
      <c r="DB36" s="771"/>
      <c r="DC36" s="771"/>
      <c r="DD36" s="771"/>
      <c r="DE36" s="771"/>
      <c r="DF36" s="771"/>
      <c r="DG36" s="771"/>
      <c r="DH36" s="771"/>
      <c r="DI36" s="771"/>
      <c r="DJ36" s="771"/>
      <c r="DK36" s="771"/>
      <c r="DL36" s="771"/>
      <c r="DM36" s="771"/>
      <c r="DN36" s="771"/>
      <c r="DO36" s="771"/>
      <c r="DP36" s="771"/>
      <c r="DQ36" s="771"/>
      <c r="DR36" s="822"/>
      <c r="DS36" s="822"/>
      <c r="DT36" s="822"/>
      <c r="DU36" s="822"/>
      <c r="DV36" s="822"/>
      <c r="DW36" s="822"/>
      <c r="DX36" s="822"/>
      <c r="DY36" s="822"/>
      <c r="DZ36" s="822"/>
      <c r="EA36" s="822"/>
      <c r="EB36" s="822"/>
      <c r="EC36" s="822"/>
      <c r="ED36" s="822"/>
      <c r="EE36" s="822"/>
      <c r="EF36" s="822"/>
      <c r="EG36" s="823"/>
      <c r="EH36" s="110"/>
      <c r="EI36" s="842" t="s">
        <v>12342</v>
      </c>
      <c r="EJ36" s="797"/>
      <c r="EK36" s="797"/>
      <c r="EL36" s="798"/>
      <c r="EM36" s="824" t="s">
        <v>12331</v>
      </c>
      <c r="EN36" s="797"/>
      <c r="EO36" s="797"/>
      <c r="EP36" s="798"/>
      <c r="EQ36" s="98"/>
      <c r="ER36" s="98"/>
      <c r="ES36" s="100"/>
    </row>
    <row r="37" spans="3:149" ht="19.75" customHeight="1">
      <c r="C37" s="96"/>
      <c r="D37" s="768"/>
      <c r="E37" s="769"/>
      <c r="F37" s="769"/>
      <c r="G37" s="769"/>
      <c r="H37" s="769"/>
      <c r="I37" s="769"/>
      <c r="J37" s="769"/>
      <c r="K37" s="769"/>
      <c r="L37" s="769"/>
      <c r="M37" s="770"/>
      <c r="N37" s="771"/>
      <c r="O37" s="771"/>
      <c r="P37" s="771"/>
      <c r="Q37" s="771"/>
      <c r="R37" s="775"/>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7"/>
      <c r="BJ37" s="781"/>
      <c r="BK37" s="782"/>
      <c r="BL37" s="782"/>
      <c r="BM37" s="782"/>
      <c r="BN37" s="783"/>
      <c r="BO37" s="787"/>
      <c r="BP37" s="788"/>
      <c r="BQ37" s="788"/>
      <c r="BR37" s="789"/>
      <c r="BS37" s="98"/>
      <c r="BT37" s="100"/>
      <c r="CB37" s="109"/>
      <c r="CC37" s="818" t="str">
        <f>VLOOKUP($D$11,調査票①!$A$3:$HK$1735,199,FALSE)&amp;""</f>
        <v>実施済</v>
      </c>
      <c r="CD37" s="819"/>
      <c r="CE37" s="819"/>
      <c r="CF37" s="819"/>
      <c r="CG37" s="819"/>
      <c r="CH37" s="819"/>
      <c r="CI37" s="819"/>
      <c r="CJ37" s="819"/>
      <c r="CK37" s="819"/>
      <c r="CL37" s="820"/>
      <c r="CM37" s="818" t="str">
        <f>VLOOKUP($D$11,調査票①!$A$3:$HK$1735,200,FALSE)&amp;""</f>
        <v>委託予定無し</v>
      </c>
      <c r="CN37" s="819"/>
      <c r="CO37" s="819"/>
      <c r="CP37" s="819"/>
      <c r="CQ37" s="819"/>
      <c r="CR37" s="819"/>
      <c r="CS37" s="819"/>
      <c r="CT37" s="819"/>
      <c r="CU37" s="819"/>
      <c r="CV37" s="820"/>
      <c r="CW37" s="110"/>
      <c r="CX37" s="110"/>
      <c r="CY37" s="110"/>
      <c r="CZ37" s="110"/>
      <c r="DA37" s="110"/>
      <c r="DB37" s="825" t="s">
        <v>12343</v>
      </c>
      <c r="DC37" s="825"/>
      <c r="DD37" s="825"/>
      <c r="DE37" s="825"/>
      <c r="DF37" s="825" t="s">
        <v>12344</v>
      </c>
      <c r="DG37" s="825"/>
      <c r="DH37" s="825"/>
      <c r="DI37" s="825"/>
      <c r="DJ37" s="826" t="s">
        <v>12345</v>
      </c>
      <c r="DK37" s="826"/>
      <c r="DL37" s="826"/>
      <c r="DM37" s="826"/>
      <c r="DN37" s="825" t="s">
        <v>12346</v>
      </c>
      <c r="DO37" s="825"/>
      <c r="DP37" s="825"/>
      <c r="DQ37" s="825"/>
      <c r="DR37" s="827" t="s">
        <v>12347</v>
      </c>
      <c r="DS37" s="827"/>
      <c r="DT37" s="827"/>
      <c r="DU37" s="828"/>
      <c r="DV37" s="831" t="s">
        <v>12348</v>
      </c>
      <c r="DW37" s="832"/>
      <c r="DX37" s="832"/>
      <c r="DY37" s="833"/>
      <c r="DZ37" s="831" t="s">
        <v>12349</v>
      </c>
      <c r="EA37" s="832"/>
      <c r="EB37" s="832"/>
      <c r="EC37" s="833"/>
      <c r="ED37" s="831" t="s">
        <v>12350</v>
      </c>
      <c r="EE37" s="832"/>
      <c r="EF37" s="832"/>
      <c r="EG37" s="833"/>
      <c r="EH37" s="110"/>
      <c r="EI37" s="799"/>
      <c r="EJ37" s="800"/>
      <c r="EK37" s="800"/>
      <c r="EL37" s="801"/>
      <c r="EM37" s="799"/>
      <c r="EN37" s="800"/>
      <c r="EO37" s="800"/>
      <c r="EP37" s="801"/>
      <c r="EQ37" s="98"/>
      <c r="ER37" s="98"/>
      <c r="ES37" s="100"/>
    </row>
    <row r="38" spans="3:149" ht="19.75" customHeight="1">
      <c r="C38" s="96"/>
      <c r="D38" s="765" t="s">
        <v>12351</v>
      </c>
      <c r="E38" s="766"/>
      <c r="F38" s="766"/>
      <c r="G38" s="766"/>
      <c r="H38" s="766"/>
      <c r="I38" s="766"/>
      <c r="J38" s="766"/>
      <c r="K38" s="766"/>
      <c r="L38" s="766"/>
      <c r="M38" s="767"/>
      <c r="N38" s="771" t="str">
        <f>VLOOKUP($D$11,調査票①!$A$3:$HK$1735,30,FALSE)&amp;""</f>
        <v>　</v>
      </c>
      <c r="O38" s="771"/>
      <c r="P38" s="771"/>
      <c r="Q38" s="771"/>
      <c r="R38" s="772" t="str">
        <f>VLOOKUP($D$11,調査票①!$A$3:$HK$1735,31,FALSE)&amp;""</f>
        <v>　</v>
      </c>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4"/>
      <c r="BJ38" s="778">
        <f>VLOOKUP($AK$11,導入率!$A$4:$AX$37,11,FALSE)</f>
        <v>1</v>
      </c>
      <c r="BK38" s="779"/>
      <c r="BL38" s="779"/>
      <c r="BM38" s="779"/>
      <c r="BN38" s="780"/>
      <c r="BO38" s="784">
        <f>調査票①!AC1731</f>
        <v>0.91211401425178151</v>
      </c>
      <c r="BP38" s="785"/>
      <c r="BQ38" s="785"/>
      <c r="BR38" s="786"/>
      <c r="BS38" s="98"/>
      <c r="BT38" s="100"/>
      <c r="CB38" s="109"/>
      <c r="CC38" s="821"/>
      <c r="CD38" s="822"/>
      <c r="CE38" s="822"/>
      <c r="CF38" s="822"/>
      <c r="CG38" s="822"/>
      <c r="CH38" s="822"/>
      <c r="CI38" s="822"/>
      <c r="CJ38" s="822"/>
      <c r="CK38" s="822"/>
      <c r="CL38" s="823"/>
      <c r="CM38" s="821"/>
      <c r="CN38" s="822"/>
      <c r="CO38" s="822"/>
      <c r="CP38" s="822"/>
      <c r="CQ38" s="822"/>
      <c r="CR38" s="822"/>
      <c r="CS38" s="822"/>
      <c r="CT38" s="822"/>
      <c r="CU38" s="822"/>
      <c r="CV38" s="823"/>
      <c r="CW38" s="110"/>
      <c r="CX38" s="110"/>
      <c r="CY38" s="110"/>
      <c r="CZ38" s="110"/>
      <c r="DA38" s="110"/>
      <c r="DB38" s="825"/>
      <c r="DC38" s="825"/>
      <c r="DD38" s="825"/>
      <c r="DE38" s="825"/>
      <c r="DF38" s="825"/>
      <c r="DG38" s="825"/>
      <c r="DH38" s="825"/>
      <c r="DI38" s="825"/>
      <c r="DJ38" s="826"/>
      <c r="DK38" s="826"/>
      <c r="DL38" s="826"/>
      <c r="DM38" s="826"/>
      <c r="DN38" s="825"/>
      <c r="DO38" s="825"/>
      <c r="DP38" s="825"/>
      <c r="DQ38" s="825"/>
      <c r="DR38" s="829"/>
      <c r="DS38" s="829"/>
      <c r="DT38" s="829"/>
      <c r="DU38" s="830"/>
      <c r="DV38" s="834"/>
      <c r="DW38" s="835"/>
      <c r="DX38" s="835"/>
      <c r="DY38" s="836"/>
      <c r="DZ38" s="834"/>
      <c r="EA38" s="835"/>
      <c r="EB38" s="835"/>
      <c r="EC38" s="836"/>
      <c r="ED38" s="834"/>
      <c r="EE38" s="835"/>
      <c r="EF38" s="835"/>
      <c r="EG38" s="836"/>
      <c r="EH38" s="110"/>
      <c r="EI38" s="810">
        <f>VLOOKUP($AK$11,導入率!A4:AX37,45,FALSE)</f>
        <v>0.6</v>
      </c>
      <c r="EJ38" s="811"/>
      <c r="EK38" s="811"/>
      <c r="EL38" s="812"/>
      <c r="EM38" s="810">
        <f>VLOOKUP($AK$11,導入率!A4:AX37,46,FALSE)</f>
        <v>3.3333333333333333E-2</v>
      </c>
      <c r="EN38" s="811"/>
      <c r="EO38" s="811"/>
      <c r="EP38" s="812"/>
      <c r="EQ38" s="98"/>
      <c r="ER38" s="98"/>
      <c r="ES38" s="100"/>
    </row>
    <row r="39" spans="3:149" ht="19.75" customHeight="1">
      <c r="C39" s="96"/>
      <c r="D39" s="768"/>
      <c r="E39" s="769"/>
      <c r="F39" s="769"/>
      <c r="G39" s="769"/>
      <c r="H39" s="769"/>
      <c r="I39" s="769"/>
      <c r="J39" s="769"/>
      <c r="K39" s="769"/>
      <c r="L39" s="769"/>
      <c r="M39" s="770"/>
      <c r="N39" s="771"/>
      <c r="O39" s="771"/>
      <c r="P39" s="771"/>
      <c r="Q39" s="771"/>
      <c r="R39" s="775"/>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7"/>
      <c r="BJ39" s="781"/>
      <c r="BK39" s="782"/>
      <c r="BL39" s="782"/>
      <c r="BM39" s="782"/>
      <c r="BN39" s="783"/>
      <c r="BO39" s="787"/>
      <c r="BP39" s="788"/>
      <c r="BQ39" s="788"/>
      <c r="BR39" s="789"/>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8" t="str">
        <f>VLOOKUP($D$11,調査票①!$A$3:$HK$1735,201,FALSE)&amp;""</f>
        <v>○</v>
      </c>
      <c r="DC39" s="837"/>
      <c r="DD39" s="837"/>
      <c r="DE39" s="838"/>
      <c r="DF39" s="818" t="str">
        <f>VLOOKUP($D$11,調査票①!$A$3:$HK$1735,202,FALSE)&amp;""</f>
        <v/>
      </c>
      <c r="DG39" s="837"/>
      <c r="DH39" s="837"/>
      <c r="DI39" s="838"/>
      <c r="DJ39" s="818" t="str">
        <f>VLOOKUP($D$11,調査票①!$A$3:$HK$1735,203,FALSE)&amp;""</f>
        <v>○</v>
      </c>
      <c r="DK39" s="837"/>
      <c r="DL39" s="837"/>
      <c r="DM39" s="838"/>
      <c r="DN39" s="818" t="str">
        <f>VLOOKUP($D$11,調査票①!$A$3:$HK$1735,204,FALSE)&amp;""</f>
        <v/>
      </c>
      <c r="DO39" s="837"/>
      <c r="DP39" s="837"/>
      <c r="DQ39" s="838"/>
      <c r="DR39" s="818" t="str">
        <f>VLOOKUP($D$11,調査票①!$A$3:$HK$1735,206,FALSE)&amp;""</f>
        <v>○</v>
      </c>
      <c r="DS39" s="837"/>
      <c r="DT39" s="837"/>
      <c r="DU39" s="838"/>
      <c r="DV39" s="818" t="str">
        <f>VLOOKUP($D$11,調査票①!$A$3:$HK$1735,207,FALSE)&amp;""</f>
        <v>○</v>
      </c>
      <c r="DW39" s="837"/>
      <c r="DX39" s="837"/>
      <c r="DY39" s="838"/>
      <c r="DZ39" s="818" t="str">
        <f>VLOOKUP($D$11,調査票①!$A$3:$HK$1735,208,FALSE)&amp;""</f>
        <v>○</v>
      </c>
      <c r="EA39" s="837"/>
      <c r="EB39" s="837"/>
      <c r="EC39" s="838"/>
      <c r="ED39" s="818" t="str">
        <f>VLOOKUP($D$11,調査票①!$A$3:$HK$1735,209,FALSE)&amp;""</f>
        <v/>
      </c>
      <c r="EE39" s="837"/>
      <c r="EF39" s="837"/>
      <c r="EG39" s="838"/>
      <c r="EH39" s="110"/>
      <c r="EI39" s="813"/>
      <c r="EJ39" s="814"/>
      <c r="EK39" s="814"/>
      <c r="EL39" s="815"/>
      <c r="EM39" s="813"/>
      <c r="EN39" s="814"/>
      <c r="EO39" s="814"/>
      <c r="EP39" s="815"/>
      <c r="EQ39" s="98"/>
      <c r="ER39" s="98"/>
      <c r="ES39" s="100"/>
    </row>
    <row r="40" spans="3:149" ht="19.75" customHeight="1">
      <c r="C40" s="96"/>
      <c r="D40" s="765" t="s">
        <v>12352</v>
      </c>
      <c r="E40" s="766"/>
      <c r="F40" s="766"/>
      <c r="G40" s="766"/>
      <c r="H40" s="766"/>
      <c r="I40" s="766"/>
      <c r="J40" s="766"/>
      <c r="K40" s="766"/>
      <c r="L40" s="766"/>
      <c r="M40" s="767"/>
      <c r="N40" s="771" t="str">
        <f>VLOOKUP($D$11,調査票①!$A$3:$HK$1735,33,FALSE)&amp;""</f>
        <v>○</v>
      </c>
      <c r="O40" s="771"/>
      <c r="P40" s="771"/>
      <c r="Q40" s="771"/>
      <c r="R40" s="772" t="str">
        <f>VLOOKUP($D$11,調査票①!$A$3:$HK$1735,34,FALSE)&amp;""</f>
        <v>当面は委託化せず、現状を維持していく。</v>
      </c>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4"/>
      <c r="BJ40" s="778">
        <f>VLOOKUP($AK$11,導入率!$A$4:$AX$37,12,FALSE)</f>
        <v>0.28000000000000003</v>
      </c>
      <c r="BK40" s="779"/>
      <c r="BL40" s="779"/>
      <c r="BM40" s="779"/>
      <c r="BN40" s="780"/>
      <c r="BO40" s="784">
        <f>調査票①!AF1731</f>
        <v>0.37983034872761545</v>
      </c>
      <c r="BP40" s="785"/>
      <c r="BQ40" s="785"/>
      <c r="BR40" s="786"/>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9"/>
      <c r="DC40" s="840"/>
      <c r="DD40" s="840"/>
      <c r="DE40" s="841"/>
      <c r="DF40" s="839"/>
      <c r="DG40" s="840"/>
      <c r="DH40" s="840"/>
      <c r="DI40" s="841"/>
      <c r="DJ40" s="839"/>
      <c r="DK40" s="840"/>
      <c r="DL40" s="840"/>
      <c r="DM40" s="841"/>
      <c r="DN40" s="839"/>
      <c r="DO40" s="840"/>
      <c r="DP40" s="840"/>
      <c r="DQ40" s="841"/>
      <c r="DR40" s="839"/>
      <c r="DS40" s="840"/>
      <c r="DT40" s="840"/>
      <c r="DU40" s="841"/>
      <c r="DV40" s="839"/>
      <c r="DW40" s="840"/>
      <c r="DX40" s="840"/>
      <c r="DY40" s="841"/>
      <c r="DZ40" s="839"/>
      <c r="EA40" s="840"/>
      <c r="EB40" s="840"/>
      <c r="EC40" s="841"/>
      <c r="ED40" s="839"/>
      <c r="EE40" s="840"/>
      <c r="EF40" s="840"/>
      <c r="EG40" s="841"/>
      <c r="EH40" s="110"/>
      <c r="EI40" s="792" t="s">
        <v>12329</v>
      </c>
      <c r="EJ40" s="793"/>
      <c r="EK40" s="793"/>
      <c r="EL40" s="793"/>
      <c r="EM40" s="793"/>
      <c r="EN40" s="793"/>
      <c r="EO40" s="793"/>
      <c r="EP40" s="794"/>
      <c r="EQ40" s="98"/>
      <c r="ER40" s="98"/>
      <c r="ES40" s="100"/>
    </row>
    <row r="41" spans="3:149" ht="19.75" customHeight="1">
      <c r="C41" s="96"/>
      <c r="D41" s="768"/>
      <c r="E41" s="769"/>
      <c r="F41" s="769"/>
      <c r="G41" s="769"/>
      <c r="H41" s="769"/>
      <c r="I41" s="769"/>
      <c r="J41" s="769"/>
      <c r="K41" s="769"/>
      <c r="L41" s="769"/>
      <c r="M41" s="770"/>
      <c r="N41" s="771"/>
      <c r="O41" s="771"/>
      <c r="P41" s="771"/>
      <c r="Q41" s="771"/>
      <c r="R41" s="775"/>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7"/>
      <c r="BJ41" s="781"/>
      <c r="BK41" s="782"/>
      <c r="BL41" s="782"/>
      <c r="BM41" s="782"/>
      <c r="BN41" s="783"/>
      <c r="BO41" s="787"/>
      <c r="BP41" s="788"/>
      <c r="BQ41" s="788"/>
      <c r="BR41" s="789"/>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2" t="s">
        <v>12342</v>
      </c>
      <c r="EJ41" s="797"/>
      <c r="EK41" s="797"/>
      <c r="EL41" s="798"/>
      <c r="EM41" s="824" t="s">
        <v>12331</v>
      </c>
      <c r="EN41" s="797"/>
      <c r="EO41" s="797"/>
      <c r="EP41" s="798"/>
      <c r="EQ41" s="98"/>
      <c r="ER41" s="98"/>
      <c r="ES41" s="100"/>
    </row>
    <row r="42" spans="3:149" ht="19.75" customHeight="1">
      <c r="C42" s="96"/>
      <c r="D42" s="765" t="s">
        <v>12353</v>
      </c>
      <c r="E42" s="766"/>
      <c r="F42" s="766"/>
      <c r="G42" s="766"/>
      <c r="H42" s="766"/>
      <c r="I42" s="766"/>
      <c r="J42" s="766"/>
      <c r="K42" s="766"/>
      <c r="L42" s="766"/>
      <c r="M42" s="767"/>
      <c r="N42" s="771" t="str">
        <f>VLOOKUP($D$11,調査票①!$A$3:$HK$1735,36,FALSE)&amp;""</f>
        <v>　</v>
      </c>
      <c r="O42" s="771"/>
      <c r="P42" s="771"/>
      <c r="Q42" s="771"/>
      <c r="R42" s="772" t="str">
        <f>VLOOKUP($D$11,調査票①!$A$3:$HK$1735,37,FALSE)&amp;""</f>
        <v>　</v>
      </c>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4"/>
      <c r="BJ42" s="778">
        <f>VLOOKUP($AK$11,導入率!$A$4:$AX$37,13,FALSE)</f>
        <v>1</v>
      </c>
      <c r="BK42" s="779"/>
      <c r="BL42" s="779"/>
      <c r="BM42" s="779"/>
      <c r="BN42" s="780"/>
      <c r="BO42" s="784">
        <f>調査票①!AI1731</f>
        <v>0.98991935483870963</v>
      </c>
      <c r="BP42" s="785"/>
      <c r="BQ42" s="785"/>
      <c r="BR42" s="786"/>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9"/>
      <c r="EJ42" s="800"/>
      <c r="EK42" s="800"/>
      <c r="EL42" s="801"/>
      <c r="EM42" s="799"/>
      <c r="EN42" s="800"/>
      <c r="EO42" s="800"/>
      <c r="EP42" s="801"/>
      <c r="EQ42" s="98"/>
      <c r="ER42" s="98"/>
      <c r="ES42" s="100"/>
    </row>
    <row r="43" spans="3:149" ht="19.75" customHeight="1">
      <c r="C43" s="96"/>
      <c r="D43" s="768"/>
      <c r="E43" s="769"/>
      <c r="F43" s="769"/>
      <c r="G43" s="769"/>
      <c r="H43" s="769"/>
      <c r="I43" s="769"/>
      <c r="J43" s="769"/>
      <c r="K43" s="769"/>
      <c r="L43" s="769"/>
      <c r="M43" s="770"/>
      <c r="N43" s="771"/>
      <c r="O43" s="771"/>
      <c r="P43" s="771"/>
      <c r="Q43" s="771"/>
      <c r="R43" s="775"/>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7"/>
      <c r="BJ43" s="781"/>
      <c r="BK43" s="782"/>
      <c r="BL43" s="782"/>
      <c r="BM43" s="782"/>
      <c r="BN43" s="783"/>
      <c r="BO43" s="787"/>
      <c r="BP43" s="788"/>
      <c r="BQ43" s="788"/>
      <c r="BR43" s="789"/>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10">
        <f>調査票①!GQ1731</f>
        <v>0.3346891342242882</v>
      </c>
      <c r="EJ43" s="811"/>
      <c r="EK43" s="811"/>
      <c r="EL43" s="812"/>
      <c r="EM43" s="810">
        <f>調査票①!GR1731</f>
        <v>3.3120278907611857E-2</v>
      </c>
      <c r="EN43" s="811"/>
      <c r="EO43" s="811"/>
      <c r="EP43" s="812"/>
      <c r="EQ43" s="98"/>
      <c r="ER43" s="98"/>
      <c r="ES43" s="100"/>
    </row>
    <row r="44" spans="3:149" ht="19.75" customHeight="1">
      <c r="C44" s="96"/>
      <c r="D44" s="843" t="s">
        <v>12354</v>
      </c>
      <c r="E44" s="844"/>
      <c r="F44" s="844"/>
      <c r="G44" s="844"/>
      <c r="H44" s="844"/>
      <c r="I44" s="844"/>
      <c r="J44" s="844"/>
      <c r="K44" s="844"/>
      <c r="L44" s="844"/>
      <c r="M44" s="845"/>
      <c r="N44" s="771" t="str">
        <f>VLOOKUP($D$11,調査票①!$A$3:$HK$1735,39,FALSE)&amp;""</f>
        <v>　</v>
      </c>
      <c r="O44" s="771"/>
      <c r="P44" s="771"/>
      <c r="Q44" s="771"/>
      <c r="R44" s="772" t="str">
        <f>VLOOKUP($D$11,調査票①!$A$3:$HK$1735,40,FALSE)&amp;""</f>
        <v>　</v>
      </c>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4"/>
      <c r="BJ44" s="778">
        <f>VLOOKUP($AK$11,導入率!$A$4:$AX$37,14,FALSE)</f>
        <v>0.96666666666666667</v>
      </c>
      <c r="BK44" s="779"/>
      <c r="BL44" s="779"/>
      <c r="BM44" s="779"/>
      <c r="BN44" s="780"/>
      <c r="BO44" s="784">
        <f>調査票①!AL1731</f>
        <v>0.97131931166347996</v>
      </c>
      <c r="BP44" s="785"/>
      <c r="BQ44" s="785"/>
      <c r="BR44" s="786"/>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3"/>
      <c r="EJ44" s="814"/>
      <c r="EK44" s="814"/>
      <c r="EL44" s="815"/>
      <c r="EM44" s="813"/>
      <c r="EN44" s="814"/>
      <c r="EO44" s="814"/>
      <c r="EP44" s="815"/>
      <c r="EQ44" s="98"/>
      <c r="ER44" s="98"/>
      <c r="ES44" s="100"/>
    </row>
    <row r="45" spans="3:149" ht="19.75" customHeight="1">
      <c r="C45" s="96"/>
      <c r="D45" s="846"/>
      <c r="E45" s="847"/>
      <c r="F45" s="847"/>
      <c r="G45" s="847"/>
      <c r="H45" s="847"/>
      <c r="I45" s="847"/>
      <c r="J45" s="847"/>
      <c r="K45" s="847"/>
      <c r="L45" s="847"/>
      <c r="M45" s="848"/>
      <c r="N45" s="771"/>
      <c r="O45" s="771"/>
      <c r="P45" s="771"/>
      <c r="Q45" s="771"/>
      <c r="R45" s="775"/>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7"/>
      <c r="BJ45" s="781"/>
      <c r="BK45" s="782"/>
      <c r="BL45" s="782"/>
      <c r="BM45" s="782"/>
      <c r="BN45" s="783"/>
      <c r="BO45" s="787"/>
      <c r="BP45" s="788"/>
      <c r="BQ45" s="788"/>
      <c r="BR45" s="789"/>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5" t="s">
        <v>12357</v>
      </c>
      <c r="E46" s="766"/>
      <c r="F46" s="766"/>
      <c r="G46" s="766"/>
      <c r="H46" s="766"/>
      <c r="I46" s="766"/>
      <c r="J46" s="766"/>
      <c r="K46" s="766"/>
      <c r="L46" s="766"/>
      <c r="M46" s="767"/>
      <c r="N46" s="771" t="str">
        <f>VLOOKUP($D$11,調査票①!$A$3:$HK$1735,42,FALSE)&amp;""</f>
        <v>　</v>
      </c>
      <c r="O46" s="771"/>
      <c r="P46" s="771"/>
      <c r="Q46" s="771"/>
      <c r="R46" s="772" t="str">
        <f>VLOOKUP($D$11,調査票①!$A$3:$HK$1735,43,FALSE)&amp;""</f>
        <v>　</v>
      </c>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4"/>
      <c r="BJ46" s="778">
        <f>VLOOKUP($AK$11,導入率!$A$4:$AX$37,15,FALSE)</f>
        <v>1</v>
      </c>
      <c r="BK46" s="779"/>
      <c r="BL46" s="779"/>
      <c r="BM46" s="779"/>
      <c r="BN46" s="780"/>
      <c r="BO46" s="784">
        <f>調査票①!AO1731</f>
        <v>0.99052132701421802</v>
      </c>
      <c r="BP46" s="785"/>
      <c r="BQ46" s="785"/>
      <c r="BR46" s="786"/>
      <c r="BS46" s="98"/>
      <c r="BT46" s="100"/>
      <c r="CB46" s="109"/>
      <c r="CC46" s="110"/>
      <c r="CD46" s="110"/>
      <c r="CE46" s="110"/>
      <c r="CF46" s="110"/>
      <c r="CG46" s="110"/>
      <c r="CH46" s="110"/>
      <c r="CI46" s="110"/>
      <c r="CJ46" s="110"/>
      <c r="CK46" s="110"/>
      <c r="CL46" s="110"/>
      <c r="CM46" s="849" t="str">
        <f>VLOOKUP($D$11,調査票①!$A$3:$HK$1735,205,FALSE)&amp;""</f>
        <v>一部の部局（保育所、病院）については、実施していない。</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768"/>
      <c r="E47" s="769"/>
      <c r="F47" s="769"/>
      <c r="G47" s="769"/>
      <c r="H47" s="769"/>
      <c r="I47" s="769"/>
      <c r="J47" s="769"/>
      <c r="K47" s="769"/>
      <c r="L47" s="769"/>
      <c r="M47" s="770"/>
      <c r="N47" s="771"/>
      <c r="O47" s="771"/>
      <c r="P47" s="771"/>
      <c r="Q47" s="771"/>
      <c r="R47" s="775"/>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7"/>
      <c r="BJ47" s="781"/>
      <c r="BK47" s="782"/>
      <c r="BL47" s="782"/>
      <c r="BM47" s="782"/>
      <c r="BN47" s="783"/>
      <c r="BO47" s="787"/>
      <c r="BP47" s="788"/>
      <c r="BQ47" s="788"/>
      <c r="BR47" s="789"/>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765" t="s">
        <v>12358</v>
      </c>
      <c r="E48" s="766"/>
      <c r="F48" s="766"/>
      <c r="G48" s="766"/>
      <c r="H48" s="766"/>
      <c r="I48" s="766"/>
      <c r="J48" s="766"/>
      <c r="K48" s="766"/>
      <c r="L48" s="766"/>
      <c r="M48" s="767"/>
      <c r="N48" s="771" t="str">
        <f>VLOOKUP($D$11,調査票①!$A$3:$HK$1735,45,FALSE)&amp;""</f>
        <v>　</v>
      </c>
      <c r="O48" s="771"/>
      <c r="P48" s="771"/>
      <c r="Q48" s="771"/>
      <c r="R48" s="772" t="str">
        <f>VLOOKUP($D$11,調査票①!$A$3:$HK$1735,46,FALSE)&amp;""</f>
        <v>　</v>
      </c>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4"/>
      <c r="BJ48" s="778">
        <f>VLOOKUP($AK$11,導入率!$A$4:$AX$37,16,FALSE)</f>
        <v>1</v>
      </c>
      <c r="BK48" s="779"/>
      <c r="BL48" s="779"/>
      <c r="BM48" s="779"/>
      <c r="BN48" s="780"/>
      <c r="BO48" s="784">
        <f>調査票①!AR1731</f>
        <v>0.99852507374631272</v>
      </c>
      <c r="BP48" s="785"/>
      <c r="BQ48" s="785"/>
      <c r="BR48" s="786"/>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768"/>
      <c r="E49" s="769"/>
      <c r="F49" s="769"/>
      <c r="G49" s="769"/>
      <c r="H49" s="769"/>
      <c r="I49" s="769"/>
      <c r="J49" s="769"/>
      <c r="K49" s="769"/>
      <c r="L49" s="769"/>
      <c r="M49" s="770"/>
      <c r="N49" s="771"/>
      <c r="O49" s="771"/>
      <c r="P49" s="771"/>
      <c r="Q49" s="771"/>
      <c r="R49" s="775"/>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7"/>
      <c r="BJ49" s="781"/>
      <c r="BK49" s="782"/>
      <c r="BL49" s="782"/>
      <c r="BM49" s="782"/>
      <c r="BN49" s="783"/>
      <c r="BO49" s="787"/>
      <c r="BP49" s="788"/>
      <c r="BQ49" s="788"/>
      <c r="BR49" s="789"/>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43" t="s">
        <v>12359</v>
      </c>
      <c r="E50" s="844"/>
      <c r="F50" s="844"/>
      <c r="G50" s="844"/>
      <c r="H50" s="844"/>
      <c r="I50" s="844"/>
      <c r="J50" s="844"/>
      <c r="K50" s="844"/>
      <c r="L50" s="844"/>
      <c r="M50" s="845"/>
      <c r="N50" s="771" t="str">
        <f>VLOOKUP($D$11,調査票①!$A$3:$HK$1735,48,FALSE)&amp;""</f>
        <v>　</v>
      </c>
      <c r="O50" s="771"/>
      <c r="P50" s="771"/>
      <c r="Q50" s="771"/>
      <c r="R50" s="772" t="str">
        <f>VLOOKUP($D$11,調査票①!$A$3:$HK$1735,49,FALSE)&amp;""</f>
        <v>　</v>
      </c>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4"/>
      <c r="BJ50" s="778">
        <f>VLOOKUP($AK$11,導入率!$A$4:$AX$37,17,FALSE)</f>
        <v>1</v>
      </c>
      <c r="BK50" s="779"/>
      <c r="BL50" s="779"/>
      <c r="BM50" s="779"/>
      <c r="BN50" s="780"/>
      <c r="BO50" s="784">
        <f>調査票①!AU1731</f>
        <v>0.99706916764361075</v>
      </c>
      <c r="BP50" s="785"/>
      <c r="BQ50" s="785"/>
      <c r="BR50" s="786"/>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46"/>
      <c r="E51" s="847"/>
      <c r="F51" s="847"/>
      <c r="G51" s="847"/>
      <c r="H51" s="847"/>
      <c r="I51" s="847"/>
      <c r="J51" s="847"/>
      <c r="K51" s="847"/>
      <c r="L51" s="847"/>
      <c r="M51" s="848"/>
      <c r="N51" s="771"/>
      <c r="O51" s="771"/>
      <c r="P51" s="771"/>
      <c r="Q51" s="771"/>
      <c r="R51" s="775"/>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7"/>
      <c r="BJ51" s="781"/>
      <c r="BK51" s="782"/>
      <c r="BL51" s="782"/>
      <c r="BM51" s="782"/>
      <c r="BN51" s="783"/>
      <c r="BO51" s="787"/>
      <c r="BP51" s="788"/>
      <c r="BQ51" s="788"/>
      <c r="BR51" s="789"/>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43" t="s">
        <v>12360</v>
      </c>
      <c r="E52" s="844"/>
      <c r="F52" s="844"/>
      <c r="G52" s="844"/>
      <c r="H52" s="844"/>
      <c r="I52" s="844"/>
      <c r="J52" s="844"/>
      <c r="K52" s="844"/>
      <c r="L52" s="844"/>
      <c r="M52" s="845"/>
      <c r="N52" s="771" t="str">
        <f>VLOOKUP($D$11,調査票①!$A$3:$HK$1735,51,FALSE)&amp;""</f>
        <v>　</v>
      </c>
      <c r="O52" s="771"/>
      <c r="P52" s="771"/>
      <c r="Q52" s="771"/>
      <c r="R52" s="772" t="str">
        <f>VLOOKUP($D$11,調査票①!$A$3:$HK$1735,52,FALSE)&amp;""</f>
        <v>　</v>
      </c>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4"/>
      <c r="BJ52" s="778">
        <f>VLOOKUP($AK$11,導入率!$A$4:$AX$37,18,FALSE)</f>
        <v>0.93333333333333335</v>
      </c>
      <c r="BK52" s="779"/>
      <c r="BL52" s="779"/>
      <c r="BM52" s="779"/>
      <c r="BN52" s="780"/>
      <c r="BO52" s="784">
        <f>調査票①!AX1731</f>
        <v>0.9783301465901848</v>
      </c>
      <c r="BP52" s="785"/>
      <c r="BQ52" s="785"/>
      <c r="BR52" s="786"/>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6"/>
      <c r="E53" s="847"/>
      <c r="F53" s="847"/>
      <c r="G53" s="847"/>
      <c r="H53" s="847"/>
      <c r="I53" s="847"/>
      <c r="J53" s="847"/>
      <c r="K53" s="847"/>
      <c r="L53" s="847"/>
      <c r="M53" s="848"/>
      <c r="N53" s="771"/>
      <c r="O53" s="771"/>
      <c r="P53" s="771"/>
      <c r="Q53" s="771"/>
      <c r="R53" s="775"/>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7"/>
      <c r="BJ53" s="781"/>
      <c r="BK53" s="782"/>
      <c r="BL53" s="782"/>
      <c r="BM53" s="782"/>
      <c r="BN53" s="783"/>
      <c r="BO53" s="787"/>
      <c r="BP53" s="788"/>
      <c r="BQ53" s="788"/>
      <c r="BR53" s="789"/>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5" t="s">
        <v>12362</v>
      </c>
      <c r="E54" s="766"/>
      <c r="F54" s="766"/>
      <c r="G54" s="766"/>
      <c r="H54" s="766"/>
      <c r="I54" s="766"/>
      <c r="J54" s="766"/>
      <c r="K54" s="766"/>
      <c r="L54" s="766"/>
      <c r="M54" s="767"/>
      <c r="N54" s="771" t="str">
        <f>VLOOKUP($D$11,調査票①!$A$3:$HK$1735,54,FALSE)&amp;""</f>
        <v>　</v>
      </c>
      <c r="O54" s="771"/>
      <c r="P54" s="771"/>
      <c r="Q54" s="771"/>
      <c r="R54" s="772" t="str">
        <f>VLOOKUP($D$11,調査票①!$A$3:$HK$1735,55,FALSE)&amp;""</f>
        <v>　</v>
      </c>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4"/>
      <c r="BJ54" s="778">
        <f>VLOOKUP($AK$11,導入率!$A$4:$AX$37,19,FALSE)</f>
        <v>1</v>
      </c>
      <c r="BK54" s="779"/>
      <c r="BL54" s="779"/>
      <c r="BM54" s="779"/>
      <c r="BN54" s="780"/>
      <c r="BO54" s="784">
        <f>調査票①!BA1731</f>
        <v>0.9625876851130164</v>
      </c>
      <c r="BP54" s="785"/>
      <c r="BQ54" s="785"/>
      <c r="BR54" s="786"/>
      <c r="BS54" s="98"/>
      <c r="BT54" s="100"/>
      <c r="CB54" s="109"/>
      <c r="CC54" s="871" t="s">
        <v>12333</v>
      </c>
      <c r="CD54" s="872"/>
      <c r="CE54" s="872"/>
      <c r="CF54" s="872"/>
      <c r="CG54" s="872"/>
      <c r="CH54" s="872"/>
      <c r="CI54" s="872"/>
      <c r="CJ54" s="872"/>
      <c r="CK54" s="872"/>
      <c r="CL54" s="873"/>
      <c r="CM54" s="714" t="str">
        <f>VLOOKUP($D$11,調査票①!$A$3:$HK$1735,210,FALSE)&amp;""</f>
        <v/>
      </c>
      <c r="CN54" s="714"/>
      <c r="CO54" s="714"/>
      <c r="CP54" s="714"/>
      <c r="CQ54" s="714"/>
      <c r="CR54" s="714"/>
      <c r="CS54" s="714"/>
      <c r="CT54" s="714"/>
      <c r="CU54" s="714"/>
      <c r="CV54" s="714"/>
      <c r="CW54" s="110"/>
      <c r="CX54" s="110"/>
      <c r="CY54" s="110"/>
      <c r="CZ54" s="880" t="s">
        <v>12334</v>
      </c>
      <c r="DA54" s="880"/>
      <c r="DB54" s="880"/>
      <c r="DC54" s="880"/>
      <c r="DD54" s="880"/>
      <c r="DE54" s="880"/>
      <c r="DF54" s="880"/>
      <c r="DG54" s="880"/>
      <c r="DH54" s="880"/>
      <c r="DI54" s="881" t="str">
        <f>VLOOKUP($D$11,調査票①!$A$3:$HK$1735,211,FALSE)&amp;""</f>
        <v/>
      </c>
      <c r="DJ54" s="881"/>
      <c r="DK54" s="881"/>
      <c r="DL54" s="881"/>
      <c r="DM54" s="881"/>
      <c r="DN54" s="881"/>
      <c r="DO54" s="881"/>
      <c r="DP54" s="881"/>
      <c r="DQ54" s="881"/>
      <c r="DR54" s="881"/>
      <c r="DS54" s="881"/>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8"/>
      <c r="E55" s="769"/>
      <c r="F55" s="769"/>
      <c r="G55" s="769"/>
      <c r="H55" s="769"/>
      <c r="I55" s="769"/>
      <c r="J55" s="769"/>
      <c r="K55" s="769"/>
      <c r="L55" s="769"/>
      <c r="M55" s="770"/>
      <c r="N55" s="771"/>
      <c r="O55" s="771"/>
      <c r="P55" s="771"/>
      <c r="Q55" s="771"/>
      <c r="R55" s="775"/>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77"/>
      <c r="BJ55" s="781"/>
      <c r="BK55" s="782"/>
      <c r="BL55" s="782"/>
      <c r="BM55" s="782"/>
      <c r="BN55" s="783"/>
      <c r="BO55" s="787"/>
      <c r="BP55" s="788"/>
      <c r="BQ55" s="788"/>
      <c r="BR55" s="789"/>
      <c r="BS55" s="98"/>
      <c r="BT55" s="100"/>
      <c r="CA55" s="80"/>
      <c r="CB55" s="109"/>
      <c r="CC55" s="874"/>
      <c r="CD55" s="875"/>
      <c r="CE55" s="875"/>
      <c r="CF55" s="875"/>
      <c r="CG55" s="875"/>
      <c r="CH55" s="875"/>
      <c r="CI55" s="875"/>
      <c r="CJ55" s="875"/>
      <c r="CK55" s="875"/>
      <c r="CL55" s="876"/>
      <c r="CM55" s="714"/>
      <c r="CN55" s="714"/>
      <c r="CO55" s="714"/>
      <c r="CP55" s="714"/>
      <c r="CQ55" s="714"/>
      <c r="CR55" s="714"/>
      <c r="CS55" s="714"/>
      <c r="CT55" s="714"/>
      <c r="CU55" s="714"/>
      <c r="CV55" s="714"/>
      <c r="CW55" s="110"/>
      <c r="CX55" s="110"/>
      <c r="CY55" s="110"/>
      <c r="CZ55" s="880"/>
      <c r="DA55" s="880"/>
      <c r="DB55" s="880"/>
      <c r="DC55" s="880"/>
      <c r="DD55" s="880"/>
      <c r="DE55" s="880"/>
      <c r="DF55" s="880"/>
      <c r="DG55" s="880"/>
      <c r="DH55" s="880"/>
      <c r="DI55" s="881"/>
      <c r="DJ55" s="881"/>
      <c r="DK55" s="881"/>
      <c r="DL55" s="881"/>
      <c r="DM55" s="881"/>
      <c r="DN55" s="881"/>
      <c r="DO55" s="881"/>
      <c r="DP55" s="881"/>
      <c r="DQ55" s="881"/>
      <c r="DR55" s="881"/>
      <c r="DS55" s="881"/>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7"/>
      <c r="CD56" s="878"/>
      <c r="CE56" s="878"/>
      <c r="CF56" s="878"/>
      <c r="CG56" s="878"/>
      <c r="CH56" s="878"/>
      <c r="CI56" s="878"/>
      <c r="CJ56" s="878"/>
      <c r="CK56" s="878"/>
      <c r="CL56" s="879"/>
      <c r="CM56" s="714"/>
      <c r="CN56" s="714"/>
      <c r="CO56" s="714"/>
      <c r="CP56" s="714"/>
      <c r="CQ56" s="714"/>
      <c r="CR56" s="714"/>
      <c r="CS56" s="714"/>
      <c r="CT56" s="714"/>
      <c r="CU56" s="714"/>
      <c r="CV56" s="714"/>
      <c r="CW56" s="110"/>
      <c r="CX56" s="110"/>
      <c r="CY56" s="110"/>
      <c r="CZ56" s="880"/>
      <c r="DA56" s="880"/>
      <c r="DB56" s="880"/>
      <c r="DC56" s="880"/>
      <c r="DD56" s="880"/>
      <c r="DE56" s="880"/>
      <c r="DF56" s="880"/>
      <c r="DG56" s="880"/>
      <c r="DH56" s="880"/>
      <c r="DI56" s="881"/>
      <c r="DJ56" s="881"/>
      <c r="DK56" s="881"/>
      <c r="DL56" s="881"/>
      <c r="DM56" s="881"/>
      <c r="DN56" s="881"/>
      <c r="DO56" s="881"/>
      <c r="DP56" s="881"/>
      <c r="DQ56" s="881"/>
      <c r="DR56" s="881"/>
      <c r="DS56" s="881"/>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81"/>
      <c r="EZ60" s="681"/>
      <c r="FA60" s="681"/>
      <c r="FB60" s="681"/>
      <c r="FC60" s="681"/>
      <c r="FD60" s="681"/>
      <c r="FE60" s="681"/>
      <c r="FF60" s="681"/>
      <c r="FG60" s="681"/>
      <c r="FH60" s="681"/>
      <c r="FI60" s="681"/>
      <c r="FJ60" s="681"/>
      <c r="FK60" s="681"/>
      <c r="FL60" s="681"/>
      <c r="FM60" s="681"/>
      <c r="FN60" s="681"/>
      <c r="FO60" s="681"/>
      <c r="FP60" s="681"/>
      <c r="FQ60" s="681"/>
      <c r="FR60" s="681"/>
      <c r="FS60" s="681"/>
      <c r="FT60" s="681"/>
      <c r="FU60" s="681"/>
      <c r="FV60" s="681"/>
      <c r="FW60" s="80"/>
      <c r="FX60" s="80"/>
      <c r="FY60" s="80"/>
      <c r="FZ60" s="80"/>
      <c r="GA60" s="80"/>
      <c r="GB60" s="681"/>
      <c r="GC60" s="681"/>
      <c r="GD60" s="681"/>
      <c r="GE60" s="681"/>
      <c r="GF60" s="681"/>
      <c r="GG60" s="681"/>
      <c r="GH60" s="681"/>
      <c r="GI60" s="681"/>
      <c r="GJ60" s="681"/>
      <c r="GK60" s="681"/>
      <c r="GL60" s="681"/>
      <c r="GM60" s="681"/>
      <c r="GN60" s="681"/>
      <c r="GO60" s="681"/>
      <c r="GP60" s="681"/>
      <c r="GQ60" s="681"/>
      <c r="GR60" s="681"/>
      <c r="GS60" s="681"/>
      <c r="GT60" s="681"/>
      <c r="GU60" s="68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81"/>
      <c r="EZ61" s="681"/>
      <c r="FA61" s="681"/>
      <c r="FB61" s="681"/>
      <c r="FC61" s="681"/>
      <c r="FD61" s="681"/>
      <c r="FE61" s="681"/>
      <c r="FF61" s="681"/>
      <c r="FG61" s="681"/>
      <c r="FH61" s="681"/>
      <c r="FI61" s="681"/>
      <c r="FJ61" s="681"/>
      <c r="FK61" s="681"/>
      <c r="FL61" s="681"/>
      <c r="FM61" s="681"/>
      <c r="FN61" s="681"/>
      <c r="FO61" s="681"/>
      <c r="FP61" s="681"/>
      <c r="FQ61" s="681"/>
      <c r="FR61" s="681"/>
      <c r="FS61" s="681"/>
      <c r="FT61" s="681"/>
      <c r="FU61" s="681"/>
      <c r="FV61" s="681"/>
      <c r="FW61" s="80"/>
      <c r="FX61" s="80"/>
      <c r="FY61" s="80"/>
      <c r="FZ61" s="80"/>
      <c r="GA61" s="80"/>
      <c r="GB61" s="681"/>
      <c r="GC61" s="681"/>
      <c r="GD61" s="681"/>
      <c r="GE61" s="681"/>
      <c r="GF61" s="681"/>
      <c r="GG61" s="681"/>
      <c r="GH61" s="681"/>
      <c r="GI61" s="681"/>
      <c r="GJ61" s="681"/>
      <c r="GK61" s="681"/>
      <c r="GL61" s="681"/>
      <c r="GM61" s="681"/>
      <c r="GN61" s="681"/>
      <c r="GO61" s="681"/>
      <c r="GP61" s="681"/>
      <c r="GQ61" s="681"/>
      <c r="GR61" s="681"/>
      <c r="GS61" s="681"/>
      <c r="GT61" s="681"/>
      <c r="GU61" s="68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58" t="s">
        <v>12364</v>
      </c>
      <c r="EL62" s="859"/>
      <c r="EM62" s="859"/>
      <c r="EN62" s="859"/>
      <c r="EO62" s="859"/>
      <c r="EP62" s="859"/>
      <c r="EQ62" s="859"/>
      <c r="ER62" s="860"/>
      <c r="ES62" s="142"/>
      <c r="EW62" s="80"/>
      <c r="EX62" s="80"/>
      <c r="EY62" s="681"/>
      <c r="EZ62" s="681"/>
      <c r="FA62" s="681"/>
      <c r="FB62" s="681"/>
      <c r="FC62" s="681"/>
      <c r="FD62" s="681"/>
      <c r="FE62" s="681"/>
      <c r="FF62" s="681"/>
      <c r="FG62" s="681"/>
      <c r="FH62" s="681"/>
      <c r="FI62" s="681"/>
      <c r="FJ62" s="681"/>
      <c r="FK62" s="681"/>
      <c r="FL62" s="681"/>
      <c r="FM62" s="681"/>
      <c r="FN62" s="681"/>
      <c r="FO62" s="681"/>
      <c r="FP62" s="681"/>
      <c r="FQ62" s="681"/>
      <c r="FR62" s="681"/>
      <c r="FS62" s="681"/>
      <c r="FT62" s="681"/>
      <c r="FU62" s="681"/>
      <c r="FV62" s="681"/>
      <c r="FW62" s="80"/>
      <c r="FX62" s="80"/>
      <c r="FY62" s="80"/>
      <c r="FZ62" s="80"/>
      <c r="GA62" s="80"/>
      <c r="GB62" s="682"/>
      <c r="GC62" s="682"/>
      <c r="GD62" s="682"/>
      <c r="GE62" s="682"/>
      <c r="GF62" s="682"/>
      <c r="GG62" s="682"/>
      <c r="GH62" s="682"/>
      <c r="GI62" s="682"/>
      <c r="GJ62" s="683"/>
      <c r="GK62" s="683"/>
      <c r="GL62" s="683"/>
      <c r="GM62" s="683"/>
      <c r="GN62" s="683"/>
      <c r="GO62" s="683"/>
      <c r="GP62" s="683"/>
      <c r="GQ62" s="683"/>
      <c r="GR62" s="683"/>
      <c r="GS62" s="683"/>
      <c r="GT62" s="683"/>
      <c r="GU62" s="68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61"/>
      <c r="EL63" s="862"/>
      <c r="EM63" s="862"/>
      <c r="EN63" s="862"/>
      <c r="EO63" s="862"/>
      <c r="EP63" s="862"/>
      <c r="EQ63" s="862"/>
      <c r="ER63" s="863"/>
      <c r="ES63" s="100"/>
      <c r="EW63" s="80"/>
      <c r="EX63" s="80"/>
      <c r="EY63" s="681"/>
      <c r="EZ63" s="681"/>
      <c r="FA63" s="681"/>
      <c r="FB63" s="681"/>
      <c r="FC63" s="681"/>
      <c r="FD63" s="681"/>
      <c r="FE63" s="681"/>
      <c r="FF63" s="681"/>
      <c r="FG63" s="681"/>
      <c r="FH63" s="681"/>
      <c r="FI63" s="681"/>
      <c r="FJ63" s="681"/>
      <c r="FK63" s="681"/>
      <c r="FL63" s="681"/>
      <c r="FM63" s="681"/>
      <c r="FN63" s="681"/>
      <c r="FO63" s="681"/>
      <c r="FP63" s="681"/>
      <c r="FQ63" s="681"/>
      <c r="FR63" s="681"/>
      <c r="FS63" s="681"/>
      <c r="FT63" s="681"/>
      <c r="FU63" s="681"/>
      <c r="FV63" s="681"/>
      <c r="FW63" s="80"/>
      <c r="FX63" s="80"/>
      <c r="FY63" s="80"/>
      <c r="FZ63" s="80"/>
      <c r="GA63" s="80"/>
      <c r="GB63" s="682"/>
      <c r="GC63" s="682"/>
      <c r="GD63" s="682"/>
      <c r="GE63" s="682"/>
      <c r="GF63" s="682"/>
      <c r="GG63" s="682"/>
      <c r="GH63" s="682"/>
      <c r="GI63" s="682"/>
      <c r="GJ63" s="683"/>
      <c r="GK63" s="683"/>
      <c r="GL63" s="683"/>
      <c r="GM63" s="683"/>
      <c r="GN63" s="683"/>
      <c r="GO63" s="683"/>
      <c r="GP63" s="683"/>
      <c r="GQ63" s="683"/>
      <c r="GR63" s="683"/>
      <c r="GS63" s="683"/>
      <c r="GT63" s="683"/>
      <c r="GU63" s="68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9" t="s">
        <v>12326</v>
      </c>
      <c r="BK64" s="739"/>
      <c r="BL64" s="739"/>
      <c r="BM64" s="739"/>
      <c r="BN64" s="739"/>
      <c r="BO64" s="739"/>
      <c r="BP64" s="739"/>
      <c r="BQ64" s="739"/>
      <c r="BR64" s="739"/>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864" t="s">
        <v>12366</v>
      </c>
      <c r="EL64" s="865"/>
      <c r="EM64" s="865"/>
      <c r="EN64" s="866"/>
      <c r="EO64" s="870" t="s">
        <v>12367</v>
      </c>
      <c r="EP64" s="865"/>
      <c r="EQ64" s="865"/>
      <c r="ER64" s="866"/>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2"/>
      <c r="GC64" s="682"/>
      <c r="GD64" s="682"/>
      <c r="GE64" s="682"/>
      <c r="GF64" s="682"/>
      <c r="GG64" s="682"/>
      <c r="GH64" s="682"/>
      <c r="GI64" s="682"/>
      <c r="GJ64" s="683"/>
      <c r="GK64" s="683"/>
      <c r="GL64" s="683"/>
      <c r="GM64" s="683"/>
      <c r="GN64" s="683"/>
      <c r="GO64" s="683"/>
      <c r="GP64" s="683"/>
      <c r="GQ64" s="683"/>
      <c r="GR64" s="683"/>
      <c r="GS64" s="683"/>
      <c r="GT64" s="683"/>
      <c r="GU64" s="683"/>
    </row>
    <row r="65" spans="3:203" ht="20.399999999999999" customHeight="1">
      <c r="C65" s="96"/>
      <c r="D65" s="910"/>
      <c r="E65" s="910"/>
      <c r="F65" s="910"/>
      <c r="G65" s="910"/>
      <c r="H65" s="910"/>
      <c r="I65" s="910"/>
      <c r="J65" s="910"/>
      <c r="K65" s="910"/>
      <c r="L65" s="911" t="s">
        <v>12368</v>
      </c>
      <c r="M65" s="912"/>
      <c r="N65" s="912"/>
      <c r="O65" s="913" t="s">
        <v>12369</v>
      </c>
      <c r="P65" s="914"/>
      <c r="Q65" s="914"/>
      <c r="R65" s="708" t="s">
        <v>12370</v>
      </c>
      <c r="S65" s="708"/>
      <c r="T65" s="708"/>
      <c r="U65" s="915" t="s">
        <v>12371</v>
      </c>
      <c r="V65" s="916"/>
      <c r="W65" s="916"/>
      <c r="X65" s="916"/>
      <c r="Y65" s="916"/>
      <c r="Z65" s="916"/>
      <c r="AA65" s="916"/>
      <c r="AB65" s="916"/>
      <c r="AC65" s="916"/>
      <c r="AD65" s="916"/>
      <c r="AE65" s="916"/>
      <c r="AF65" s="916"/>
      <c r="AG65" s="916"/>
      <c r="AH65" s="916"/>
      <c r="AI65" s="917"/>
      <c r="AJ65" s="911" t="s">
        <v>12372</v>
      </c>
      <c r="AK65" s="912"/>
      <c r="AL65" s="912"/>
      <c r="AM65" s="921" t="s">
        <v>12373</v>
      </c>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3"/>
      <c r="BJ65" s="753" t="s">
        <v>12374</v>
      </c>
      <c r="BK65" s="754"/>
      <c r="BL65" s="754"/>
      <c r="BM65" s="754"/>
      <c r="BN65" s="755"/>
      <c r="BO65" s="759" t="s">
        <v>12375</v>
      </c>
      <c r="BP65" s="760"/>
      <c r="BQ65" s="760"/>
      <c r="BR65" s="761"/>
      <c r="BS65" s="98"/>
      <c r="BT65" s="100"/>
      <c r="BU65" s="106"/>
      <c r="BV65" s="106"/>
      <c r="CB65" s="96"/>
      <c r="CC65" s="97"/>
      <c r="CD65" s="707" t="s">
        <v>42</v>
      </c>
      <c r="CE65" s="707"/>
      <c r="CF65" s="707"/>
      <c r="CG65" s="707"/>
      <c r="CH65" s="707"/>
      <c r="CI65" s="707"/>
      <c r="CJ65" s="707"/>
      <c r="CK65" s="707"/>
      <c r="CL65" s="707"/>
      <c r="CM65" s="707"/>
      <c r="CN65" s="707" t="str">
        <f>VLOOKUP($D$11,調査票①!$A$3:$HK$1735,212,FALSE)&amp;""</f>
        <v/>
      </c>
      <c r="CO65" s="707"/>
      <c r="CP65" s="707"/>
      <c r="CQ65" s="707"/>
      <c r="CR65" s="707"/>
      <c r="CS65" s="707"/>
      <c r="CT65" s="707"/>
      <c r="CU65" s="707"/>
      <c r="CV65" s="707"/>
      <c r="CW65" s="707"/>
      <c r="CX65" s="707"/>
      <c r="CY65" s="707"/>
      <c r="CZ65" s="707"/>
      <c r="DA65" s="707"/>
      <c r="DB65" s="98"/>
      <c r="DC65" s="98"/>
      <c r="DD65" s="123"/>
      <c r="DE65" s="123"/>
      <c r="DF65" s="123"/>
      <c r="DG65" s="684" t="s">
        <v>12363</v>
      </c>
      <c r="DH65" s="684"/>
      <c r="DI65" s="684"/>
      <c r="DJ65" s="684"/>
      <c r="DK65" s="684"/>
      <c r="DL65" s="684"/>
      <c r="DM65" s="684"/>
      <c r="DN65" s="684"/>
      <c r="DO65" s="684"/>
      <c r="DP65" s="684"/>
      <c r="DQ65" s="684"/>
      <c r="DR65" s="684"/>
      <c r="DS65" s="684"/>
      <c r="DT65" s="685"/>
      <c r="DU65" s="686"/>
      <c r="DV65" s="686"/>
      <c r="DW65" s="686"/>
      <c r="DX65" s="686"/>
      <c r="DY65" s="686"/>
      <c r="DZ65" s="686"/>
      <c r="EA65" s="686"/>
      <c r="EB65" s="686"/>
      <c r="EC65" s="686"/>
      <c r="ED65" s="686"/>
      <c r="EE65" s="687"/>
      <c r="EF65" s="212"/>
      <c r="EG65" s="212"/>
      <c r="EH65" s="212"/>
      <c r="EI65" s="212"/>
      <c r="EJ65" s="210"/>
      <c r="EK65" s="867"/>
      <c r="EL65" s="868"/>
      <c r="EM65" s="868"/>
      <c r="EN65" s="869"/>
      <c r="EO65" s="867"/>
      <c r="EP65" s="868"/>
      <c r="EQ65" s="868"/>
      <c r="ER65" s="869"/>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2"/>
      <c r="GC65" s="682"/>
      <c r="GD65" s="682"/>
      <c r="GE65" s="682"/>
      <c r="GF65" s="682"/>
      <c r="GG65" s="682"/>
      <c r="GH65" s="682"/>
      <c r="GI65" s="682"/>
      <c r="GJ65" s="683"/>
      <c r="GK65" s="683"/>
      <c r="GL65" s="683"/>
      <c r="GM65" s="683"/>
      <c r="GN65" s="683"/>
      <c r="GO65" s="683"/>
      <c r="GP65" s="683"/>
      <c r="GQ65" s="683"/>
      <c r="GR65" s="683"/>
      <c r="GS65" s="683"/>
      <c r="GT65" s="683"/>
      <c r="GU65" s="683"/>
    </row>
    <row r="66" spans="3:203" ht="20.399999999999999" customHeight="1">
      <c r="C66" s="96"/>
      <c r="D66" s="910"/>
      <c r="E66" s="910"/>
      <c r="F66" s="910"/>
      <c r="G66" s="910"/>
      <c r="H66" s="910"/>
      <c r="I66" s="910"/>
      <c r="J66" s="910"/>
      <c r="K66" s="910"/>
      <c r="L66" s="912"/>
      <c r="M66" s="912"/>
      <c r="N66" s="912"/>
      <c r="O66" s="914"/>
      <c r="P66" s="914"/>
      <c r="Q66" s="914"/>
      <c r="R66" s="708"/>
      <c r="S66" s="708"/>
      <c r="T66" s="708"/>
      <c r="U66" s="918"/>
      <c r="V66" s="919"/>
      <c r="W66" s="919"/>
      <c r="X66" s="919"/>
      <c r="Y66" s="919"/>
      <c r="Z66" s="919"/>
      <c r="AA66" s="919"/>
      <c r="AB66" s="919"/>
      <c r="AC66" s="919"/>
      <c r="AD66" s="919"/>
      <c r="AE66" s="919"/>
      <c r="AF66" s="919"/>
      <c r="AG66" s="919"/>
      <c r="AH66" s="919"/>
      <c r="AI66" s="920"/>
      <c r="AJ66" s="912"/>
      <c r="AK66" s="912"/>
      <c r="AL66" s="912"/>
      <c r="AM66" s="924"/>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6"/>
      <c r="BJ66" s="756"/>
      <c r="BK66" s="757"/>
      <c r="BL66" s="757"/>
      <c r="BM66" s="757"/>
      <c r="BN66" s="758"/>
      <c r="BO66" s="762"/>
      <c r="BP66" s="763"/>
      <c r="BQ66" s="763"/>
      <c r="BR66" s="764"/>
      <c r="BS66" s="98"/>
      <c r="BT66" s="100"/>
      <c r="BU66" s="106"/>
      <c r="BV66" s="106"/>
      <c r="CB66" s="96"/>
      <c r="CC66" s="9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98"/>
      <c r="DC66" s="98"/>
      <c r="DD66" s="123"/>
      <c r="DE66" s="123"/>
      <c r="DF66" s="123"/>
      <c r="DG66" s="684"/>
      <c r="DH66" s="684"/>
      <c r="DI66" s="684"/>
      <c r="DJ66" s="684"/>
      <c r="DK66" s="684"/>
      <c r="DL66" s="684"/>
      <c r="DM66" s="684"/>
      <c r="DN66" s="684"/>
      <c r="DO66" s="684"/>
      <c r="DP66" s="684"/>
      <c r="DQ66" s="684"/>
      <c r="DR66" s="684"/>
      <c r="DS66" s="684"/>
      <c r="DT66" s="688"/>
      <c r="DU66" s="689"/>
      <c r="DV66" s="689"/>
      <c r="DW66" s="689"/>
      <c r="DX66" s="689"/>
      <c r="DY66" s="689"/>
      <c r="DZ66" s="689"/>
      <c r="EA66" s="689"/>
      <c r="EB66" s="689"/>
      <c r="EC66" s="689"/>
      <c r="ED66" s="689"/>
      <c r="EE66" s="690"/>
      <c r="EF66" s="145"/>
      <c r="EG66" s="145"/>
      <c r="EH66" s="145"/>
      <c r="EI66" s="145"/>
      <c r="EJ66" s="210"/>
      <c r="EK66" s="903">
        <f>VLOOKUP($AK$11,導入率!A4:AX37,47,FALSE)</f>
        <v>0.56666666666666665</v>
      </c>
      <c r="EL66" s="904"/>
      <c r="EM66" s="904"/>
      <c r="EN66" s="905"/>
      <c r="EO66" s="903">
        <f>VLOOKUP($AK$11,導入率!A4:AX37,48,FALSE)</f>
        <v>0.23333333333333334</v>
      </c>
      <c r="EP66" s="904"/>
      <c r="EQ66" s="904"/>
      <c r="ER66" s="905"/>
      <c r="ES66" s="100"/>
    </row>
    <row r="67" spans="3:203" ht="20.399999999999999" customHeight="1">
      <c r="C67" s="96"/>
      <c r="D67" s="708" t="s">
        <v>12377</v>
      </c>
      <c r="E67" s="708"/>
      <c r="F67" s="708"/>
      <c r="G67" s="708"/>
      <c r="H67" s="708"/>
      <c r="I67" s="708"/>
      <c r="J67" s="708"/>
      <c r="K67" s="708"/>
      <c r="L67" s="895" t="str">
        <f>VLOOKUP($D$11,調査票①!$A$3:$HK$1735,56,FALSE)&amp;""</f>
        <v>9</v>
      </c>
      <c r="M67" s="895"/>
      <c r="N67" s="895"/>
      <c r="O67" s="895">
        <f>VLOOKUP($D$11,調査票①!$A$3:$HK$1735,57,FALSE)</f>
        <v>4</v>
      </c>
      <c r="P67" s="895"/>
      <c r="Q67" s="895"/>
      <c r="R67" s="909">
        <f>VLOOKUP($D$11,調査票①!$A$3:$HK$1735,58,FALSE)</f>
        <v>0.44444444444444442</v>
      </c>
      <c r="S67" s="909"/>
      <c r="T67" s="909"/>
      <c r="U67" s="897" t="str">
        <f>VLOOKUP($D$11,調査票①!$A$3:$HK$1735,59,FALSE)&amp;""</f>
        <v>一部、業務委託で対応しているが、施設のあり方について検討中。</v>
      </c>
      <c r="V67" s="898"/>
      <c r="W67" s="898"/>
      <c r="X67" s="898"/>
      <c r="Y67" s="898"/>
      <c r="Z67" s="898"/>
      <c r="AA67" s="898"/>
      <c r="AB67" s="898"/>
      <c r="AC67" s="898"/>
      <c r="AD67" s="898"/>
      <c r="AE67" s="898"/>
      <c r="AF67" s="898"/>
      <c r="AG67" s="898"/>
      <c r="AH67" s="898"/>
      <c r="AI67" s="899"/>
      <c r="AJ67" s="708" t="str">
        <f>VLOOKUP($D$11,調査票①!$A$3:$HK$1735,60,FALSE)&amp;""</f>
        <v>2</v>
      </c>
      <c r="AK67" s="708"/>
      <c r="AL67" s="708"/>
      <c r="AM67" s="882" t="str">
        <f>VLOOKUP($D$11,調査票①!$A$3:$HK$1735,61,FALSE)&amp;""</f>
        <v>必要に応じて検討する</v>
      </c>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4"/>
      <c r="BJ67" s="810">
        <f>VLOOKUP($AK$11,導入率!$A$4:$AX$37,20,FALSE)</f>
        <v>0.64583333333333337</v>
      </c>
      <c r="BK67" s="811"/>
      <c r="BL67" s="811"/>
      <c r="BM67" s="811"/>
      <c r="BN67" s="812"/>
      <c r="BO67" s="888">
        <f>調査票①!BF1730</f>
        <v>0.40145623034916433</v>
      </c>
      <c r="BP67" s="889"/>
      <c r="BQ67" s="889"/>
      <c r="BR67" s="890"/>
      <c r="BS67" s="98"/>
      <c r="BT67" s="100"/>
      <c r="CB67" s="96"/>
      <c r="CC67" s="9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98"/>
      <c r="DC67" s="98"/>
      <c r="DD67" s="123"/>
      <c r="DE67" s="123"/>
      <c r="DF67" s="123"/>
      <c r="DG67" s="684" t="s">
        <v>12365</v>
      </c>
      <c r="DH67" s="684"/>
      <c r="DI67" s="684"/>
      <c r="DJ67" s="684"/>
      <c r="DK67" s="684"/>
      <c r="DL67" s="684"/>
      <c r="DM67" s="684"/>
      <c r="DN67" s="684"/>
      <c r="DO67" s="684"/>
      <c r="DP67" s="684"/>
      <c r="DQ67" s="684"/>
      <c r="DR67" s="684"/>
      <c r="DS67" s="684"/>
      <c r="DT67" s="691" t="str">
        <f>VLOOKUP($D$11,調査票①!$A$3:$HK$1735,213,FALSE)&amp;""</f>
        <v/>
      </c>
      <c r="DU67" s="692"/>
      <c r="DV67" s="692"/>
      <c r="DW67" s="692"/>
      <c r="DX67" s="692"/>
      <c r="DY67" s="692"/>
      <c r="DZ67" s="692"/>
      <c r="EA67" s="692"/>
      <c r="EB67" s="692"/>
      <c r="EC67" s="692"/>
      <c r="ED67" s="692"/>
      <c r="EE67" s="693"/>
      <c r="EF67" s="145"/>
      <c r="EG67" s="145"/>
      <c r="EH67" s="145"/>
      <c r="EI67" s="145"/>
      <c r="EJ67" s="210"/>
      <c r="EK67" s="906"/>
      <c r="EL67" s="907"/>
      <c r="EM67" s="907"/>
      <c r="EN67" s="908"/>
      <c r="EO67" s="906"/>
      <c r="EP67" s="907"/>
      <c r="EQ67" s="907"/>
      <c r="ER67" s="908"/>
      <c r="ES67" s="100"/>
    </row>
    <row r="68" spans="3:203" ht="20.399999999999999" customHeight="1">
      <c r="C68" s="96"/>
      <c r="D68" s="708"/>
      <c r="E68" s="708"/>
      <c r="F68" s="708"/>
      <c r="G68" s="708"/>
      <c r="H68" s="708"/>
      <c r="I68" s="708"/>
      <c r="J68" s="708"/>
      <c r="K68" s="708"/>
      <c r="L68" s="895"/>
      <c r="M68" s="895"/>
      <c r="N68" s="895"/>
      <c r="O68" s="895"/>
      <c r="P68" s="895"/>
      <c r="Q68" s="895"/>
      <c r="R68" s="909"/>
      <c r="S68" s="909"/>
      <c r="T68" s="909"/>
      <c r="U68" s="900"/>
      <c r="V68" s="901"/>
      <c r="W68" s="901"/>
      <c r="X68" s="901"/>
      <c r="Y68" s="901"/>
      <c r="Z68" s="901"/>
      <c r="AA68" s="901"/>
      <c r="AB68" s="901"/>
      <c r="AC68" s="901"/>
      <c r="AD68" s="901"/>
      <c r="AE68" s="901"/>
      <c r="AF68" s="901"/>
      <c r="AG68" s="901"/>
      <c r="AH68" s="901"/>
      <c r="AI68" s="902"/>
      <c r="AJ68" s="708"/>
      <c r="AK68" s="708"/>
      <c r="AL68" s="708"/>
      <c r="AM68" s="885"/>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7"/>
      <c r="BJ68" s="813"/>
      <c r="BK68" s="814"/>
      <c r="BL68" s="814"/>
      <c r="BM68" s="814"/>
      <c r="BN68" s="815"/>
      <c r="BO68" s="891"/>
      <c r="BP68" s="892"/>
      <c r="BQ68" s="892"/>
      <c r="BR68" s="893"/>
      <c r="BS68" s="98"/>
      <c r="BT68" s="100"/>
      <c r="CB68" s="96"/>
      <c r="CC68" s="9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98"/>
      <c r="DC68" s="98"/>
      <c r="DD68" s="98"/>
      <c r="DE68" s="98"/>
      <c r="DF68" s="98"/>
      <c r="DG68" s="684"/>
      <c r="DH68" s="684"/>
      <c r="DI68" s="684"/>
      <c r="DJ68" s="684"/>
      <c r="DK68" s="684"/>
      <c r="DL68" s="684"/>
      <c r="DM68" s="684"/>
      <c r="DN68" s="684"/>
      <c r="DO68" s="684"/>
      <c r="DP68" s="684"/>
      <c r="DQ68" s="684"/>
      <c r="DR68" s="684"/>
      <c r="DS68" s="684"/>
      <c r="DT68" s="694"/>
      <c r="DU68" s="695"/>
      <c r="DV68" s="695"/>
      <c r="DW68" s="695"/>
      <c r="DX68" s="695"/>
      <c r="DY68" s="695"/>
      <c r="DZ68" s="695"/>
      <c r="EA68" s="695"/>
      <c r="EB68" s="695"/>
      <c r="EC68" s="695"/>
      <c r="ED68" s="695"/>
      <c r="EE68" s="696"/>
      <c r="EF68" s="146"/>
      <c r="EG68" s="146"/>
      <c r="EH68" s="146"/>
      <c r="EI68" s="146"/>
      <c r="EJ68" s="147"/>
      <c r="EK68" s="831" t="s">
        <v>71</v>
      </c>
      <c r="EL68" s="832"/>
      <c r="EM68" s="832"/>
      <c r="EN68" s="832"/>
      <c r="EO68" s="832"/>
      <c r="EP68" s="832"/>
      <c r="EQ68" s="832"/>
      <c r="ER68" s="833"/>
      <c r="ES68" s="100"/>
    </row>
    <row r="69" spans="3:203" ht="20.399999999999999" customHeight="1">
      <c r="C69" s="96"/>
      <c r="D69" s="894" t="s">
        <v>12378</v>
      </c>
      <c r="E69" s="708"/>
      <c r="F69" s="708"/>
      <c r="G69" s="708"/>
      <c r="H69" s="708"/>
      <c r="I69" s="708"/>
      <c r="J69" s="708"/>
      <c r="K69" s="708"/>
      <c r="L69" s="895" t="str">
        <f>VLOOKUP($D$11,調査票①!$A$3:$HK$1735,62,FALSE)&amp;""</f>
        <v>17</v>
      </c>
      <c r="M69" s="895"/>
      <c r="N69" s="895"/>
      <c r="O69" s="895">
        <f>VLOOKUP($D$11,調査票①!$A$3:$HK$1735,63,FALSE)</f>
        <v>5</v>
      </c>
      <c r="P69" s="895"/>
      <c r="Q69" s="895"/>
      <c r="R69" s="896">
        <f>VLOOKUP($D$11,調査票①!$A$3:$HK$1735,64,FALSE)</f>
        <v>0.29411764705882354</v>
      </c>
      <c r="S69" s="896"/>
      <c r="T69" s="896"/>
      <c r="U69" s="897" t="str">
        <f>VLOOKUP($D$11,調査票①!$A$3:$HK$1735,65,FALSE)&amp;""</f>
        <v>一部業務委託で対応しているが、施設のあり方について検討中。</v>
      </c>
      <c r="V69" s="898"/>
      <c r="W69" s="898"/>
      <c r="X69" s="898"/>
      <c r="Y69" s="898"/>
      <c r="Z69" s="898"/>
      <c r="AA69" s="898"/>
      <c r="AB69" s="898"/>
      <c r="AC69" s="898"/>
      <c r="AD69" s="898"/>
      <c r="AE69" s="898"/>
      <c r="AF69" s="898"/>
      <c r="AG69" s="898"/>
      <c r="AH69" s="898"/>
      <c r="AI69" s="899"/>
      <c r="AJ69" s="708" t="str">
        <f>VLOOKUP($D$11,調査票①!$A$3:$HK$1735,66,FALSE)&amp;""</f>
        <v>3</v>
      </c>
      <c r="AK69" s="708"/>
      <c r="AL69" s="708"/>
      <c r="AM69" s="882" t="str">
        <f>VLOOKUP($D$11,調査票①!$A$3:$HK$1735,67,FALSE)&amp;""</f>
        <v>殆どの施設は無人の施設となっているが、一部の施設については業務が切り離せないため。</v>
      </c>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4"/>
      <c r="BJ69" s="810">
        <f>VLOOKUP($AK$11,導入率!$A$4:$AX$37,21,FALSE)</f>
        <v>0.66747572815533984</v>
      </c>
      <c r="BK69" s="811"/>
      <c r="BL69" s="811"/>
      <c r="BM69" s="811"/>
      <c r="BN69" s="812"/>
      <c r="BO69" s="888">
        <f>調査票①!BL1730</f>
        <v>0.48424486992358545</v>
      </c>
      <c r="BP69" s="889"/>
      <c r="BQ69" s="889"/>
      <c r="BR69" s="890"/>
      <c r="BS69" s="98"/>
      <c r="BT69" s="100"/>
      <c r="CB69" s="96"/>
      <c r="CC69" s="98"/>
      <c r="CD69" s="707"/>
      <c r="CE69" s="707"/>
      <c r="CF69" s="707"/>
      <c r="CG69" s="707"/>
      <c r="CH69" s="707"/>
      <c r="CI69" s="707"/>
      <c r="CJ69" s="707"/>
      <c r="CK69" s="707"/>
      <c r="CL69" s="707"/>
      <c r="CM69" s="707"/>
      <c r="CN69" s="707"/>
      <c r="CO69" s="707"/>
      <c r="CP69" s="707"/>
      <c r="CQ69" s="707"/>
      <c r="CR69" s="707"/>
      <c r="CS69" s="707"/>
      <c r="CT69" s="707"/>
      <c r="CU69" s="707"/>
      <c r="CV69" s="707"/>
      <c r="CW69" s="707"/>
      <c r="CX69" s="707"/>
      <c r="CY69" s="707"/>
      <c r="CZ69" s="707"/>
      <c r="DA69" s="707"/>
      <c r="DB69" s="98"/>
      <c r="DC69" s="98"/>
      <c r="DD69" s="97"/>
      <c r="DE69" s="97"/>
      <c r="DF69" s="97"/>
      <c r="DG69" s="684" t="s">
        <v>12376</v>
      </c>
      <c r="DH69" s="684"/>
      <c r="DI69" s="684"/>
      <c r="DJ69" s="684"/>
      <c r="DK69" s="684"/>
      <c r="DL69" s="684"/>
      <c r="DM69" s="684"/>
      <c r="DN69" s="684"/>
      <c r="DO69" s="684"/>
      <c r="DP69" s="684"/>
      <c r="DQ69" s="684"/>
      <c r="DR69" s="684"/>
      <c r="DS69" s="684"/>
      <c r="DT69" s="691" t="str">
        <f>IF(VLOOKUP($D$11,調査票①!$A$3:$HK$1735,213,FALSE)="○","","○")&amp;""</f>
        <v>○</v>
      </c>
      <c r="DU69" s="692"/>
      <c r="DV69" s="692"/>
      <c r="DW69" s="692"/>
      <c r="DX69" s="692"/>
      <c r="DY69" s="692"/>
      <c r="DZ69" s="692"/>
      <c r="EA69" s="692"/>
      <c r="EB69" s="692"/>
      <c r="EC69" s="692"/>
      <c r="ED69" s="692"/>
      <c r="EE69" s="693"/>
      <c r="EF69" s="97"/>
      <c r="EG69" s="97"/>
      <c r="EH69" s="97"/>
      <c r="EI69" s="97"/>
      <c r="EJ69" s="98"/>
      <c r="EK69" s="834"/>
      <c r="EL69" s="835"/>
      <c r="EM69" s="835"/>
      <c r="EN69" s="835"/>
      <c r="EO69" s="835"/>
      <c r="EP69" s="835"/>
      <c r="EQ69" s="835"/>
      <c r="ER69" s="836"/>
      <c r="ES69" s="100"/>
    </row>
    <row r="70" spans="3:203" ht="20.399999999999999" customHeight="1">
      <c r="C70" s="96"/>
      <c r="D70" s="708"/>
      <c r="E70" s="708"/>
      <c r="F70" s="708"/>
      <c r="G70" s="708"/>
      <c r="H70" s="708"/>
      <c r="I70" s="708"/>
      <c r="J70" s="708"/>
      <c r="K70" s="708"/>
      <c r="L70" s="895"/>
      <c r="M70" s="895"/>
      <c r="N70" s="895"/>
      <c r="O70" s="895"/>
      <c r="P70" s="895"/>
      <c r="Q70" s="895"/>
      <c r="R70" s="896"/>
      <c r="S70" s="896"/>
      <c r="T70" s="896"/>
      <c r="U70" s="900"/>
      <c r="V70" s="901"/>
      <c r="W70" s="901"/>
      <c r="X70" s="901"/>
      <c r="Y70" s="901"/>
      <c r="Z70" s="901"/>
      <c r="AA70" s="901"/>
      <c r="AB70" s="901"/>
      <c r="AC70" s="901"/>
      <c r="AD70" s="901"/>
      <c r="AE70" s="901"/>
      <c r="AF70" s="901"/>
      <c r="AG70" s="901"/>
      <c r="AH70" s="901"/>
      <c r="AI70" s="902"/>
      <c r="AJ70" s="708"/>
      <c r="AK70" s="708"/>
      <c r="AL70" s="708"/>
      <c r="AM70" s="885"/>
      <c r="AN70" s="886"/>
      <c r="AO70" s="886"/>
      <c r="AP70" s="886"/>
      <c r="AQ70" s="886"/>
      <c r="AR70" s="886"/>
      <c r="AS70" s="886"/>
      <c r="AT70" s="886"/>
      <c r="AU70" s="886"/>
      <c r="AV70" s="886"/>
      <c r="AW70" s="886"/>
      <c r="AX70" s="886"/>
      <c r="AY70" s="886"/>
      <c r="AZ70" s="886"/>
      <c r="BA70" s="886"/>
      <c r="BB70" s="886"/>
      <c r="BC70" s="886"/>
      <c r="BD70" s="886"/>
      <c r="BE70" s="886"/>
      <c r="BF70" s="886"/>
      <c r="BG70" s="886"/>
      <c r="BH70" s="886"/>
      <c r="BI70" s="887"/>
      <c r="BJ70" s="813"/>
      <c r="BK70" s="814"/>
      <c r="BL70" s="814"/>
      <c r="BM70" s="814"/>
      <c r="BN70" s="815"/>
      <c r="BO70" s="891"/>
      <c r="BP70" s="892"/>
      <c r="BQ70" s="892"/>
      <c r="BR70" s="893"/>
      <c r="BS70" s="98"/>
      <c r="BT70" s="100"/>
      <c r="CB70" s="96"/>
      <c r="CC70" s="9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98"/>
      <c r="DC70" s="98"/>
      <c r="DD70" s="97"/>
      <c r="DE70" s="97"/>
      <c r="DF70" s="97"/>
      <c r="DG70" s="684"/>
      <c r="DH70" s="684"/>
      <c r="DI70" s="684"/>
      <c r="DJ70" s="684"/>
      <c r="DK70" s="684"/>
      <c r="DL70" s="684"/>
      <c r="DM70" s="684"/>
      <c r="DN70" s="684"/>
      <c r="DO70" s="684"/>
      <c r="DP70" s="684"/>
      <c r="DQ70" s="684"/>
      <c r="DR70" s="684"/>
      <c r="DS70" s="684"/>
      <c r="DT70" s="694"/>
      <c r="DU70" s="695"/>
      <c r="DV70" s="695"/>
      <c r="DW70" s="695"/>
      <c r="DX70" s="695"/>
      <c r="DY70" s="695"/>
      <c r="DZ70" s="695"/>
      <c r="EA70" s="695"/>
      <c r="EB70" s="695"/>
      <c r="EC70" s="695"/>
      <c r="ED70" s="695"/>
      <c r="EE70" s="696"/>
      <c r="EF70" s="97"/>
      <c r="EG70" s="97"/>
      <c r="EH70" s="97"/>
      <c r="EI70" s="97"/>
      <c r="EJ70" s="98"/>
      <c r="EK70" s="864" t="s">
        <v>12366</v>
      </c>
      <c r="EL70" s="865"/>
      <c r="EM70" s="865"/>
      <c r="EN70" s="866"/>
      <c r="EO70" s="870" t="s">
        <v>12367</v>
      </c>
      <c r="EP70" s="865"/>
      <c r="EQ70" s="865"/>
      <c r="ER70" s="866"/>
      <c r="ES70" s="100"/>
    </row>
    <row r="71" spans="3:203" ht="20.399999999999999" customHeight="1">
      <c r="C71" s="96"/>
      <c r="D71" s="708" t="s">
        <v>12379</v>
      </c>
      <c r="E71" s="708"/>
      <c r="F71" s="708"/>
      <c r="G71" s="708"/>
      <c r="H71" s="708"/>
      <c r="I71" s="708"/>
      <c r="J71" s="708"/>
      <c r="K71" s="708"/>
      <c r="L71" s="895">
        <f>VLOOKUP($D$11,調査票①!$A$3:$HK$1735,68,FALSE)</f>
        <v>3</v>
      </c>
      <c r="M71" s="895"/>
      <c r="N71" s="895"/>
      <c r="O71" s="895">
        <f>VLOOKUP($D$11,調査票①!$A$3:$HK$1735,69,FALSE)</f>
        <v>2</v>
      </c>
      <c r="P71" s="895"/>
      <c r="Q71" s="895"/>
      <c r="R71" s="928">
        <f>VLOOKUP($D$11,調査票①!$A$3:$HK$1735,70,FALSE)</f>
        <v>0.66666666666666663</v>
      </c>
      <c r="S71" s="928"/>
      <c r="T71" s="928"/>
      <c r="U71" s="897" t="str">
        <f>VLOOKUP($D$11,調査票①!$A$3:$HK$1735,71,FALSE)&amp;""</f>
        <v>一部業務委託で対応しているが、施設のあり方について検討中。</v>
      </c>
      <c r="V71" s="898"/>
      <c r="W71" s="898"/>
      <c r="X71" s="898"/>
      <c r="Y71" s="898"/>
      <c r="Z71" s="898"/>
      <c r="AA71" s="898"/>
      <c r="AB71" s="898"/>
      <c r="AC71" s="898"/>
      <c r="AD71" s="898"/>
      <c r="AE71" s="898"/>
      <c r="AF71" s="898"/>
      <c r="AG71" s="898"/>
      <c r="AH71" s="898"/>
      <c r="AI71" s="899"/>
      <c r="AJ71" s="708" t="str">
        <f>VLOOKUP($D$11,調査票①!$A$3:$HK$1735,72,FALSE)&amp;""</f>
        <v>0</v>
      </c>
      <c r="AK71" s="708"/>
      <c r="AL71" s="708"/>
      <c r="AM71" s="882" t="str">
        <f>VLOOKUP($D$11,調査票①!$A$3:$HK$1735,73,FALSE)&amp;""</f>
        <v/>
      </c>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4"/>
      <c r="BJ71" s="810">
        <f>VLOOKUP($AK$11,導入率!$A$4:$AX$37,22,FALSE)</f>
        <v>0.83870967741935487</v>
      </c>
      <c r="BK71" s="811"/>
      <c r="BL71" s="811"/>
      <c r="BM71" s="811"/>
      <c r="BN71" s="812"/>
      <c r="BO71" s="888">
        <f>調査票①!BR1730</f>
        <v>0.51994621246077988</v>
      </c>
      <c r="BP71" s="889"/>
      <c r="BQ71" s="889"/>
      <c r="BR71" s="89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7"/>
      <c r="EL71" s="868"/>
      <c r="EM71" s="868"/>
      <c r="EN71" s="869"/>
      <c r="EO71" s="867"/>
      <c r="EP71" s="868"/>
      <c r="EQ71" s="868"/>
      <c r="ER71" s="869"/>
      <c r="ES71" s="100"/>
    </row>
    <row r="72" spans="3:203" ht="20.399999999999999" customHeight="1">
      <c r="C72" s="96"/>
      <c r="D72" s="708"/>
      <c r="E72" s="708"/>
      <c r="F72" s="708"/>
      <c r="G72" s="708"/>
      <c r="H72" s="708"/>
      <c r="I72" s="708"/>
      <c r="J72" s="708"/>
      <c r="K72" s="708"/>
      <c r="L72" s="895"/>
      <c r="M72" s="895"/>
      <c r="N72" s="895"/>
      <c r="O72" s="895"/>
      <c r="P72" s="895"/>
      <c r="Q72" s="895"/>
      <c r="R72" s="928"/>
      <c r="S72" s="928"/>
      <c r="T72" s="928"/>
      <c r="U72" s="900"/>
      <c r="V72" s="901"/>
      <c r="W72" s="901"/>
      <c r="X72" s="901"/>
      <c r="Y72" s="901"/>
      <c r="Z72" s="901"/>
      <c r="AA72" s="901"/>
      <c r="AB72" s="901"/>
      <c r="AC72" s="901"/>
      <c r="AD72" s="901"/>
      <c r="AE72" s="901"/>
      <c r="AF72" s="901"/>
      <c r="AG72" s="901"/>
      <c r="AH72" s="901"/>
      <c r="AI72" s="902"/>
      <c r="AJ72" s="708"/>
      <c r="AK72" s="708"/>
      <c r="AL72" s="708"/>
      <c r="AM72" s="885"/>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7"/>
      <c r="BJ72" s="813"/>
      <c r="BK72" s="814"/>
      <c r="BL72" s="814"/>
      <c r="BM72" s="814"/>
      <c r="BN72" s="815"/>
      <c r="BO72" s="891"/>
      <c r="BP72" s="892"/>
      <c r="BQ72" s="892"/>
      <c r="BR72" s="89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3">
        <f>調査票①!HE1731</f>
        <v>0.41429401510749564</v>
      </c>
      <c r="EL72" s="904"/>
      <c r="EM72" s="904"/>
      <c r="EN72" s="905"/>
      <c r="EO72" s="903">
        <f>1-EK72</f>
        <v>0.58570598489250436</v>
      </c>
      <c r="EP72" s="904"/>
      <c r="EQ72" s="904"/>
      <c r="ER72" s="905"/>
      <c r="ES72" s="100"/>
    </row>
    <row r="73" spans="3:203" ht="20.399999999999999" customHeight="1">
      <c r="C73" s="96"/>
      <c r="D73" s="708" t="s">
        <v>12380</v>
      </c>
      <c r="E73" s="708"/>
      <c r="F73" s="708"/>
      <c r="G73" s="708"/>
      <c r="H73" s="708"/>
      <c r="I73" s="708"/>
      <c r="J73" s="708"/>
      <c r="K73" s="708"/>
      <c r="L73" s="895">
        <f>VLOOKUP($D$11,調査票①!$A$3:$HK$1735,74,FALSE)</f>
        <v>2</v>
      </c>
      <c r="M73" s="895"/>
      <c r="N73" s="895"/>
      <c r="O73" s="895">
        <f>VLOOKUP($D$11,調査票①!$A$3:$HK$1735,75,FALSE)</f>
        <v>0</v>
      </c>
      <c r="P73" s="895"/>
      <c r="Q73" s="895"/>
      <c r="R73" s="909">
        <f>VLOOKUP($D$11,調査票①!$A$3:$HK$1735,76,FALSE)</f>
        <v>0</v>
      </c>
      <c r="S73" s="909"/>
      <c r="T73" s="909"/>
      <c r="U73" s="897" t="str">
        <f>VLOOKUP($D$11,調査票①!$A$3:$HK$1735,77,FALSE)&amp;""</f>
        <v>開館期間が通年ではないことから、指定管理者制度導入が難しいため。　</v>
      </c>
      <c r="V73" s="898"/>
      <c r="W73" s="898"/>
      <c r="X73" s="898"/>
      <c r="Y73" s="898"/>
      <c r="Z73" s="898"/>
      <c r="AA73" s="898"/>
      <c r="AB73" s="898"/>
      <c r="AC73" s="898"/>
      <c r="AD73" s="898"/>
      <c r="AE73" s="898"/>
      <c r="AF73" s="898"/>
      <c r="AG73" s="898"/>
      <c r="AH73" s="898"/>
      <c r="AI73" s="899"/>
      <c r="AJ73" s="927" t="str">
        <f>VLOOKUP($D$11,調査票①!$A$3:$HK$1735,78,FALSE)&amp;""</f>
        <v>0</v>
      </c>
      <c r="AK73" s="927"/>
      <c r="AL73" s="927"/>
      <c r="AM73" s="882" t="str">
        <f>VLOOKUP($D$11,調査票①!$A$3:$HK$1735,79,FALSE)&amp;""</f>
        <v>　</v>
      </c>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4"/>
      <c r="BJ73" s="810">
        <f>VLOOKUP($AK$11,導入率!$A$4:$AX$37,23,FALSE)</f>
        <v>0.16666666666666666</v>
      </c>
      <c r="BK73" s="811"/>
      <c r="BL73" s="811"/>
      <c r="BM73" s="811"/>
      <c r="BN73" s="812"/>
      <c r="BO73" s="888">
        <f>調査票①!BX1730</f>
        <v>0.13659793814432988</v>
      </c>
      <c r="BP73" s="889"/>
      <c r="BQ73" s="889"/>
      <c r="BR73" s="89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6"/>
      <c r="EL73" s="907"/>
      <c r="EM73" s="907"/>
      <c r="EN73" s="908"/>
      <c r="EO73" s="906"/>
      <c r="EP73" s="907"/>
      <c r="EQ73" s="907"/>
      <c r="ER73" s="908"/>
      <c r="ES73" s="100"/>
    </row>
    <row r="74" spans="3:203" ht="20.399999999999999" customHeight="1">
      <c r="C74" s="96"/>
      <c r="D74" s="708"/>
      <c r="E74" s="708"/>
      <c r="F74" s="708"/>
      <c r="G74" s="708"/>
      <c r="H74" s="708"/>
      <c r="I74" s="708"/>
      <c r="J74" s="708"/>
      <c r="K74" s="708"/>
      <c r="L74" s="895"/>
      <c r="M74" s="895"/>
      <c r="N74" s="895"/>
      <c r="O74" s="895"/>
      <c r="P74" s="895"/>
      <c r="Q74" s="895"/>
      <c r="R74" s="909"/>
      <c r="S74" s="909"/>
      <c r="T74" s="909"/>
      <c r="U74" s="900"/>
      <c r="V74" s="901"/>
      <c r="W74" s="901"/>
      <c r="X74" s="901"/>
      <c r="Y74" s="901"/>
      <c r="Z74" s="901"/>
      <c r="AA74" s="901"/>
      <c r="AB74" s="901"/>
      <c r="AC74" s="901"/>
      <c r="AD74" s="901"/>
      <c r="AE74" s="901"/>
      <c r="AF74" s="901"/>
      <c r="AG74" s="901"/>
      <c r="AH74" s="901"/>
      <c r="AI74" s="902"/>
      <c r="AJ74" s="927"/>
      <c r="AK74" s="927"/>
      <c r="AL74" s="927"/>
      <c r="AM74" s="885"/>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7"/>
      <c r="BJ74" s="813"/>
      <c r="BK74" s="814"/>
      <c r="BL74" s="814"/>
      <c r="BM74" s="814"/>
      <c r="BN74" s="815"/>
      <c r="BO74" s="891"/>
      <c r="BP74" s="892"/>
      <c r="BQ74" s="892"/>
      <c r="BR74" s="89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929" t="s">
        <v>12381</v>
      </c>
      <c r="E75" s="912"/>
      <c r="F75" s="912"/>
      <c r="G75" s="912"/>
      <c r="H75" s="912"/>
      <c r="I75" s="912"/>
      <c r="J75" s="912"/>
      <c r="K75" s="912"/>
      <c r="L75" s="895">
        <f>VLOOKUP($D$11,調査票①!$A$3:$HK$1735,80,FALSE)</f>
        <v>0</v>
      </c>
      <c r="M75" s="895"/>
      <c r="N75" s="895"/>
      <c r="O75" s="895">
        <f>VLOOKUP($D$11,調査票①!$A$3:$HK$1735,81,FALSE)</f>
        <v>0</v>
      </c>
      <c r="P75" s="895"/>
      <c r="Q75" s="895"/>
      <c r="R75" s="909" t="str">
        <f>VLOOKUP($D$11,調査票①!$A$3:$HK$1735,82,FALSE)</f>
        <v/>
      </c>
      <c r="S75" s="909"/>
      <c r="T75" s="909"/>
      <c r="U75" s="897" t="str">
        <f>VLOOKUP($D$11,調査票①!$A$3:$HK$1735,83,FALSE)&amp;""</f>
        <v>　</v>
      </c>
      <c r="V75" s="898"/>
      <c r="W75" s="898"/>
      <c r="X75" s="898"/>
      <c r="Y75" s="898"/>
      <c r="Z75" s="898"/>
      <c r="AA75" s="898"/>
      <c r="AB75" s="898"/>
      <c r="AC75" s="898"/>
      <c r="AD75" s="898"/>
      <c r="AE75" s="898"/>
      <c r="AF75" s="898"/>
      <c r="AG75" s="898"/>
      <c r="AH75" s="898"/>
      <c r="AI75" s="899"/>
      <c r="AJ75" s="927" t="str">
        <f>VLOOKUP($D$11,調査票①!$A$3:$HK$1735,84,FALSE)&amp;""</f>
        <v>0</v>
      </c>
      <c r="AK75" s="927"/>
      <c r="AL75" s="927"/>
      <c r="AM75" s="882" t="str">
        <f>VLOOKUP($D$11,調査票①!$A$3:$HK$1735,85,FALSE)&amp;""</f>
        <v>　</v>
      </c>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4"/>
      <c r="BJ75" s="810">
        <f>VLOOKUP($AK$11,導入率!$A$4:$AX$37,24,FALSE)</f>
        <v>0.91666666666666663</v>
      </c>
      <c r="BK75" s="811"/>
      <c r="BL75" s="811"/>
      <c r="BM75" s="811"/>
      <c r="BN75" s="812"/>
      <c r="BO75" s="888">
        <f>調査票①!CD1730</f>
        <v>0.84967919340054998</v>
      </c>
      <c r="BP75" s="889"/>
      <c r="BQ75" s="889"/>
      <c r="BR75" s="89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2"/>
      <c r="E76" s="912"/>
      <c r="F76" s="912"/>
      <c r="G76" s="912"/>
      <c r="H76" s="912"/>
      <c r="I76" s="912"/>
      <c r="J76" s="912"/>
      <c r="K76" s="912"/>
      <c r="L76" s="895"/>
      <c r="M76" s="895"/>
      <c r="N76" s="895"/>
      <c r="O76" s="895"/>
      <c r="P76" s="895"/>
      <c r="Q76" s="895"/>
      <c r="R76" s="909"/>
      <c r="S76" s="909"/>
      <c r="T76" s="909"/>
      <c r="U76" s="900"/>
      <c r="V76" s="901"/>
      <c r="W76" s="901"/>
      <c r="X76" s="901"/>
      <c r="Y76" s="901"/>
      <c r="Z76" s="901"/>
      <c r="AA76" s="901"/>
      <c r="AB76" s="901"/>
      <c r="AC76" s="901"/>
      <c r="AD76" s="901"/>
      <c r="AE76" s="901"/>
      <c r="AF76" s="901"/>
      <c r="AG76" s="901"/>
      <c r="AH76" s="901"/>
      <c r="AI76" s="902"/>
      <c r="AJ76" s="927"/>
      <c r="AK76" s="927"/>
      <c r="AL76" s="927"/>
      <c r="AM76" s="885"/>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7"/>
      <c r="BJ76" s="813"/>
      <c r="BK76" s="814"/>
      <c r="BL76" s="814"/>
      <c r="BM76" s="814"/>
      <c r="BN76" s="815"/>
      <c r="BO76" s="891"/>
      <c r="BP76" s="892"/>
      <c r="BQ76" s="892"/>
      <c r="BR76" s="89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9" t="s">
        <v>12382</v>
      </c>
      <c r="E77" s="912"/>
      <c r="F77" s="912"/>
      <c r="G77" s="912"/>
      <c r="H77" s="912"/>
      <c r="I77" s="912"/>
      <c r="J77" s="912"/>
      <c r="K77" s="912"/>
      <c r="L77" s="895">
        <f>VLOOKUP($D$11,調査票①!$A$3:$HK$1735,86,FALSE)</f>
        <v>1</v>
      </c>
      <c r="M77" s="895"/>
      <c r="N77" s="895"/>
      <c r="O77" s="895">
        <f>VLOOKUP($D$11,調査票①!$A$3:$HK$1735,87,FALSE)</f>
        <v>1</v>
      </c>
      <c r="P77" s="895"/>
      <c r="Q77" s="895"/>
      <c r="R77" s="909">
        <f>VLOOKUP($D$11,調査票①!$A$3:$HK$1735,88,FALSE)</f>
        <v>1</v>
      </c>
      <c r="S77" s="909"/>
      <c r="T77" s="909"/>
      <c r="U77" s="897" t="str">
        <f>VLOOKUP($D$11,調査票①!$A$3:$HK$1735,89,FALSE)&amp;""</f>
        <v>　</v>
      </c>
      <c r="V77" s="898"/>
      <c r="W77" s="898"/>
      <c r="X77" s="898"/>
      <c r="Y77" s="898"/>
      <c r="Z77" s="898"/>
      <c r="AA77" s="898"/>
      <c r="AB77" s="898"/>
      <c r="AC77" s="898"/>
      <c r="AD77" s="898"/>
      <c r="AE77" s="898"/>
      <c r="AF77" s="898"/>
      <c r="AG77" s="898"/>
      <c r="AH77" s="898"/>
      <c r="AI77" s="899"/>
      <c r="AJ77" s="927" t="str">
        <f>VLOOKUP($D$11,調査票①!$A$3:$HK$1735,90,FALSE)&amp;""</f>
        <v>0</v>
      </c>
      <c r="AK77" s="927"/>
      <c r="AL77" s="927"/>
      <c r="AM77" s="882" t="str">
        <f>VLOOKUP($D$11,調査票①!$A$3:$HK$1735,91,FALSE)&amp;""</f>
        <v>　</v>
      </c>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4"/>
      <c r="BJ77" s="810">
        <f>VLOOKUP($AK$11,導入率!$A$4:$AX$37,25,FALSE)</f>
        <v>0.96666666666666667</v>
      </c>
      <c r="BK77" s="811"/>
      <c r="BL77" s="811"/>
      <c r="BM77" s="811"/>
      <c r="BN77" s="812"/>
      <c r="BO77" s="888">
        <f>調査票①!CJ1730</f>
        <v>0.7562862669245648</v>
      </c>
      <c r="BP77" s="889"/>
      <c r="BQ77" s="889"/>
      <c r="BR77" s="89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912"/>
      <c r="E78" s="912"/>
      <c r="F78" s="912"/>
      <c r="G78" s="912"/>
      <c r="H78" s="912"/>
      <c r="I78" s="912"/>
      <c r="J78" s="912"/>
      <c r="K78" s="912"/>
      <c r="L78" s="895"/>
      <c r="M78" s="895"/>
      <c r="N78" s="895"/>
      <c r="O78" s="895"/>
      <c r="P78" s="895"/>
      <c r="Q78" s="895"/>
      <c r="R78" s="909"/>
      <c r="S78" s="909"/>
      <c r="T78" s="909"/>
      <c r="U78" s="900"/>
      <c r="V78" s="901"/>
      <c r="W78" s="901"/>
      <c r="X78" s="901"/>
      <c r="Y78" s="901"/>
      <c r="Z78" s="901"/>
      <c r="AA78" s="901"/>
      <c r="AB78" s="901"/>
      <c r="AC78" s="901"/>
      <c r="AD78" s="901"/>
      <c r="AE78" s="901"/>
      <c r="AF78" s="901"/>
      <c r="AG78" s="901"/>
      <c r="AH78" s="901"/>
      <c r="AI78" s="902"/>
      <c r="AJ78" s="927"/>
      <c r="AK78" s="927"/>
      <c r="AL78" s="927"/>
      <c r="AM78" s="885"/>
      <c r="AN78" s="886"/>
      <c r="AO78" s="886"/>
      <c r="AP78" s="886"/>
      <c r="AQ78" s="886"/>
      <c r="AR78" s="886"/>
      <c r="AS78" s="886"/>
      <c r="AT78" s="886"/>
      <c r="AU78" s="886"/>
      <c r="AV78" s="886"/>
      <c r="AW78" s="886"/>
      <c r="AX78" s="886"/>
      <c r="AY78" s="886"/>
      <c r="AZ78" s="886"/>
      <c r="BA78" s="886"/>
      <c r="BB78" s="886"/>
      <c r="BC78" s="886"/>
      <c r="BD78" s="886"/>
      <c r="BE78" s="886"/>
      <c r="BF78" s="886"/>
      <c r="BG78" s="886"/>
      <c r="BH78" s="886"/>
      <c r="BI78" s="887"/>
      <c r="BJ78" s="813"/>
      <c r="BK78" s="814"/>
      <c r="BL78" s="814"/>
      <c r="BM78" s="814"/>
      <c r="BN78" s="815"/>
      <c r="BO78" s="891"/>
      <c r="BP78" s="892"/>
      <c r="BQ78" s="892"/>
      <c r="BR78" s="89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8" t="s">
        <v>12383</v>
      </c>
      <c r="E79" s="708"/>
      <c r="F79" s="708"/>
      <c r="G79" s="708"/>
      <c r="H79" s="708"/>
      <c r="I79" s="708"/>
      <c r="J79" s="708"/>
      <c r="K79" s="708"/>
      <c r="L79" s="895" t="str">
        <f>VLOOKUP($D$11,調査票①!$A$3:$HK$1735,92,FALSE)&amp;""</f>
        <v>2</v>
      </c>
      <c r="M79" s="895"/>
      <c r="N79" s="895"/>
      <c r="O79" s="895">
        <f>VLOOKUP($D$11,調査票①!$A$3:$HK$1735,93,FALSE)</f>
        <v>1</v>
      </c>
      <c r="P79" s="895"/>
      <c r="Q79" s="895"/>
      <c r="R79" s="909">
        <f>VLOOKUP($D$11,調査票①!$A$3:$HK$1735,94,FALSE)</f>
        <v>0.5</v>
      </c>
      <c r="S79" s="909"/>
      <c r="T79" s="909"/>
      <c r="U79" s="897" t="str">
        <f>VLOOKUP($D$11,調査票①!$A$3:$HK$1735,95,FALSE)&amp;""</f>
        <v>開館期間が通年ではないことから、指定管理者制度導入が難しいため。</v>
      </c>
      <c r="V79" s="898"/>
      <c r="W79" s="898"/>
      <c r="X79" s="898"/>
      <c r="Y79" s="898"/>
      <c r="Z79" s="898"/>
      <c r="AA79" s="898"/>
      <c r="AB79" s="898"/>
      <c r="AC79" s="898"/>
      <c r="AD79" s="898"/>
      <c r="AE79" s="898"/>
      <c r="AF79" s="898"/>
      <c r="AG79" s="898"/>
      <c r="AH79" s="898"/>
      <c r="AI79" s="899"/>
      <c r="AJ79" s="931">
        <f>VLOOKUP($D$11,調査票①!$A$3:$HK$1735,96,FALSE)</f>
        <v>0</v>
      </c>
      <c r="AK79" s="931"/>
      <c r="AL79" s="931"/>
      <c r="AM79" s="882" t="str">
        <f>VLOOKUP($D$11,調査票①!$A$3:$HK$1735,97,FALSE)&amp;""</f>
        <v>　</v>
      </c>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4"/>
      <c r="BJ79" s="810">
        <f>VLOOKUP($AK$11,導入率!$A$4:$AX$37,26,FALSE)</f>
        <v>0.74193548387096775</v>
      </c>
      <c r="BK79" s="811"/>
      <c r="BL79" s="811"/>
      <c r="BM79" s="811"/>
      <c r="BN79" s="812"/>
      <c r="BO79" s="888">
        <f>調査票①!CP1730</f>
        <v>0.59190957763236174</v>
      </c>
      <c r="BP79" s="889"/>
      <c r="BQ79" s="889"/>
      <c r="BR79" s="89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8"/>
      <c r="E80" s="708"/>
      <c r="F80" s="708"/>
      <c r="G80" s="708"/>
      <c r="H80" s="708"/>
      <c r="I80" s="708"/>
      <c r="J80" s="708"/>
      <c r="K80" s="708"/>
      <c r="L80" s="895"/>
      <c r="M80" s="895"/>
      <c r="N80" s="895"/>
      <c r="O80" s="895"/>
      <c r="P80" s="895"/>
      <c r="Q80" s="895"/>
      <c r="R80" s="909"/>
      <c r="S80" s="909"/>
      <c r="T80" s="909"/>
      <c r="U80" s="900"/>
      <c r="V80" s="901"/>
      <c r="W80" s="901"/>
      <c r="X80" s="901"/>
      <c r="Y80" s="901"/>
      <c r="Z80" s="901"/>
      <c r="AA80" s="901"/>
      <c r="AB80" s="901"/>
      <c r="AC80" s="901"/>
      <c r="AD80" s="901"/>
      <c r="AE80" s="901"/>
      <c r="AF80" s="901"/>
      <c r="AG80" s="901"/>
      <c r="AH80" s="901"/>
      <c r="AI80" s="902"/>
      <c r="AJ80" s="931"/>
      <c r="AK80" s="931"/>
      <c r="AL80" s="931"/>
      <c r="AM80" s="885"/>
      <c r="AN80" s="886"/>
      <c r="AO80" s="886"/>
      <c r="AP80" s="886"/>
      <c r="AQ80" s="886"/>
      <c r="AR80" s="886"/>
      <c r="AS80" s="886"/>
      <c r="AT80" s="886"/>
      <c r="AU80" s="886"/>
      <c r="AV80" s="886"/>
      <c r="AW80" s="886"/>
      <c r="AX80" s="886"/>
      <c r="AY80" s="886"/>
      <c r="AZ80" s="886"/>
      <c r="BA80" s="886"/>
      <c r="BB80" s="886"/>
      <c r="BC80" s="886"/>
      <c r="BD80" s="886"/>
      <c r="BE80" s="886"/>
      <c r="BF80" s="886"/>
      <c r="BG80" s="886"/>
      <c r="BH80" s="886"/>
      <c r="BI80" s="887"/>
      <c r="BJ80" s="813"/>
      <c r="BK80" s="814"/>
      <c r="BL80" s="814"/>
      <c r="BM80" s="814"/>
      <c r="BN80" s="815"/>
      <c r="BO80" s="891"/>
      <c r="BP80" s="892"/>
      <c r="BQ80" s="892"/>
      <c r="BR80" s="89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8" t="s">
        <v>12384</v>
      </c>
      <c r="E81" s="708"/>
      <c r="F81" s="708"/>
      <c r="G81" s="708"/>
      <c r="H81" s="708"/>
      <c r="I81" s="708"/>
      <c r="J81" s="708"/>
      <c r="K81" s="708"/>
      <c r="L81" s="895">
        <f>VLOOKUP($D$11,調査票①!$A$3:$HK$1735,98,FALSE)</f>
        <v>4</v>
      </c>
      <c r="M81" s="895"/>
      <c r="N81" s="895"/>
      <c r="O81" s="895">
        <f>VLOOKUP($D$11,調査票①!$A$3:$HK$1735,99,FALSE)</f>
        <v>3</v>
      </c>
      <c r="P81" s="895"/>
      <c r="Q81" s="895"/>
      <c r="R81" s="909">
        <f>VLOOKUP($D$11,調査票①!$A$3:$HK$1735,100,FALSE)</f>
        <v>0.75</v>
      </c>
      <c r="S81" s="909"/>
      <c r="T81" s="909"/>
      <c r="U81" s="897" t="str">
        <f>VLOOKUP($D$11,調査票①!$A$3:$HK$1735,101,FALSE)&amp;""</f>
        <v>維持管理委託で対応している。</v>
      </c>
      <c r="V81" s="898"/>
      <c r="W81" s="898"/>
      <c r="X81" s="898"/>
      <c r="Y81" s="898"/>
      <c r="Z81" s="898"/>
      <c r="AA81" s="898"/>
      <c r="AB81" s="898"/>
      <c r="AC81" s="898"/>
      <c r="AD81" s="898"/>
      <c r="AE81" s="898"/>
      <c r="AF81" s="898"/>
      <c r="AG81" s="898"/>
      <c r="AH81" s="898"/>
      <c r="AI81" s="899"/>
      <c r="AJ81" s="930">
        <f>VLOOKUP($D$11,調査票①!$A$3:$HK$1735,102,FALSE)</f>
        <v>0</v>
      </c>
      <c r="AK81" s="930"/>
      <c r="AL81" s="930"/>
      <c r="AM81" s="882" t="str">
        <f>VLOOKUP($D$11,調査票①!$A$3:$HK$1735,103,FALSE)&amp;""</f>
        <v>　</v>
      </c>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4"/>
      <c r="BJ81" s="810">
        <f>VLOOKUP($AK$11,導入率!$A$4:$AX$37,27,FALSE)</f>
        <v>0.81481481481481477</v>
      </c>
      <c r="BK81" s="811"/>
      <c r="BL81" s="811"/>
      <c r="BM81" s="811"/>
      <c r="BN81" s="812"/>
      <c r="BO81" s="888">
        <f>調査票①!CV1730</f>
        <v>0.75</v>
      </c>
      <c r="BP81" s="889"/>
      <c r="BQ81" s="889"/>
      <c r="BR81" s="89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8"/>
      <c r="E82" s="708"/>
      <c r="F82" s="708"/>
      <c r="G82" s="708"/>
      <c r="H82" s="708"/>
      <c r="I82" s="708"/>
      <c r="J82" s="708"/>
      <c r="K82" s="708"/>
      <c r="L82" s="895"/>
      <c r="M82" s="895"/>
      <c r="N82" s="895"/>
      <c r="O82" s="895"/>
      <c r="P82" s="895"/>
      <c r="Q82" s="895"/>
      <c r="R82" s="909"/>
      <c r="S82" s="909"/>
      <c r="T82" s="909"/>
      <c r="U82" s="900"/>
      <c r="V82" s="901"/>
      <c r="W82" s="901"/>
      <c r="X82" s="901"/>
      <c r="Y82" s="901"/>
      <c r="Z82" s="901"/>
      <c r="AA82" s="901"/>
      <c r="AB82" s="901"/>
      <c r="AC82" s="901"/>
      <c r="AD82" s="901"/>
      <c r="AE82" s="901"/>
      <c r="AF82" s="901"/>
      <c r="AG82" s="901"/>
      <c r="AH82" s="901"/>
      <c r="AI82" s="902"/>
      <c r="AJ82" s="930"/>
      <c r="AK82" s="930"/>
      <c r="AL82" s="930"/>
      <c r="AM82" s="885"/>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7"/>
      <c r="BJ82" s="813"/>
      <c r="BK82" s="814"/>
      <c r="BL82" s="814"/>
      <c r="BM82" s="814"/>
      <c r="BN82" s="815"/>
      <c r="BO82" s="891"/>
      <c r="BP82" s="892"/>
      <c r="BQ82" s="892"/>
      <c r="BR82" s="893"/>
      <c r="BS82" s="98"/>
      <c r="BT82" s="100"/>
      <c r="CB82" s="96"/>
      <c r="CC82" s="707" t="s">
        <v>12391</v>
      </c>
      <c r="CD82" s="707"/>
      <c r="CE82" s="707"/>
      <c r="CF82" s="707"/>
      <c r="CG82" s="707"/>
      <c r="CH82" s="707"/>
      <c r="CI82" s="707"/>
      <c r="CJ82" s="707"/>
      <c r="CK82" s="707"/>
      <c r="CL82" s="707"/>
      <c r="CM82" s="707" t="str">
        <f>VLOOKUP($D$11,調査票①!$A$3:$HK$1735,214,FALSE)&amp;""</f>
        <v>○</v>
      </c>
      <c r="CN82" s="707"/>
      <c r="CO82" s="707"/>
      <c r="CP82" s="707"/>
      <c r="CQ82" s="707"/>
      <c r="CR82" s="707"/>
      <c r="CS82" s="707"/>
      <c r="CT82" s="707"/>
      <c r="CU82" s="707"/>
      <c r="CV82" s="707"/>
      <c r="CW82" s="707"/>
      <c r="CX82" s="707"/>
      <c r="CY82" s="707"/>
      <c r="CZ82" s="707"/>
      <c r="DA82" s="98"/>
      <c r="DB82" s="707" t="s">
        <v>60</v>
      </c>
      <c r="DC82" s="707"/>
      <c r="DD82" s="707"/>
      <c r="DE82" s="707"/>
      <c r="DF82" s="707"/>
      <c r="DG82" s="707"/>
      <c r="DH82" s="707"/>
      <c r="DI82" s="707"/>
      <c r="DJ82" s="707"/>
      <c r="DK82" s="707"/>
      <c r="DL82" s="707" t="str">
        <f>VLOOKUP($D$11,調査票①!$A$3:$HK$1735,215,FALSE)&amp;""</f>
        <v/>
      </c>
      <c r="DM82" s="707"/>
      <c r="DN82" s="707"/>
      <c r="DO82" s="707"/>
      <c r="DP82" s="707"/>
      <c r="DQ82" s="707"/>
      <c r="DR82" s="707"/>
      <c r="DS82" s="707"/>
      <c r="DT82" s="707"/>
      <c r="DU82" s="707"/>
      <c r="DV82" s="98"/>
      <c r="DW82" s="98"/>
      <c r="DX82" s="98"/>
      <c r="DY82" s="708" t="s">
        <v>12392</v>
      </c>
      <c r="DZ82" s="708"/>
      <c r="EA82" s="708"/>
      <c r="EB82" s="708"/>
      <c r="EC82" s="708"/>
      <c r="ED82" s="708"/>
      <c r="EE82" s="708"/>
      <c r="EF82" s="708"/>
      <c r="EG82" s="709" t="str">
        <f>VLOOKUP($D$11,調査票①!$A$3:$HK$1735,216,FALSE)&amp;""</f>
        <v/>
      </c>
      <c r="EH82" s="709"/>
      <c r="EI82" s="709"/>
      <c r="EJ82" s="709"/>
      <c r="EK82" s="709"/>
      <c r="EL82" s="709"/>
      <c r="EM82" s="709"/>
      <c r="EN82" s="709"/>
      <c r="EO82" s="709"/>
      <c r="EP82" s="98"/>
      <c r="EQ82" s="98"/>
      <c r="ER82" s="98"/>
      <c r="ES82" s="100"/>
    </row>
    <row r="83" spans="3:149" ht="20.399999999999999" customHeight="1">
      <c r="C83" s="96"/>
      <c r="D83" s="912" t="s">
        <v>12385</v>
      </c>
      <c r="E83" s="912"/>
      <c r="F83" s="912"/>
      <c r="G83" s="912"/>
      <c r="H83" s="912"/>
      <c r="I83" s="912"/>
      <c r="J83" s="912"/>
      <c r="K83" s="912"/>
      <c r="L83" s="895">
        <f>VLOOKUP($D$11,調査票①!$A$3:$HK$1735,104,FALSE)</f>
        <v>0</v>
      </c>
      <c r="M83" s="895"/>
      <c r="N83" s="895"/>
      <c r="O83" s="895">
        <f>VLOOKUP($D$11,調査票①!$A$3:$HK$1735,105,FALSE)</f>
        <v>0</v>
      </c>
      <c r="P83" s="895"/>
      <c r="Q83" s="895"/>
      <c r="R83" s="909" t="str">
        <f>VLOOKUP($D$11,調査票①!$A$3:$HK$1735,106,FALSE)</f>
        <v/>
      </c>
      <c r="S83" s="909"/>
      <c r="T83" s="909"/>
      <c r="U83" s="897" t="str">
        <f>VLOOKUP($D$11,調査票①!$A$3:$HK$1735,107,FALSE)&amp;""</f>
        <v>　</v>
      </c>
      <c r="V83" s="898"/>
      <c r="W83" s="898"/>
      <c r="X83" s="898"/>
      <c r="Y83" s="898"/>
      <c r="Z83" s="898"/>
      <c r="AA83" s="898"/>
      <c r="AB83" s="898"/>
      <c r="AC83" s="898"/>
      <c r="AD83" s="898"/>
      <c r="AE83" s="898"/>
      <c r="AF83" s="898"/>
      <c r="AG83" s="898"/>
      <c r="AH83" s="898"/>
      <c r="AI83" s="899"/>
      <c r="AJ83" s="930">
        <f>VLOOKUP($D$11,調査票①!$A$3:$HK$1735,108,FALSE)</f>
        <v>0</v>
      </c>
      <c r="AK83" s="930"/>
      <c r="AL83" s="930"/>
      <c r="AM83" s="882" t="str">
        <f>VLOOKUP($D$11,調査票①!$A$3:$HK$1735,109,FALSE)&amp;""</f>
        <v>　</v>
      </c>
      <c r="AN83" s="883"/>
      <c r="AO83" s="883"/>
      <c r="AP83" s="883"/>
      <c r="AQ83" s="883"/>
      <c r="AR83" s="883"/>
      <c r="AS83" s="883"/>
      <c r="AT83" s="883"/>
      <c r="AU83" s="883"/>
      <c r="AV83" s="883"/>
      <c r="AW83" s="883"/>
      <c r="AX83" s="883"/>
      <c r="AY83" s="883"/>
      <c r="AZ83" s="883"/>
      <c r="BA83" s="883"/>
      <c r="BB83" s="883"/>
      <c r="BC83" s="883"/>
      <c r="BD83" s="883"/>
      <c r="BE83" s="883"/>
      <c r="BF83" s="883"/>
      <c r="BG83" s="883"/>
      <c r="BH83" s="883"/>
      <c r="BI83" s="884"/>
      <c r="BJ83" s="810">
        <f>VLOOKUP($AK$11,導入率!$A$4:$AX$37,28,FALSE)</f>
        <v>0.5</v>
      </c>
      <c r="BK83" s="811"/>
      <c r="BL83" s="811"/>
      <c r="BM83" s="811"/>
      <c r="BN83" s="812"/>
      <c r="BO83" s="888">
        <f>調査票①!DB1730</f>
        <v>0.65762711864406775</v>
      </c>
      <c r="BP83" s="889"/>
      <c r="BQ83" s="889"/>
      <c r="BR83" s="890"/>
      <c r="BS83" s="98"/>
      <c r="BT83" s="100"/>
      <c r="CB83" s="96"/>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98"/>
      <c r="DB83" s="707"/>
      <c r="DC83" s="707"/>
      <c r="DD83" s="707"/>
      <c r="DE83" s="707"/>
      <c r="DF83" s="707"/>
      <c r="DG83" s="707"/>
      <c r="DH83" s="707"/>
      <c r="DI83" s="707"/>
      <c r="DJ83" s="707"/>
      <c r="DK83" s="707"/>
      <c r="DL83" s="707"/>
      <c r="DM83" s="707"/>
      <c r="DN83" s="707"/>
      <c r="DO83" s="707"/>
      <c r="DP83" s="707"/>
      <c r="DQ83" s="707"/>
      <c r="DR83" s="707"/>
      <c r="DS83" s="707"/>
      <c r="DT83" s="707"/>
      <c r="DU83" s="707"/>
      <c r="DV83" s="98"/>
      <c r="DW83" s="98"/>
      <c r="DX83" s="98"/>
      <c r="DY83" s="708"/>
      <c r="DZ83" s="708"/>
      <c r="EA83" s="708"/>
      <c r="EB83" s="708"/>
      <c r="EC83" s="708"/>
      <c r="ED83" s="708"/>
      <c r="EE83" s="708"/>
      <c r="EF83" s="708"/>
      <c r="EG83" s="709"/>
      <c r="EH83" s="709"/>
      <c r="EI83" s="709"/>
      <c r="EJ83" s="709"/>
      <c r="EK83" s="709"/>
      <c r="EL83" s="709"/>
      <c r="EM83" s="709"/>
      <c r="EN83" s="709"/>
      <c r="EO83" s="709"/>
      <c r="EP83" s="98"/>
      <c r="EQ83" s="98"/>
      <c r="ER83" s="98"/>
      <c r="ES83" s="100"/>
    </row>
    <row r="84" spans="3:149" ht="20.399999999999999" customHeight="1">
      <c r="C84" s="96"/>
      <c r="D84" s="912"/>
      <c r="E84" s="912"/>
      <c r="F84" s="912"/>
      <c r="G84" s="912"/>
      <c r="H84" s="912"/>
      <c r="I84" s="912"/>
      <c r="J84" s="912"/>
      <c r="K84" s="912"/>
      <c r="L84" s="895"/>
      <c r="M84" s="895"/>
      <c r="N84" s="895"/>
      <c r="O84" s="895"/>
      <c r="P84" s="895"/>
      <c r="Q84" s="895"/>
      <c r="R84" s="909"/>
      <c r="S84" s="909"/>
      <c r="T84" s="909"/>
      <c r="U84" s="900"/>
      <c r="V84" s="901"/>
      <c r="W84" s="901"/>
      <c r="X84" s="901"/>
      <c r="Y84" s="901"/>
      <c r="Z84" s="901"/>
      <c r="AA84" s="901"/>
      <c r="AB84" s="901"/>
      <c r="AC84" s="901"/>
      <c r="AD84" s="901"/>
      <c r="AE84" s="901"/>
      <c r="AF84" s="901"/>
      <c r="AG84" s="901"/>
      <c r="AH84" s="901"/>
      <c r="AI84" s="902"/>
      <c r="AJ84" s="930"/>
      <c r="AK84" s="930"/>
      <c r="AL84" s="930"/>
      <c r="AM84" s="885"/>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7"/>
      <c r="BJ84" s="813"/>
      <c r="BK84" s="814"/>
      <c r="BL84" s="814"/>
      <c r="BM84" s="814"/>
      <c r="BN84" s="815"/>
      <c r="BO84" s="891"/>
      <c r="BP84" s="892"/>
      <c r="BQ84" s="892"/>
      <c r="BR84" s="893"/>
      <c r="BS84" s="98"/>
      <c r="BT84" s="100"/>
      <c r="CB84" s="96"/>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98"/>
      <c r="DB84" s="707"/>
      <c r="DC84" s="707"/>
      <c r="DD84" s="707"/>
      <c r="DE84" s="707"/>
      <c r="DF84" s="707"/>
      <c r="DG84" s="707"/>
      <c r="DH84" s="707"/>
      <c r="DI84" s="707"/>
      <c r="DJ84" s="707"/>
      <c r="DK84" s="707"/>
      <c r="DL84" s="707"/>
      <c r="DM84" s="707"/>
      <c r="DN84" s="707"/>
      <c r="DO84" s="707"/>
      <c r="DP84" s="707"/>
      <c r="DQ84" s="707"/>
      <c r="DR84" s="707"/>
      <c r="DS84" s="707"/>
      <c r="DT84" s="707"/>
      <c r="DU84" s="707"/>
      <c r="DV84" s="98"/>
      <c r="DW84" s="98"/>
      <c r="DX84" s="98"/>
      <c r="DY84" s="708"/>
      <c r="DZ84" s="708"/>
      <c r="EA84" s="708"/>
      <c r="EB84" s="708"/>
      <c r="EC84" s="708"/>
      <c r="ED84" s="708"/>
      <c r="EE84" s="708"/>
      <c r="EF84" s="708"/>
      <c r="EG84" s="709"/>
      <c r="EH84" s="709"/>
      <c r="EI84" s="709"/>
      <c r="EJ84" s="709"/>
      <c r="EK84" s="709"/>
      <c r="EL84" s="709"/>
      <c r="EM84" s="709"/>
      <c r="EN84" s="709"/>
      <c r="EO84" s="709"/>
      <c r="EP84" s="98"/>
      <c r="EQ84" s="98"/>
      <c r="ER84" s="98"/>
      <c r="ES84" s="100"/>
    </row>
    <row r="85" spans="3:149" ht="20.399999999999999" customHeight="1">
      <c r="C85" s="96"/>
      <c r="D85" s="708" t="s">
        <v>12386</v>
      </c>
      <c r="E85" s="708"/>
      <c r="F85" s="708"/>
      <c r="G85" s="708"/>
      <c r="H85" s="708"/>
      <c r="I85" s="708"/>
      <c r="J85" s="708"/>
      <c r="K85" s="708"/>
      <c r="L85" s="895">
        <f>VLOOKUP($D$11,調査票①!$A$3:$HK$1735,110,FALSE)</f>
        <v>0</v>
      </c>
      <c r="M85" s="895"/>
      <c r="N85" s="895"/>
      <c r="O85" s="895" t="str">
        <f>VLOOKUP($D$11,調査票①!$A$3:$HK$1735,111,FALSE)&amp;""</f>
        <v>0</v>
      </c>
      <c r="P85" s="895"/>
      <c r="Q85" s="895"/>
      <c r="R85" s="909" t="str">
        <f>VLOOKUP($D$11,調査票①!$A$3:$HK$1735,112,FALSE)</f>
        <v/>
      </c>
      <c r="S85" s="909"/>
      <c r="T85" s="909"/>
      <c r="U85" s="897" t="str">
        <f>VLOOKUP($D$11,調査票①!$A$3:$HK$1735,113,FALSE)&amp;""</f>
        <v>　</v>
      </c>
      <c r="V85" s="898"/>
      <c r="W85" s="898"/>
      <c r="X85" s="898"/>
      <c r="Y85" s="898"/>
      <c r="Z85" s="898"/>
      <c r="AA85" s="898"/>
      <c r="AB85" s="898"/>
      <c r="AC85" s="898"/>
      <c r="AD85" s="898"/>
      <c r="AE85" s="898"/>
      <c r="AF85" s="898"/>
      <c r="AG85" s="898"/>
      <c r="AH85" s="898"/>
      <c r="AI85" s="899"/>
      <c r="AJ85" s="930">
        <f>VLOOKUP($D$11,調査票①!$A$3:$HK$1735,114,FALSE)</f>
        <v>0</v>
      </c>
      <c r="AK85" s="930"/>
      <c r="AL85" s="930"/>
      <c r="AM85" s="882" t="str">
        <f>VLOOKUP($D$11,調査票①!$A$3:$HK$1735,115,FALSE)&amp;""</f>
        <v>　</v>
      </c>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4"/>
      <c r="BJ85" s="810" t="str">
        <f>VLOOKUP($AK$11,導入率!$A$4:$AX$37,29,FALSE)</f>
        <v>-</v>
      </c>
      <c r="BK85" s="811"/>
      <c r="BL85" s="811"/>
      <c r="BM85" s="811"/>
      <c r="BN85" s="812"/>
      <c r="BO85" s="888">
        <f>調査票①!DH1730</f>
        <v>0.40229885057471265</v>
      </c>
      <c r="BP85" s="889"/>
      <c r="BQ85" s="889"/>
      <c r="BR85" s="890"/>
      <c r="BS85" s="98"/>
      <c r="BT85" s="100"/>
      <c r="CB85" s="96"/>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98"/>
      <c r="DB85" s="707"/>
      <c r="DC85" s="707"/>
      <c r="DD85" s="707"/>
      <c r="DE85" s="707"/>
      <c r="DF85" s="707"/>
      <c r="DG85" s="707"/>
      <c r="DH85" s="707"/>
      <c r="DI85" s="707"/>
      <c r="DJ85" s="707"/>
      <c r="DK85" s="707"/>
      <c r="DL85" s="707"/>
      <c r="DM85" s="707"/>
      <c r="DN85" s="707"/>
      <c r="DO85" s="707"/>
      <c r="DP85" s="707"/>
      <c r="DQ85" s="707"/>
      <c r="DR85" s="707"/>
      <c r="DS85" s="707"/>
      <c r="DT85" s="707"/>
      <c r="DU85" s="707"/>
      <c r="DV85" s="98"/>
      <c r="DW85" s="98"/>
      <c r="DX85" s="98"/>
      <c r="DY85" s="708"/>
      <c r="DZ85" s="708"/>
      <c r="EA85" s="708"/>
      <c r="EB85" s="708"/>
      <c r="EC85" s="708"/>
      <c r="ED85" s="708"/>
      <c r="EE85" s="708"/>
      <c r="EF85" s="708"/>
      <c r="EG85" s="709"/>
      <c r="EH85" s="709"/>
      <c r="EI85" s="709"/>
      <c r="EJ85" s="709"/>
      <c r="EK85" s="709"/>
      <c r="EL85" s="709"/>
      <c r="EM85" s="709"/>
      <c r="EN85" s="709"/>
      <c r="EO85" s="709"/>
      <c r="EP85" s="98"/>
      <c r="EQ85" s="98"/>
      <c r="ER85" s="98"/>
      <c r="ES85" s="100"/>
    </row>
    <row r="86" spans="3:149" ht="20.399999999999999" customHeight="1">
      <c r="C86" s="96"/>
      <c r="D86" s="708"/>
      <c r="E86" s="708"/>
      <c r="F86" s="708"/>
      <c r="G86" s="708"/>
      <c r="H86" s="708"/>
      <c r="I86" s="708"/>
      <c r="J86" s="708"/>
      <c r="K86" s="708"/>
      <c r="L86" s="895"/>
      <c r="M86" s="895"/>
      <c r="N86" s="895"/>
      <c r="O86" s="895"/>
      <c r="P86" s="895"/>
      <c r="Q86" s="895"/>
      <c r="R86" s="909"/>
      <c r="S86" s="909"/>
      <c r="T86" s="909"/>
      <c r="U86" s="900"/>
      <c r="V86" s="901"/>
      <c r="W86" s="901"/>
      <c r="X86" s="901"/>
      <c r="Y86" s="901"/>
      <c r="Z86" s="901"/>
      <c r="AA86" s="901"/>
      <c r="AB86" s="901"/>
      <c r="AC86" s="901"/>
      <c r="AD86" s="901"/>
      <c r="AE86" s="901"/>
      <c r="AF86" s="901"/>
      <c r="AG86" s="901"/>
      <c r="AH86" s="901"/>
      <c r="AI86" s="902"/>
      <c r="AJ86" s="930"/>
      <c r="AK86" s="930"/>
      <c r="AL86" s="930"/>
      <c r="AM86" s="885"/>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7"/>
      <c r="BJ86" s="813"/>
      <c r="BK86" s="814"/>
      <c r="BL86" s="814"/>
      <c r="BM86" s="814"/>
      <c r="BN86" s="815"/>
      <c r="BO86" s="891"/>
      <c r="BP86" s="892"/>
      <c r="BQ86" s="892"/>
      <c r="BR86" s="89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8" t="s">
        <v>12387</v>
      </c>
      <c r="E87" s="708"/>
      <c r="F87" s="708"/>
      <c r="G87" s="708"/>
      <c r="H87" s="708"/>
      <c r="I87" s="708"/>
      <c r="J87" s="708"/>
      <c r="K87" s="708"/>
      <c r="L87" s="895">
        <f>VLOOKUP($D$11,調査票①!$A$3:$HK$1735,116,FALSE)</f>
        <v>2</v>
      </c>
      <c r="M87" s="895"/>
      <c r="N87" s="895"/>
      <c r="O87" s="895">
        <f>VLOOKUP($D$11,調査票①!$A$3:$HK$1735,117,FALSE)</f>
        <v>1</v>
      </c>
      <c r="P87" s="895"/>
      <c r="Q87" s="895"/>
      <c r="R87" s="909">
        <f>VLOOKUP($D$11,調査票①!$A$3:$HK$1735,118,FALSE)</f>
        <v>0.5</v>
      </c>
      <c r="S87" s="909"/>
      <c r="T87" s="909"/>
      <c r="U87" s="897" t="str">
        <f>VLOOKUP($D$11,調査票①!$A$3:$HK$1735,119,FALSE)&amp;""</f>
        <v>順次、指定管理者制度を導入予定。</v>
      </c>
      <c r="V87" s="898"/>
      <c r="W87" s="898"/>
      <c r="X87" s="898"/>
      <c r="Y87" s="898"/>
      <c r="Z87" s="898"/>
      <c r="AA87" s="898"/>
      <c r="AB87" s="898"/>
      <c r="AC87" s="898"/>
      <c r="AD87" s="898"/>
      <c r="AE87" s="898"/>
      <c r="AF87" s="898"/>
      <c r="AG87" s="898"/>
      <c r="AH87" s="898"/>
      <c r="AI87" s="899"/>
      <c r="AJ87" s="930">
        <f>VLOOKUP($D$11,調査票①!$A$3:$HK$1735,120,FALSE)</f>
        <v>1</v>
      </c>
      <c r="AK87" s="930"/>
      <c r="AL87" s="930"/>
      <c r="AM87" s="882" t="str">
        <f>VLOOKUP($D$11,調査票①!$A$3:$HK$1735,121,FALSE)&amp;""</f>
        <v>順次、指定管理者制度を導入予定。</v>
      </c>
      <c r="AN87" s="883"/>
      <c r="AO87" s="883"/>
      <c r="AP87" s="883"/>
      <c r="AQ87" s="883"/>
      <c r="AR87" s="883"/>
      <c r="AS87" s="883"/>
      <c r="AT87" s="883"/>
      <c r="AU87" s="883"/>
      <c r="AV87" s="883"/>
      <c r="AW87" s="883"/>
      <c r="AX87" s="883"/>
      <c r="AY87" s="883"/>
      <c r="AZ87" s="883"/>
      <c r="BA87" s="883"/>
      <c r="BB87" s="883"/>
      <c r="BC87" s="883"/>
      <c r="BD87" s="883"/>
      <c r="BE87" s="883"/>
      <c r="BF87" s="883"/>
      <c r="BG87" s="883"/>
      <c r="BH87" s="883"/>
      <c r="BI87" s="884"/>
      <c r="BJ87" s="810">
        <f>VLOOKUP($AK$11,導入率!$A$4:$AX$37,30,FALSE)</f>
        <v>0.4375</v>
      </c>
      <c r="BK87" s="811"/>
      <c r="BL87" s="811"/>
      <c r="BM87" s="811"/>
      <c r="BN87" s="812"/>
      <c r="BO87" s="888">
        <f>調査票①!DN1730</f>
        <v>0.44166157605375689</v>
      </c>
      <c r="BP87" s="889"/>
      <c r="BQ87" s="889"/>
      <c r="BR87" s="89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8"/>
      <c r="E88" s="708"/>
      <c r="F88" s="708"/>
      <c r="G88" s="708"/>
      <c r="H88" s="708"/>
      <c r="I88" s="708"/>
      <c r="J88" s="708"/>
      <c r="K88" s="708"/>
      <c r="L88" s="895"/>
      <c r="M88" s="895"/>
      <c r="N88" s="895"/>
      <c r="O88" s="895"/>
      <c r="P88" s="895"/>
      <c r="Q88" s="895"/>
      <c r="R88" s="909"/>
      <c r="S88" s="909"/>
      <c r="T88" s="909"/>
      <c r="U88" s="900"/>
      <c r="V88" s="901"/>
      <c r="W88" s="901"/>
      <c r="X88" s="901"/>
      <c r="Y88" s="901"/>
      <c r="Z88" s="901"/>
      <c r="AA88" s="901"/>
      <c r="AB88" s="901"/>
      <c r="AC88" s="901"/>
      <c r="AD88" s="901"/>
      <c r="AE88" s="901"/>
      <c r="AF88" s="901"/>
      <c r="AG88" s="901"/>
      <c r="AH88" s="901"/>
      <c r="AI88" s="902"/>
      <c r="AJ88" s="930"/>
      <c r="AK88" s="930"/>
      <c r="AL88" s="930"/>
      <c r="AM88" s="885"/>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7"/>
      <c r="BJ88" s="813"/>
      <c r="BK88" s="814"/>
      <c r="BL88" s="814"/>
      <c r="BM88" s="814"/>
      <c r="BN88" s="815"/>
      <c r="BO88" s="891"/>
      <c r="BP88" s="892"/>
      <c r="BQ88" s="892"/>
      <c r="BR88" s="893"/>
      <c r="BS88" s="98"/>
      <c r="BT88" s="100"/>
      <c r="CB88" s="96"/>
      <c r="CC88" s="697" t="s">
        <v>12396</v>
      </c>
      <c r="CD88" s="697"/>
      <c r="CE88" s="697"/>
      <c r="CF88" s="697"/>
      <c r="CG88" s="697"/>
      <c r="CH88" s="697"/>
      <c r="CI88" s="697"/>
      <c r="CJ88" s="697"/>
      <c r="CK88" s="697"/>
      <c r="CL88" s="697"/>
      <c r="CM88" s="698" t="s">
        <v>12397</v>
      </c>
      <c r="CN88" s="699"/>
      <c r="CO88" s="699"/>
      <c r="CP88" s="699"/>
      <c r="CQ88" s="699"/>
      <c r="CR88" s="699"/>
      <c r="CS88" s="699"/>
      <c r="CT88" s="699"/>
      <c r="CU88" s="699"/>
      <c r="CV88" s="699"/>
      <c r="CW88" s="70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8" t="s">
        <v>12388</v>
      </c>
      <c r="E89" s="708"/>
      <c r="F89" s="708"/>
      <c r="G89" s="708"/>
      <c r="H89" s="708"/>
      <c r="I89" s="708"/>
      <c r="J89" s="708"/>
      <c r="K89" s="708"/>
      <c r="L89" s="895">
        <f>VLOOKUP($D$11,調査票①!$A$3:$HK$1735,122,FALSE)</f>
        <v>184</v>
      </c>
      <c r="M89" s="895"/>
      <c r="N89" s="895"/>
      <c r="O89" s="895">
        <f>VLOOKUP($D$11,調査票①!$A$3:$HK$1735,123,FALSE)</f>
        <v>12</v>
      </c>
      <c r="P89" s="895"/>
      <c r="Q89" s="895"/>
      <c r="R89" s="909">
        <f>VLOOKUP($D$11,調査票①!$A$3:$HK$1735,124,FALSE)</f>
        <v>6.5217391304347824E-2</v>
      </c>
      <c r="S89" s="909"/>
      <c r="T89" s="909"/>
      <c r="U89" s="897" t="str">
        <f>VLOOKUP($D$11,調査票①!$A$3:$HK$1735,125,FALSE)&amp;""</f>
        <v>公営住宅法に基づく市営住宅の管理を管理代行制度により管理しているため。</v>
      </c>
      <c r="V89" s="898"/>
      <c r="W89" s="898"/>
      <c r="X89" s="898"/>
      <c r="Y89" s="898"/>
      <c r="Z89" s="898"/>
      <c r="AA89" s="898"/>
      <c r="AB89" s="898"/>
      <c r="AC89" s="898"/>
      <c r="AD89" s="898"/>
      <c r="AE89" s="898"/>
      <c r="AF89" s="898"/>
      <c r="AG89" s="898"/>
      <c r="AH89" s="898"/>
      <c r="AI89" s="899"/>
      <c r="AJ89" s="930">
        <f>VLOOKUP($D$11,調査票①!$A$3:$HK$1735,126,FALSE)</f>
        <v>0</v>
      </c>
      <c r="AK89" s="930"/>
      <c r="AL89" s="930"/>
      <c r="AM89" s="882" t="str">
        <f>VLOOKUP($D$11,調査票①!$A$3:$HK$1735,127,FALSE)&amp;""</f>
        <v>　</v>
      </c>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4"/>
      <c r="BJ89" s="810">
        <f>VLOOKUP($AK$11,導入率!$A$4:$AX$37,31,FALSE)</f>
        <v>0.32456140350877194</v>
      </c>
      <c r="BK89" s="811"/>
      <c r="BL89" s="811"/>
      <c r="BM89" s="811"/>
      <c r="BN89" s="812"/>
      <c r="BO89" s="888">
        <f>調査票①!DT1730</f>
        <v>0.1617618648979329</v>
      </c>
      <c r="BP89" s="889"/>
      <c r="BQ89" s="889"/>
      <c r="BR89" s="890"/>
      <c r="BS89" s="98"/>
      <c r="BT89" s="100"/>
      <c r="BY89" s="91"/>
      <c r="BZ89" s="91"/>
      <c r="CA89" s="91"/>
      <c r="CB89" s="96"/>
      <c r="CC89" s="698" t="s">
        <v>12398</v>
      </c>
      <c r="CD89" s="699"/>
      <c r="CE89" s="699"/>
      <c r="CF89" s="699"/>
      <c r="CG89" s="699"/>
      <c r="CH89" s="699"/>
      <c r="CI89" s="699"/>
      <c r="CJ89" s="699"/>
      <c r="CK89" s="699"/>
      <c r="CL89" s="700"/>
      <c r="CM89" s="698" t="s">
        <v>12398</v>
      </c>
      <c r="CN89" s="699"/>
      <c r="CO89" s="699"/>
      <c r="CP89" s="699"/>
      <c r="CQ89" s="699"/>
      <c r="CR89" s="699"/>
      <c r="CS89" s="699"/>
      <c r="CT89" s="699"/>
      <c r="CU89" s="699"/>
      <c r="CV89" s="699"/>
      <c r="CW89" s="70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8"/>
      <c r="E90" s="708"/>
      <c r="F90" s="708"/>
      <c r="G90" s="708"/>
      <c r="H90" s="708"/>
      <c r="I90" s="708"/>
      <c r="J90" s="708"/>
      <c r="K90" s="708"/>
      <c r="L90" s="895"/>
      <c r="M90" s="895"/>
      <c r="N90" s="895"/>
      <c r="O90" s="895"/>
      <c r="P90" s="895"/>
      <c r="Q90" s="895"/>
      <c r="R90" s="909"/>
      <c r="S90" s="909"/>
      <c r="T90" s="909"/>
      <c r="U90" s="900"/>
      <c r="V90" s="901"/>
      <c r="W90" s="901"/>
      <c r="X90" s="901"/>
      <c r="Y90" s="901"/>
      <c r="Z90" s="901"/>
      <c r="AA90" s="901"/>
      <c r="AB90" s="901"/>
      <c r="AC90" s="901"/>
      <c r="AD90" s="901"/>
      <c r="AE90" s="901"/>
      <c r="AF90" s="901"/>
      <c r="AG90" s="901"/>
      <c r="AH90" s="901"/>
      <c r="AI90" s="902"/>
      <c r="AJ90" s="930"/>
      <c r="AK90" s="930"/>
      <c r="AL90" s="930"/>
      <c r="AM90" s="885"/>
      <c r="AN90" s="886"/>
      <c r="AO90" s="886"/>
      <c r="AP90" s="886"/>
      <c r="AQ90" s="886"/>
      <c r="AR90" s="886"/>
      <c r="AS90" s="886"/>
      <c r="AT90" s="886"/>
      <c r="AU90" s="886"/>
      <c r="AV90" s="886"/>
      <c r="AW90" s="886"/>
      <c r="AX90" s="886"/>
      <c r="AY90" s="886"/>
      <c r="AZ90" s="886"/>
      <c r="BA90" s="886"/>
      <c r="BB90" s="886"/>
      <c r="BC90" s="886"/>
      <c r="BD90" s="886"/>
      <c r="BE90" s="886"/>
      <c r="BF90" s="886"/>
      <c r="BG90" s="886"/>
      <c r="BH90" s="886"/>
      <c r="BI90" s="887"/>
      <c r="BJ90" s="813"/>
      <c r="BK90" s="814"/>
      <c r="BL90" s="814"/>
      <c r="BM90" s="814"/>
      <c r="BN90" s="815"/>
      <c r="BO90" s="891"/>
      <c r="BP90" s="892"/>
      <c r="BQ90" s="892"/>
      <c r="BR90" s="893"/>
      <c r="BS90" s="98"/>
      <c r="BT90" s="100"/>
      <c r="CB90" s="96"/>
      <c r="CC90" s="701">
        <f>VLOOKUP($AK$11,導入率!A4:AX37,49,FALSE)</f>
        <v>1</v>
      </c>
      <c r="CD90" s="702"/>
      <c r="CE90" s="702"/>
      <c r="CF90" s="702"/>
      <c r="CG90" s="702"/>
      <c r="CH90" s="702"/>
      <c r="CI90" s="702"/>
      <c r="CJ90" s="702"/>
      <c r="CK90" s="702"/>
      <c r="CL90" s="703"/>
      <c r="CM90" s="701">
        <f>調査票①!HF1731</f>
        <v>0.9988378849506101</v>
      </c>
      <c r="CN90" s="702"/>
      <c r="CO90" s="702"/>
      <c r="CP90" s="702"/>
      <c r="CQ90" s="702"/>
      <c r="CR90" s="702"/>
      <c r="CS90" s="702"/>
      <c r="CT90" s="702"/>
      <c r="CU90" s="702"/>
      <c r="CV90" s="702"/>
      <c r="CW90" s="70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8" t="s">
        <v>12389</v>
      </c>
      <c r="E91" s="708"/>
      <c r="F91" s="708"/>
      <c r="G91" s="708"/>
      <c r="H91" s="708"/>
      <c r="I91" s="708"/>
      <c r="J91" s="708"/>
      <c r="K91" s="708"/>
      <c r="L91" s="895">
        <f>VLOOKUP($D$11,調査票①!$A$3:$HK$1735,128,FALSE)</f>
        <v>3</v>
      </c>
      <c r="M91" s="895"/>
      <c r="N91" s="895"/>
      <c r="O91" s="895">
        <f>VLOOKUP($D$11,調査票①!$A$3:$HK$1735,129,FALSE)</f>
        <v>2</v>
      </c>
      <c r="P91" s="895"/>
      <c r="Q91" s="895"/>
      <c r="R91" s="909">
        <f>VLOOKUP($D$11,調査票①!$A$3:$HK$1735,130,FALSE)</f>
        <v>0.66666666666666663</v>
      </c>
      <c r="S91" s="909"/>
      <c r="T91" s="909"/>
      <c r="U91" s="897" t="str">
        <f>VLOOKUP($D$11,調査票①!$A$3:$HK$1735,131,FALSE)&amp;""</f>
        <v>市立病院隣接駐車場であり、病院本体の警備関係委託業務に駐車場管理も含めて契約している。また、料金徴収は駐車券発行による機械精算であり、指定管理者制度を導入した場合、コスト増が見込まれる。</v>
      </c>
      <c r="V91" s="898"/>
      <c r="W91" s="898"/>
      <c r="X91" s="898"/>
      <c r="Y91" s="898"/>
      <c r="Z91" s="898"/>
      <c r="AA91" s="898"/>
      <c r="AB91" s="898"/>
      <c r="AC91" s="898"/>
      <c r="AD91" s="898"/>
      <c r="AE91" s="898"/>
      <c r="AF91" s="898"/>
      <c r="AG91" s="898"/>
      <c r="AH91" s="898"/>
      <c r="AI91" s="899"/>
      <c r="AJ91" s="930">
        <f>VLOOKUP($D$11,調査票①!$A$3:$HK$1735,132,FALSE)</f>
        <v>0</v>
      </c>
      <c r="AK91" s="930"/>
      <c r="AL91" s="930"/>
      <c r="AM91" s="882" t="str">
        <f>VLOOKUP($D$11,調査票①!$A$3:$HK$1735,133,FALSE)&amp;""</f>
        <v>　</v>
      </c>
      <c r="AN91" s="883"/>
      <c r="AO91" s="883"/>
      <c r="AP91" s="883"/>
      <c r="AQ91" s="883"/>
      <c r="AR91" s="883"/>
      <c r="AS91" s="883"/>
      <c r="AT91" s="883"/>
      <c r="AU91" s="883"/>
      <c r="AV91" s="883"/>
      <c r="AW91" s="883"/>
      <c r="AX91" s="883"/>
      <c r="AY91" s="883"/>
      <c r="AZ91" s="883"/>
      <c r="BA91" s="883"/>
      <c r="BB91" s="883"/>
      <c r="BC91" s="883"/>
      <c r="BD91" s="883"/>
      <c r="BE91" s="883"/>
      <c r="BF91" s="883"/>
      <c r="BG91" s="883"/>
      <c r="BH91" s="883"/>
      <c r="BI91" s="884"/>
      <c r="BJ91" s="810">
        <f>VLOOKUP($AK$11,導入率!$A$4:$AX$37,32,FALSE)</f>
        <v>0.56441717791411039</v>
      </c>
      <c r="BK91" s="811"/>
      <c r="BL91" s="811"/>
      <c r="BM91" s="811"/>
      <c r="BN91" s="812"/>
      <c r="BO91" s="888">
        <f>調査票①!DZ1730</f>
        <v>0.37097701149425288</v>
      </c>
      <c r="BP91" s="889"/>
      <c r="BQ91" s="889"/>
      <c r="BR91" s="890"/>
      <c r="BS91" s="98"/>
      <c r="BT91" s="100"/>
      <c r="CB91" s="96"/>
      <c r="CC91" s="704"/>
      <c r="CD91" s="705"/>
      <c r="CE91" s="705"/>
      <c r="CF91" s="705"/>
      <c r="CG91" s="705"/>
      <c r="CH91" s="705"/>
      <c r="CI91" s="705"/>
      <c r="CJ91" s="705"/>
      <c r="CK91" s="705"/>
      <c r="CL91" s="706"/>
      <c r="CM91" s="704"/>
      <c r="CN91" s="705"/>
      <c r="CO91" s="705"/>
      <c r="CP91" s="705"/>
      <c r="CQ91" s="705"/>
      <c r="CR91" s="705"/>
      <c r="CS91" s="705"/>
      <c r="CT91" s="705"/>
      <c r="CU91" s="705"/>
      <c r="CV91" s="705"/>
      <c r="CW91" s="70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8"/>
      <c r="E92" s="708"/>
      <c r="F92" s="708"/>
      <c r="G92" s="708"/>
      <c r="H92" s="708"/>
      <c r="I92" s="708"/>
      <c r="J92" s="708"/>
      <c r="K92" s="708"/>
      <c r="L92" s="895"/>
      <c r="M92" s="895"/>
      <c r="N92" s="895"/>
      <c r="O92" s="895"/>
      <c r="P92" s="895"/>
      <c r="Q92" s="895"/>
      <c r="R92" s="909"/>
      <c r="S92" s="909"/>
      <c r="T92" s="909"/>
      <c r="U92" s="900"/>
      <c r="V92" s="901"/>
      <c r="W92" s="901"/>
      <c r="X92" s="901"/>
      <c r="Y92" s="901"/>
      <c r="Z92" s="901"/>
      <c r="AA92" s="901"/>
      <c r="AB92" s="901"/>
      <c r="AC92" s="901"/>
      <c r="AD92" s="901"/>
      <c r="AE92" s="901"/>
      <c r="AF92" s="901"/>
      <c r="AG92" s="901"/>
      <c r="AH92" s="901"/>
      <c r="AI92" s="902"/>
      <c r="AJ92" s="930"/>
      <c r="AK92" s="930"/>
      <c r="AL92" s="930"/>
      <c r="AM92" s="885"/>
      <c r="AN92" s="886"/>
      <c r="AO92" s="886"/>
      <c r="AP92" s="886"/>
      <c r="AQ92" s="886"/>
      <c r="AR92" s="886"/>
      <c r="AS92" s="886"/>
      <c r="AT92" s="886"/>
      <c r="AU92" s="886"/>
      <c r="AV92" s="886"/>
      <c r="AW92" s="886"/>
      <c r="AX92" s="886"/>
      <c r="AY92" s="886"/>
      <c r="AZ92" s="886"/>
      <c r="BA92" s="886"/>
      <c r="BB92" s="886"/>
      <c r="BC92" s="886"/>
      <c r="BD92" s="886"/>
      <c r="BE92" s="886"/>
      <c r="BF92" s="886"/>
      <c r="BG92" s="886"/>
      <c r="BH92" s="886"/>
      <c r="BI92" s="887"/>
      <c r="BJ92" s="813"/>
      <c r="BK92" s="814"/>
      <c r="BL92" s="814"/>
      <c r="BM92" s="814"/>
      <c r="BN92" s="815"/>
      <c r="BO92" s="891"/>
      <c r="BP92" s="892"/>
      <c r="BQ92" s="892"/>
      <c r="BR92" s="89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8" t="s">
        <v>12390</v>
      </c>
      <c r="E93" s="708"/>
      <c r="F93" s="708"/>
      <c r="G93" s="708"/>
      <c r="H93" s="708"/>
      <c r="I93" s="708"/>
      <c r="J93" s="708"/>
      <c r="K93" s="708"/>
      <c r="L93" s="895">
        <f>VLOOKUP($D$11,調査票①!$A$3:$HK$1735,134,FALSE)</f>
        <v>5</v>
      </c>
      <c r="M93" s="895"/>
      <c r="N93" s="895"/>
      <c r="O93" s="895">
        <f>VLOOKUP($D$11,調査票①!$A$3:$HK$1735,135,FALSE)</f>
        <v>3</v>
      </c>
      <c r="P93" s="895"/>
      <c r="Q93" s="895"/>
      <c r="R93" s="909">
        <f>VLOOKUP($D$11,調査票①!$A$3:$HK$1735,136,FALSE)</f>
        <v>0.6</v>
      </c>
      <c r="S93" s="909"/>
      <c r="T93" s="909"/>
      <c r="U93" s="897" t="str">
        <f>VLOOKUP($D$11,調査票①!$A$3:$HK$1735,137,FALSE)&amp;""</f>
        <v>霊園管理体制の整備後、検討予定。</v>
      </c>
      <c r="V93" s="898"/>
      <c r="W93" s="898"/>
      <c r="X93" s="898"/>
      <c r="Y93" s="898"/>
      <c r="Z93" s="898"/>
      <c r="AA93" s="898"/>
      <c r="AB93" s="898"/>
      <c r="AC93" s="898"/>
      <c r="AD93" s="898"/>
      <c r="AE93" s="898"/>
      <c r="AF93" s="898"/>
      <c r="AG93" s="898"/>
      <c r="AH93" s="898"/>
      <c r="AI93" s="899"/>
      <c r="AJ93" s="708">
        <f>VLOOKUP($D$11,調査票①!$A$3:$HK$1735,138,FALSE)</f>
        <v>1</v>
      </c>
      <c r="AK93" s="708"/>
      <c r="AL93" s="708"/>
      <c r="AM93" s="882" t="str">
        <f>VLOOKUP($D$11,調査票①!$A$3:$HK$1735,139,FALSE)&amp;""</f>
        <v>霊園管理体制の整備後、民間委託も選択肢の一つとして検討予定。</v>
      </c>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884"/>
      <c r="BJ93" s="810">
        <f>VLOOKUP($AK$11,導入率!$A$4:$AX$37,33,FALSE)</f>
        <v>0.30769230769230771</v>
      </c>
      <c r="BK93" s="811"/>
      <c r="BL93" s="811"/>
      <c r="BM93" s="811"/>
      <c r="BN93" s="812"/>
      <c r="BO93" s="888">
        <f>調査票①!EF1730</f>
        <v>0.22815839094908863</v>
      </c>
      <c r="BP93" s="889"/>
      <c r="BQ93" s="889"/>
      <c r="BR93" s="89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8"/>
      <c r="E94" s="708"/>
      <c r="F94" s="708"/>
      <c r="G94" s="708"/>
      <c r="H94" s="708"/>
      <c r="I94" s="708"/>
      <c r="J94" s="708"/>
      <c r="K94" s="708"/>
      <c r="L94" s="895"/>
      <c r="M94" s="895"/>
      <c r="N94" s="895"/>
      <c r="O94" s="895"/>
      <c r="P94" s="895"/>
      <c r="Q94" s="895"/>
      <c r="R94" s="909"/>
      <c r="S94" s="909"/>
      <c r="T94" s="909"/>
      <c r="U94" s="900"/>
      <c r="V94" s="901"/>
      <c r="W94" s="901"/>
      <c r="X94" s="901"/>
      <c r="Y94" s="901"/>
      <c r="Z94" s="901"/>
      <c r="AA94" s="901"/>
      <c r="AB94" s="901"/>
      <c r="AC94" s="901"/>
      <c r="AD94" s="901"/>
      <c r="AE94" s="901"/>
      <c r="AF94" s="901"/>
      <c r="AG94" s="901"/>
      <c r="AH94" s="901"/>
      <c r="AI94" s="902"/>
      <c r="AJ94" s="708"/>
      <c r="AK94" s="708"/>
      <c r="AL94" s="708"/>
      <c r="AM94" s="885"/>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7"/>
      <c r="BJ94" s="813"/>
      <c r="BK94" s="814"/>
      <c r="BL94" s="814"/>
      <c r="BM94" s="814"/>
      <c r="BN94" s="815"/>
      <c r="BO94" s="891"/>
      <c r="BP94" s="892"/>
      <c r="BQ94" s="892"/>
      <c r="BR94" s="89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8" t="s">
        <v>12393</v>
      </c>
      <c r="E95" s="708"/>
      <c r="F95" s="708"/>
      <c r="G95" s="708"/>
      <c r="H95" s="708"/>
      <c r="I95" s="708"/>
      <c r="J95" s="708"/>
      <c r="K95" s="708"/>
      <c r="L95" s="895">
        <f>VLOOKUP($D$11,調査票①!$A$3:$HK$1735,140,FALSE)</f>
        <v>7</v>
      </c>
      <c r="M95" s="895"/>
      <c r="N95" s="895"/>
      <c r="O95" s="895">
        <f>VLOOKUP($D$11,調査票①!$A$3:$HK$1735,141,FALSE)</f>
        <v>0</v>
      </c>
      <c r="P95" s="895"/>
      <c r="Q95" s="895"/>
      <c r="R95" s="909">
        <f>VLOOKUP($D$11,調査票①!$A$3:$HK$1735,142,FALSE)</f>
        <v>0</v>
      </c>
      <c r="S95" s="909"/>
      <c r="T95" s="909"/>
      <c r="U95" s="897" t="str">
        <f>VLOOKUP($D$11,調査票①!$A$3:$HK$1735,143,FALSE)&amp;""</f>
        <v>検討の結果、コストの削減が見込まれないこと等から導入しないこととしたため。</v>
      </c>
      <c r="V95" s="898"/>
      <c r="W95" s="898"/>
      <c r="X95" s="898"/>
      <c r="Y95" s="898"/>
      <c r="Z95" s="898"/>
      <c r="AA95" s="898"/>
      <c r="AB95" s="898"/>
      <c r="AC95" s="898"/>
      <c r="AD95" s="898"/>
      <c r="AE95" s="898"/>
      <c r="AF95" s="898"/>
      <c r="AG95" s="898"/>
      <c r="AH95" s="898"/>
      <c r="AI95" s="899"/>
      <c r="AJ95" s="708">
        <f>VLOOKUP($D$11,調査票①!$A$3:$HK$1735,144,FALSE)</f>
        <v>7</v>
      </c>
      <c r="AK95" s="708"/>
      <c r="AL95" s="708"/>
      <c r="AM95" s="882" t="str">
        <f>VLOOKUP($D$11,調査票①!$A$3:$HK$1735,145,FALSE)&amp;""</f>
        <v>図書館奉仕業務を推進するうえで必要なため。</v>
      </c>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4"/>
      <c r="BJ95" s="810">
        <f>VLOOKUP($AK$11,導入率!$A$4:$AX$37,34,FALSE)</f>
        <v>0.15053763440860216</v>
      </c>
      <c r="BK95" s="811"/>
      <c r="BL95" s="811"/>
      <c r="BM95" s="811"/>
      <c r="BN95" s="812"/>
      <c r="BO95" s="888">
        <f>調査票①!EL1730</f>
        <v>0.20222513089005237</v>
      </c>
      <c r="BP95" s="889"/>
      <c r="BQ95" s="889"/>
      <c r="BR95" s="89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8"/>
      <c r="E96" s="708"/>
      <c r="F96" s="708"/>
      <c r="G96" s="708"/>
      <c r="H96" s="708"/>
      <c r="I96" s="708"/>
      <c r="J96" s="708"/>
      <c r="K96" s="708"/>
      <c r="L96" s="895"/>
      <c r="M96" s="895"/>
      <c r="N96" s="895"/>
      <c r="O96" s="895"/>
      <c r="P96" s="895"/>
      <c r="Q96" s="895"/>
      <c r="R96" s="909"/>
      <c r="S96" s="909"/>
      <c r="T96" s="909"/>
      <c r="U96" s="900"/>
      <c r="V96" s="901"/>
      <c r="W96" s="901"/>
      <c r="X96" s="901"/>
      <c r="Y96" s="901"/>
      <c r="Z96" s="901"/>
      <c r="AA96" s="901"/>
      <c r="AB96" s="901"/>
      <c r="AC96" s="901"/>
      <c r="AD96" s="901"/>
      <c r="AE96" s="901"/>
      <c r="AF96" s="901"/>
      <c r="AG96" s="901"/>
      <c r="AH96" s="901"/>
      <c r="AI96" s="902"/>
      <c r="AJ96" s="708"/>
      <c r="AK96" s="708"/>
      <c r="AL96" s="708"/>
      <c r="AM96" s="885"/>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7"/>
      <c r="BJ96" s="813"/>
      <c r="BK96" s="814"/>
      <c r="BL96" s="814"/>
      <c r="BM96" s="814"/>
      <c r="BN96" s="815"/>
      <c r="BO96" s="891"/>
      <c r="BP96" s="892"/>
      <c r="BQ96" s="892"/>
      <c r="BR96" s="89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4" t="s">
        <v>12395</v>
      </c>
      <c r="E97" s="708"/>
      <c r="F97" s="708"/>
      <c r="G97" s="708"/>
      <c r="H97" s="708"/>
      <c r="I97" s="708"/>
      <c r="J97" s="708"/>
      <c r="K97" s="708"/>
      <c r="L97" s="895">
        <f>VLOOKUP($D$11,調査票①!$A$3:$HK$1735,146,FALSE)</f>
        <v>3</v>
      </c>
      <c r="M97" s="895"/>
      <c r="N97" s="895"/>
      <c r="O97" s="895">
        <f>VLOOKUP($D$11,調査票①!$A$3:$HK$1735,147,FALSE)</f>
        <v>1</v>
      </c>
      <c r="P97" s="895"/>
      <c r="Q97" s="895"/>
      <c r="R97" s="909">
        <f>VLOOKUP($D$11,調査票①!$A$3:$HK$1735,148,FALSE)</f>
        <v>0.33333333333333331</v>
      </c>
      <c r="S97" s="909"/>
      <c r="T97" s="909"/>
      <c r="U97" s="897" t="str">
        <f>VLOOKUP($D$11,調査票①!$A$3:$HK$1735,149,FALSE)&amp;""</f>
        <v>現段階では指定管理導入予定がないため、検討が進んでいない。</v>
      </c>
      <c r="V97" s="898"/>
      <c r="W97" s="898"/>
      <c r="X97" s="898"/>
      <c r="Y97" s="898"/>
      <c r="Z97" s="898"/>
      <c r="AA97" s="898"/>
      <c r="AB97" s="898"/>
      <c r="AC97" s="898"/>
      <c r="AD97" s="898"/>
      <c r="AE97" s="898"/>
      <c r="AF97" s="898"/>
      <c r="AG97" s="898"/>
      <c r="AH97" s="898"/>
      <c r="AI97" s="899"/>
      <c r="AJ97" s="708">
        <f>VLOOKUP($D$11,調査票①!$A$3:$HK$1735,150,FALSE)</f>
        <v>1</v>
      </c>
      <c r="AK97" s="708"/>
      <c r="AL97" s="708"/>
      <c r="AM97" s="882" t="str">
        <f>VLOOKUP($D$11,調査票①!$A$3:$HK$1735,151,FALSE)&amp;""</f>
        <v>施設の維持管理に係る業務等で必要なため、臨時職員を配置している。</v>
      </c>
      <c r="AN97" s="883"/>
      <c r="AO97" s="883"/>
      <c r="AP97" s="883"/>
      <c r="AQ97" s="883"/>
      <c r="AR97" s="883"/>
      <c r="AS97" s="883"/>
      <c r="AT97" s="883"/>
      <c r="AU97" s="883"/>
      <c r="AV97" s="883"/>
      <c r="AW97" s="883"/>
      <c r="AX97" s="883"/>
      <c r="AY97" s="883"/>
      <c r="AZ97" s="883"/>
      <c r="BA97" s="883"/>
      <c r="BB97" s="883"/>
      <c r="BC97" s="883"/>
      <c r="BD97" s="883"/>
      <c r="BE97" s="883"/>
      <c r="BF97" s="883"/>
      <c r="BG97" s="883"/>
      <c r="BH97" s="883"/>
      <c r="BI97" s="884"/>
      <c r="BJ97" s="810">
        <f>VLOOKUP($AK$11,導入率!$A$4:$AX$37,35,FALSE)</f>
        <v>0.27433628318584069</v>
      </c>
      <c r="BK97" s="811"/>
      <c r="BL97" s="811"/>
      <c r="BM97" s="811"/>
      <c r="BN97" s="812"/>
      <c r="BO97" s="888">
        <f>調査票①!ER1730</f>
        <v>0.28060740272065804</v>
      </c>
      <c r="BP97" s="889"/>
      <c r="BQ97" s="889"/>
      <c r="BR97" s="89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8"/>
      <c r="E98" s="708"/>
      <c r="F98" s="708"/>
      <c r="G98" s="708"/>
      <c r="H98" s="708"/>
      <c r="I98" s="708"/>
      <c r="J98" s="708"/>
      <c r="K98" s="708"/>
      <c r="L98" s="895"/>
      <c r="M98" s="895"/>
      <c r="N98" s="895"/>
      <c r="O98" s="895"/>
      <c r="P98" s="895"/>
      <c r="Q98" s="895"/>
      <c r="R98" s="909"/>
      <c r="S98" s="909"/>
      <c r="T98" s="909"/>
      <c r="U98" s="900"/>
      <c r="V98" s="901"/>
      <c r="W98" s="901"/>
      <c r="X98" s="901"/>
      <c r="Y98" s="901"/>
      <c r="Z98" s="901"/>
      <c r="AA98" s="901"/>
      <c r="AB98" s="901"/>
      <c r="AC98" s="901"/>
      <c r="AD98" s="901"/>
      <c r="AE98" s="901"/>
      <c r="AF98" s="901"/>
      <c r="AG98" s="901"/>
      <c r="AH98" s="901"/>
      <c r="AI98" s="902"/>
      <c r="AJ98" s="708"/>
      <c r="AK98" s="708"/>
      <c r="AL98" s="708"/>
      <c r="AM98" s="885"/>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7"/>
      <c r="BJ98" s="813"/>
      <c r="BK98" s="814"/>
      <c r="BL98" s="814"/>
      <c r="BM98" s="814"/>
      <c r="BN98" s="815"/>
      <c r="BO98" s="891"/>
      <c r="BP98" s="892"/>
      <c r="BQ98" s="892"/>
      <c r="BR98" s="89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8" t="s">
        <v>12399</v>
      </c>
      <c r="E99" s="708"/>
      <c r="F99" s="708"/>
      <c r="G99" s="708"/>
      <c r="H99" s="708"/>
      <c r="I99" s="708"/>
      <c r="J99" s="708"/>
      <c r="K99" s="708"/>
      <c r="L99" s="895">
        <f>VLOOKUP($D$11,調査票①!$A$3:$HK$1735,152,FALSE)</f>
        <v>12</v>
      </c>
      <c r="M99" s="895"/>
      <c r="N99" s="895"/>
      <c r="O99" s="895">
        <f>VLOOKUP($D$11,調査票①!$A$3:$HK$1735,153,FALSE)</f>
        <v>1</v>
      </c>
      <c r="P99" s="895"/>
      <c r="Q99" s="895"/>
      <c r="R99" s="909">
        <f>VLOOKUP($D$11,調査票①!$A$3:$HK$1735,154,FALSE)</f>
        <v>8.3333333333333329E-2</v>
      </c>
      <c r="S99" s="909"/>
      <c r="T99" s="909"/>
      <c r="U99" s="938" t="str">
        <f>VLOOKUP($D$11,調査票①!$A$3:$HK$1735,155,FALSE)&amp;""</f>
        <v>指定管理者制度の導入が効果的かつ効率的であるかを検討中である。</v>
      </c>
      <c r="V99" s="939"/>
      <c r="W99" s="939"/>
      <c r="X99" s="939"/>
      <c r="Y99" s="939"/>
      <c r="Z99" s="939"/>
      <c r="AA99" s="939"/>
      <c r="AB99" s="939"/>
      <c r="AC99" s="939"/>
      <c r="AD99" s="939"/>
      <c r="AE99" s="939"/>
      <c r="AF99" s="939"/>
      <c r="AG99" s="939"/>
      <c r="AH99" s="939"/>
      <c r="AI99" s="940"/>
      <c r="AJ99" s="931">
        <f>VLOOKUP($D$11,調査票①!$A$3:$HK$1735,156,FALSE)</f>
        <v>11</v>
      </c>
      <c r="AK99" s="931"/>
      <c r="AL99" s="931"/>
      <c r="AM99" s="882" t="str">
        <f>VLOOKUP($D$11,調査票①!$A$3:$HK$1735,157,FALSE)&amp;""</f>
        <v>社会教育事業を推進していく上で必要であると位置づけているため。</v>
      </c>
      <c r="AN99" s="883"/>
      <c r="AO99" s="883"/>
      <c r="AP99" s="883"/>
      <c r="AQ99" s="883"/>
      <c r="AR99" s="883"/>
      <c r="AS99" s="883"/>
      <c r="AT99" s="883"/>
      <c r="AU99" s="883"/>
      <c r="AV99" s="883"/>
      <c r="AW99" s="883"/>
      <c r="AX99" s="883"/>
      <c r="AY99" s="883"/>
      <c r="AZ99" s="883"/>
      <c r="BA99" s="883"/>
      <c r="BB99" s="883"/>
      <c r="BC99" s="883"/>
      <c r="BD99" s="883"/>
      <c r="BE99" s="883"/>
      <c r="BF99" s="883"/>
      <c r="BG99" s="883"/>
      <c r="BH99" s="883"/>
      <c r="BI99" s="884"/>
      <c r="BJ99" s="810">
        <f>VLOOKUP($AK$11,導入率!$A$4:$AX$37,36,FALSE)</f>
        <v>0.17841409691629956</v>
      </c>
      <c r="BK99" s="811"/>
      <c r="BL99" s="811"/>
      <c r="BM99" s="811"/>
      <c r="BN99" s="812"/>
      <c r="BO99" s="888">
        <f>調査票①!EX1730</f>
        <v>0.22778763477548791</v>
      </c>
      <c r="BP99" s="889"/>
      <c r="BQ99" s="889"/>
      <c r="BR99" s="890"/>
      <c r="BS99" s="98"/>
      <c r="BT99" s="100"/>
      <c r="CB99" s="96"/>
      <c r="CC99" s="707" t="s">
        <v>12405</v>
      </c>
      <c r="CD99" s="707"/>
      <c r="CE99" s="707"/>
      <c r="CF99" s="707"/>
      <c r="CG99" s="707"/>
      <c r="CH99" s="707"/>
      <c r="CI99" s="707"/>
      <c r="CJ99" s="707"/>
      <c r="CK99" s="707"/>
      <c r="CL99" s="959" t="str">
        <f>VLOOKUP($D$11,調査票①!$A$3:$HK$1735,217,FALSE)&amp;""</f>
        <v>○</v>
      </c>
      <c r="CM99" s="959"/>
      <c r="CN99" s="959"/>
      <c r="CO99" s="959"/>
      <c r="CP99" s="959"/>
      <c r="CQ99" s="959"/>
      <c r="CR99" s="959"/>
      <c r="CS99" s="959"/>
      <c r="CT99" s="959"/>
      <c r="CU99" s="959"/>
      <c r="CV99" s="959"/>
      <c r="CW99" s="959"/>
      <c r="CX99" s="959"/>
      <c r="CY99" s="959"/>
      <c r="CZ99" s="959"/>
      <c r="DA99" s="98"/>
      <c r="DB99" s="707" t="s">
        <v>62</v>
      </c>
      <c r="DC99" s="707"/>
      <c r="DD99" s="707"/>
      <c r="DE99" s="707"/>
      <c r="DF99" s="707"/>
      <c r="DG99" s="707"/>
      <c r="DH99" s="707"/>
      <c r="DI99" s="707"/>
      <c r="DJ99" s="707"/>
      <c r="DK99" s="707"/>
      <c r="DL99" s="707" t="str">
        <f>VLOOKUP($D$11,調査票①!$A$3:$HK$1735,218,FALSE)&amp;""</f>
        <v/>
      </c>
      <c r="DM99" s="707"/>
      <c r="DN99" s="707"/>
      <c r="DO99" s="707"/>
      <c r="DP99" s="707"/>
      <c r="DQ99" s="707"/>
      <c r="DR99" s="707"/>
      <c r="DS99" s="707"/>
      <c r="DT99" s="707"/>
      <c r="DU99" s="707"/>
      <c r="DV99" s="98"/>
      <c r="DW99" s="98"/>
      <c r="DX99" s="98"/>
      <c r="DY99" s="708" t="s">
        <v>12406</v>
      </c>
      <c r="DZ99" s="708"/>
      <c r="EA99" s="708"/>
      <c r="EB99" s="708"/>
      <c r="EC99" s="708"/>
      <c r="ED99" s="708"/>
      <c r="EE99" s="708"/>
      <c r="EF99" s="708"/>
      <c r="EG99" s="708"/>
      <c r="EH99" s="708"/>
      <c r="EI99" s="707" t="str">
        <f>VLOOKUP($D$11,調査票①!$A$3:$HK$1735,219,FALSE)&amp;""</f>
        <v/>
      </c>
      <c r="EJ99" s="707"/>
      <c r="EK99" s="707"/>
      <c r="EL99" s="707"/>
      <c r="EM99" s="707"/>
      <c r="EN99" s="707"/>
      <c r="EO99" s="707"/>
      <c r="EP99" s="70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8"/>
      <c r="E100" s="708"/>
      <c r="F100" s="708"/>
      <c r="G100" s="708"/>
      <c r="H100" s="708"/>
      <c r="I100" s="708"/>
      <c r="J100" s="708"/>
      <c r="K100" s="708"/>
      <c r="L100" s="895"/>
      <c r="M100" s="895"/>
      <c r="N100" s="895"/>
      <c r="O100" s="895"/>
      <c r="P100" s="895"/>
      <c r="Q100" s="895"/>
      <c r="R100" s="909"/>
      <c r="S100" s="909"/>
      <c r="T100" s="909"/>
      <c r="U100" s="941"/>
      <c r="V100" s="942"/>
      <c r="W100" s="942"/>
      <c r="X100" s="942"/>
      <c r="Y100" s="942"/>
      <c r="Z100" s="942"/>
      <c r="AA100" s="942"/>
      <c r="AB100" s="942"/>
      <c r="AC100" s="942"/>
      <c r="AD100" s="942"/>
      <c r="AE100" s="942"/>
      <c r="AF100" s="942"/>
      <c r="AG100" s="942"/>
      <c r="AH100" s="942"/>
      <c r="AI100" s="943"/>
      <c r="AJ100" s="931"/>
      <c r="AK100" s="931"/>
      <c r="AL100" s="931"/>
      <c r="AM100" s="885"/>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7"/>
      <c r="BJ100" s="813"/>
      <c r="BK100" s="814"/>
      <c r="BL100" s="814"/>
      <c r="BM100" s="814"/>
      <c r="BN100" s="815"/>
      <c r="BO100" s="891"/>
      <c r="BP100" s="892"/>
      <c r="BQ100" s="892"/>
      <c r="BR100" s="893"/>
      <c r="BS100" s="98"/>
      <c r="BT100" s="100"/>
      <c r="CB100" s="96"/>
      <c r="CC100" s="707"/>
      <c r="CD100" s="707"/>
      <c r="CE100" s="707"/>
      <c r="CF100" s="707"/>
      <c r="CG100" s="707"/>
      <c r="CH100" s="707"/>
      <c r="CI100" s="707"/>
      <c r="CJ100" s="707"/>
      <c r="CK100" s="707"/>
      <c r="CL100" s="959"/>
      <c r="CM100" s="959"/>
      <c r="CN100" s="959"/>
      <c r="CO100" s="959"/>
      <c r="CP100" s="959"/>
      <c r="CQ100" s="959"/>
      <c r="CR100" s="959"/>
      <c r="CS100" s="959"/>
      <c r="CT100" s="959"/>
      <c r="CU100" s="959"/>
      <c r="CV100" s="959"/>
      <c r="CW100" s="959"/>
      <c r="CX100" s="959"/>
      <c r="CY100" s="959"/>
      <c r="CZ100" s="959"/>
      <c r="DA100" s="98"/>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98"/>
      <c r="DW100" s="98"/>
      <c r="DX100" s="98"/>
      <c r="DY100" s="708"/>
      <c r="DZ100" s="708"/>
      <c r="EA100" s="708"/>
      <c r="EB100" s="708"/>
      <c r="EC100" s="708"/>
      <c r="ED100" s="708"/>
      <c r="EE100" s="708"/>
      <c r="EF100" s="708"/>
      <c r="EG100" s="708"/>
      <c r="EH100" s="708"/>
      <c r="EI100" s="707"/>
      <c r="EJ100" s="707"/>
      <c r="EK100" s="707"/>
      <c r="EL100" s="707"/>
      <c r="EM100" s="707"/>
      <c r="EN100" s="707"/>
      <c r="EO100" s="707"/>
      <c r="EP100" s="707"/>
      <c r="EQ100" s="98"/>
      <c r="ER100" s="98"/>
      <c r="ES100" s="100"/>
      <c r="FP100" s="950"/>
      <c r="FQ100" s="951"/>
      <c r="FR100" s="951"/>
      <c r="FS100" s="951"/>
      <c r="FT100" s="951"/>
      <c r="FU100" s="951"/>
      <c r="FV100" s="951"/>
      <c r="FW100" s="951"/>
      <c r="FX100" s="952"/>
      <c r="FY100" s="953"/>
      <c r="FZ100" s="954"/>
      <c r="GA100" s="954"/>
      <c r="GB100" s="954"/>
      <c r="GC100" s="954"/>
      <c r="GD100" s="954"/>
      <c r="GE100" s="954"/>
      <c r="GF100" s="954"/>
      <c r="GG100" s="954"/>
      <c r="GH100" s="954"/>
      <c r="GI100" s="954"/>
      <c r="GJ100" s="955"/>
    </row>
    <row r="101" spans="3:192" ht="20.399999999999999" customHeight="1">
      <c r="C101" s="96"/>
      <c r="D101" s="708" t="s">
        <v>12400</v>
      </c>
      <c r="E101" s="708"/>
      <c r="F101" s="708"/>
      <c r="G101" s="708"/>
      <c r="H101" s="708"/>
      <c r="I101" s="708"/>
      <c r="J101" s="708"/>
      <c r="K101" s="708"/>
      <c r="L101" s="895">
        <f>VLOOKUP($D$11,調査票①!$A$3:$HK$1735,158,FALSE)</f>
        <v>3</v>
      </c>
      <c r="M101" s="895"/>
      <c r="N101" s="895"/>
      <c r="O101" s="895">
        <f>VLOOKUP($D$11,調査票①!$A$3:$HK$1735,159,FALSE)</f>
        <v>2</v>
      </c>
      <c r="P101" s="895"/>
      <c r="Q101" s="895"/>
      <c r="R101" s="909">
        <f>VLOOKUP($D$11,調査票①!$A$3:$HK$1735,160,FALSE)</f>
        <v>0.66666666666666663</v>
      </c>
      <c r="S101" s="909"/>
      <c r="T101" s="909"/>
      <c r="U101" s="932" t="str">
        <f>VLOOKUP($D$11,調査票①!$A$3:$HK$1735,161,FALSE)&amp;""</f>
        <v>現段階では指定管理等の導入予定がないため、検討が進んでいない。</v>
      </c>
      <c r="V101" s="933"/>
      <c r="W101" s="933"/>
      <c r="X101" s="933"/>
      <c r="Y101" s="933"/>
      <c r="Z101" s="933"/>
      <c r="AA101" s="933"/>
      <c r="AB101" s="933"/>
      <c r="AC101" s="933"/>
      <c r="AD101" s="933"/>
      <c r="AE101" s="933"/>
      <c r="AF101" s="933"/>
      <c r="AG101" s="933"/>
      <c r="AH101" s="933"/>
      <c r="AI101" s="934"/>
      <c r="AJ101" s="931">
        <f>VLOOKUP($D$11,調査票①!$A$3:$HK$1735,162,FALSE)</f>
        <v>0</v>
      </c>
      <c r="AK101" s="931"/>
      <c r="AL101" s="931"/>
      <c r="AM101" s="882" t="str">
        <f>VLOOKUP($D$11,調査票①!$A$3:$HK$1735,163,FALSE)&amp;""</f>
        <v>　</v>
      </c>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4"/>
      <c r="BJ101" s="810">
        <f>VLOOKUP($AK$11,導入率!$A$4:$AX$37,37,FALSE)</f>
        <v>0.74193548387096775</v>
      </c>
      <c r="BK101" s="811"/>
      <c r="BL101" s="811"/>
      <c r="BM101" s="811"/>
      <c r="BN101" s="812"/>
      <c r="BO101" s="888">
        <f>調査票①!FD1730</f>
        <v>0.51527494908350302</v>
      </c>
      <c r="BP101" s="889"/>
      <c r="BQ101" s="889"/>
      <c r="BR101" s="890"/>
      <c r="BS101" s="98"/>
      <c r="BT101" s="100"/>
      <c r="CB101" s="96"/>
      <c r="CC101" s="707"/>
      <c r="CD101" s="707"/>
      <c r="CE101" s="707"/>
      <c r="CF101" s="707"/>
      <c r="CG101" s="707"/>
      <c r="CH101" s="707"/>
      <c r="CI101" s="707"/>
      <c r="CJ101" s="707"/>
      <c r="CK101" s="707"/>
      <c r="CL101" s="959"/>
      <c r="CM101" s="959"/>
      <c r="CN101" s="959"/>
      <c r="CO101" s="959"/>
      <c r="CP101" s="959"/>
      <c r="CQ101" s="959"/>
      <c r="CR101" s="959"/>
      <c r="CS101" s="959"/>
      <c r="CT101" s="959"/>
      <c r="CU101" s="959"/>
      <c r="CV101" s="959"/>
      <c r="CW101" s="959"/>
      <c r="CX101" s="959"/>
      <c r="CY101" s="959"/>
      <c r="CZ101" s="959"/>
      <c r="DA101" s="98"/>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98"/>
      <c r="DW101" s="98"/>
      <c r="DX101" s="98"/>
      <c r="DY101" s="708"/>
      <c r="DZ101" s="708"/>
      <c r="EA101" s="708"/>
      <c r="EB101" s="708"/>
      <c r="EC101" s="708"/>
      <c r="ED101" s="708"/>
      <c r="EE101" s="708"/>
      <c r="EF101" s="708"/>
      <c r="EG101" s="708"/>
      <c r="EH101" s="708"/>
      <c r="EI101" s="707"/>
      <c r="EJ101" s="707"/>
      <c r="EK101" s="707"/>
      <c r="EL101" s="707"/>
      <c r="EM101" s="707"/>
      <c r="EN101" s="707"/>
      <c r="EO101" s="707"/>
      <c r="EP101" s="707"/>
      <c r="EQ101" s="98"/>
      <c r="ER101" s="98"/>
      <c r="ES101" s="100"/>
      <c r="FP101" s="956"/>
      <c r="FQ101" s="957"/>
      <c r="FR101" s="957"/>
      <c r="FS101" s="957"/>
      <c r="FT101" s="957"/>
      <c r="FU101" s="957"/>
      <c r="FV101" s="957"/>
      <c r="FW101" s="957"/>
      <c r="FX101" s="958"/>
      <c r="FY101" s="698"/>
      <c r="FZ101" s="699"/>
      <c r="GA101" s="699"/>
      <c r="GB101" s="699"/>
      <c r="GC101" s="699"/>
      <c r="GD101" s="699"/>
      <c r="GE101" s="699"/>
      <c r="GF101" s="699"/>
      <c r="GG101" s="699"/>
      <c r="GH101" s="699"/>
      <c r="GI101" s="699"/>
      <c r="GJ101" s="700"/>
    </row>
    <row r="102" spans="3:192" ht="20.399999999999999" customHeight="1">
      <c r="C102" s="96"/>
      <c r="D102" s="708"/>
      <c r="E102" s="708"/>
      <c r="F102" s="708"/>
      <c r="G102" s="708"/>
      <c r="H102" s="708"/>
      <c r="I102" s="708"/>
      <c r="J102" s="708"/>
      <c r="K102" s="708"/>
      <c r="L102" s="895"/>
      <c r="M102" s="895"/>
      <c r="N102" s="895"/>
      <c r="O102" s="895"/>
      <c r="P102" s="895"/>
      <c r="Q102" s="895"/>
      <c r="R102" s="909"/>
      <c r="S102" s="909"/>
      <c r="T102" s="909"/>
      <c r="U102" s="935"/>
      <c r="V102" s="936"/>
      <c r="W102" s="936"/>
      <c r="X102" s="936"/>
      <c r="Y102" s="936"/>
      <c r="Z102" s="936"/>
      <c r="AA102" s="936"/>
      <c r="AB102" s="936"/>
      <c r="AC102" s="936"/>
      <c r="AD102" s="936"/>
      <c r="AE102" s="936"/>
      <c r="AF102" s="936"/>
      <c r="AG102" s="936"/>
      <c r="AH102" s="936"/>
      <c r="AI102" s="937"/>
      <c r="AJ102" s="931"/>
      <c r="AK102" s="931"/>
      <c r="AL102" s="931"/>
      <c r="AM102" s="885"/>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13"/>
      <c r="BK102" s="814"/>
      <c r="BL102" s="814"/>
      <c r="BM102" s="814"/>
      <c r="BN102" s="815"/>
      <c r="BO102" s="891"/>
      <c r="BP102" s="892"/>
      <c r="BQ102" s="892"/>
      <c r="BR102" s="893"/>
      <c r="BS102" s="98"/>
      <c r="BT102" s="100"/>
      <c r="CB102" s="96"/>
      <c r="CC102" s="707"/>
      <c r="CD102" s="707"/>
      <c r="CE102" s="707"/>
      <c r="CF102" s="707"/>
      <c r="CG102" s="707"/>
      <c r="CH102" s="707"/>
      <c r="CI102" s="707"/>
      <c r="CJ102" s="707"/>
      <c r="CK102" s="707"/>
      <c r="CL102" s="959"/>
      <c r="CM102" s="959"/>
      <c r="CN102" s="959"/>
      <c r="CO102" s="959"/>
      <c r="CP102" s="959"/>
      <c r="CQ102" s="959"/>
      <c r="CR102" s="959"/>
      <c r="CS102" s="959"/>
      <c r="CT102" s="959"/>
      <c r="CU102" s="959"/>
      <c r="CV102" s="959"/>
      <c r="CW102" s="959"/>
      <c r="CX102" s="959"/>
      <c r="CY102" s="959"/>
      <c r="CZ102" s="959"/>
      <c r="DA102" s="22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98"/>
      <c r="DW102" s="98"/>
      <c r="DX102" s="98"/>
      <c r="DY102" s="708"/>
      <c r="DZ102" s="708"/>
      <c r="EA102" s="708"/>
      <c r="EB102" s="708"/>
      <c r="EC102" s="708"/>
      <c r="ED102" s="708"/>
      <c r="EE102" s="708"/>
      <c r="EF102" s="708"/>
      <c r="EG102" s="708"/>
      <c r="EH102" s="708"/>
      <c r="EI102" s="707"/>
      <c r="EJ102" s="707"/>
      <c r="EK102" s="707"/>
      <c r="EL102" s="707"/>
      <c r="EM102" s="707"/>
      <c r="EN102" s="707"/>
      <c r="EO102" s="707"/>
      <c r="EP102" s="707"/>
      <c r="EQ102" s="98"/>
      <c r="ER102" s="98"/>
      <c r="ES102" s="100"/>
      <c r="FP102" s="701"/>
      <c r="FQ102" s="702"/>
      <c r="FR102" s="702"/>
      <c r="FS102" s="702"/>
      <c r="FT102" s="702"/>
      <c r="FU102" s="702"/>
      <c r="FV102" s="702"/>
      <c r="FW102" s="702"/>
      <c r="FX102" s="703"/>
      <c r="FY102" s="701"/>
      <c r="FZ102" s="702"/>
      <c r="GA102" s="702"/>
      <c r="GB102" s="702"/>
      <c r="GC102" s="702"/>
      <c r="GD102" s="702"/>
      <c r="GE102" s="702"/>
      <c r="GF102" s="702"/>
      <c r="GG102" s="702"/>
      <c r="GH102" s="702"/>
      <c r="GI102" s="702"/>
      <c r="GJ102" s="703"/>
    </row>
    <row r="103" spans="3:192" ht="20.399999999999999" customHeight="1">
      <c r="C103" s="96"/>
      <c r="D103" s="929" t="s">
        <v>12401</v>
      </c>
      <c r="E103" s="912"/>
      <c r="F103" s="912"/>
      <c r="G103" s="912"/>
      <c r="H103" s="912"/>
      <c r="I103" s="912"/>
      <c r="J103" s="912"/>
      <c r="K103" s="912"/>
      <c r="L103" s="895">
        <f>VLOOKUP($D$11,調査票①!$A$3:$HK$1735,164,FALSE)</f>
        <v>3</v>
      </c>
      <c r="M103" s="895"/>
      <c r="N103" s="895"/>
      <c r="O103" s="895">
        <f>VLOOKUP($D$11,調査票①!$A$3:$HK$1735,165,FALSE)</f>
        <v>0</v>
      </c>
      <c r="P103" s="895"/>
      <c r="Q103" s="895"/>
      <c r="R103" s="909">
        <f>VLOOKUP($D$11,調査票①!$A$3:$HK$1735,166,FALSE)</f>
        <v>0</v>
      </c>
      <c r="S103" s="909"/>
      <c r="T103" s="909"/>
      <c r="U103" s="932" t="str">
        <f>VLOOKUP($D$11,調査票①!$A$3:$HK$1735,167,FALSE)&amp;""</f>
        <v>現段階では指定管理の導入予定がないため、検討が進んでいない。</v>
      </c>
      <c r="V103" s="933"/>
      <c r="W103" s="933"/>
      <c r="X103" s="933"/>
      <c r="Y103" s="933"/>
      <c r="Z103" s="933"/>
      <c r="AA103" s="933"/>
      <c r="AB103" s="933"/>
      <c r="AC103" s="933"/>
      <c r="AD103" s="933"/>
      <c r="AE103" s="933"/>
      <c r="AF103" s="933"/>
      <c r="AG103" s="933"/>
      <c r="AH103" s="933"/>
      <c r="AI103" s="934"/>
      <c r="AJ103" s="931">
        <f>VLOOKUP($D$11,調査票①!$A$3:$HK$1735,168,FALSE)</f>
        <v>2</v>
      </c>
      <c r="AK103" s="931"/>
      <c r="AL103" s="931"/>
      <c r="AM103" s="882" t="str">
        <f>VLOOKUP($D$11,調査票①!$A$3:$HK$1735,169,FALSE)&amp;""</f>
        <v>施設の維持管理に係る業務等で必要なため、臨時職員を配置している。</v>
      </c>
      <c r="AN103" s="883"/>
      <c r="AO103" s="883"/>
      <c r="AP103" s="883"/>
      <c r="AQ103" s="883"/>
      <c r="AR103" s="883"/>
      <c r="AS103" s="883"/>
      <c r="AT103" s="883"/>
      <c r="AU103" s="883"/>
      <c r="AV103" s="883"/>
      <c r="AW103" s="883"/>
      <c r="AX103" s="883"/>
      <c r="AY103" s="883"/>
      <c r="AZ103" s="883"/>
      <c r="BA103" s="883"/>
      <c r="BB103" s="883"/>
      <c r="BC103" s="883"/>
      <c r="BD103" s="883"/>
      <c r="BE103" s="883"/>
      <c r="BF103" s="883"/>
      <c r="BG103" s="883"/>
      <c r="BH103" s="883"/>
      <c r="BI103" s="884"/>
      <c r="BJ103" s="810">
        <f>VLOOKUP($AK$11,導入率!$A$4:$AX$37,38,FALSE)</f>
        <v>0.5</v>
      </c>
      <c r="BK103" s="811"/>
      <c r="BL103" s="811"/>
      <c r="BM103" s="811"/>
      <c r="BN103" s="812"/>
      <c r="BO103" s="888">
        <f>調査票①!FJ1730</f>
        <v>0.50056497175141246</v>
      </c>
      <c r="BP103" s="889"/>
      <c r="BQ103" s="889"/>
      <c r="BR103" s="890"/>
      <c r="BS103" s="98"/>
      <c r="BT103" s="100"/>
      <c r="BX103" s="91"/>
      <c r="BY103" s="91"/>
      <c r="BZ103" s="91"/>
      <c r="CA103" s="91"/>
      <c r="CB103" s="229"/>
      <c r="CC103" s="707"/>
      <c r="CD103" s="707"/>
      <c r="CE103" s="707"/>
      <c r="CF103" s="707"/>
      <c r="CG103" s="707"/>
      <c r="CH103" s="707"/>
      <c r="CI103" s="707"/>
      <c r="CJ103" s="707"/>
      <c r="CK103" s="707"/>
      <c r="CL103" s="959"/>
      <c r="CM103" s="959"/>
      <c r="CN103" s="959"/>
      <c r="CO103" s="959"/>
      <c r="CP103" s="959"/>
      <c r="CQ103" s="959"/>
      <c r="CR103" s="959"/>
      <c r="CS103" s="959"/>
      <c r="CT103" s="959"/>
      <c r="CU103" s="959"/>
      <c r="CV103" s="959"/>
      <c r="CW103" s="959"/>
      <c r="CX103" s="959"/>
      <c r="CY103" s="959"/>
      <c r="CZ103" s="959"/>
      <c r="DA103" s="22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98"/>
      <c r="DW103" s="98"/>
      <c r="DX103" s="98"/>
      <c r="DY103" s="708"/>
      <c r="DZ103" s="708"/>
      <c r="EA103" s="708"/>
      <c r="EB103" s="708"/>
      <c r="EC103" s="708"/>
      <c r="ED103" s="708"/>
      <c r="EE103" s="708"/>
      <c r="EF103" s="708"/>
      <c r="EG103" s="708"/>
      <c r="EH103" s="708"/>
      <c r="EI103" s="707"/>
      <c r="EJ103" s="707"/>
      <c r="EK103" s="707"/>
      <c r="EL103" s="707"/>
      <c r="EM103" s="707"/>
      <c r="EN103" s="707"/>
      <c r="EO103" s="707"/>
      <c r="EP103" s="707"/>
      <c r="EQ103" s="98"/>
      <c r="ER103" s="98"/>
      <c r="ES103" s="100"/>
      <c r="FP103" s="704"/>
      <c r="FQ103" s="705"/>
      <c r="FR103" s="705"/>
      <c r="FS103" s="705"/>
      <c r="FT103" s="705"/>
      <c r="FU103" s="705"/>
      <c r="FV103" s="705"/>
      <c r="FW103" s="705"/>
      <c r="FX103" s="706"/>
      <c r="FY103" s="704"/>
      <c r="FZ103" s="705"/>
      <c r="GA103" s="705"/>
      <c r="GB103" s="705"/>
      <c r="GC103" s="705"/>
      <c r="GD103" s="705"/>
      <c r="GE103" s="705"/>
      <c r="GF103" s="705"/>
      <c r="GG103" s="705"/>
      <c r="GH103" s="705"/>
      <c r="GI103" s="705"/>
      <c r="GJ103" s="706"/>
    </row>
    <row r="104" spans="3:192" ht="20.399999999999999" customHeight="1">
      <c r="C104" s="96"/>
      <c r="D104" s="912"/>
      <c r="E104" s="912"/>
      <c r="F104" s="912"/>
      <c r="G104" s="912"/>
      <c r="H104" s="912"/>
      <c r="I104" s="912"/>
      <c r="J104" s="912"/>
      <c r="K104" s="912"/>
      <c r="L104" s="895"/>
      <c r="M104" s="895"/>
      <c r="N104" s="895"/>
      <c r="O104" s="895"/>
      <c r="P104" s="895"/>
      <c r="Q104" s="895"/>
      <c r="R104" s="909"/>
      <c r="S104" s="909"/>
      <c r="T104" s="909"/>
      <c r="U104" s="935"/>
      <c r="V104" s="936"/>
      <c r="W104" s="936"/>
      <c r="X104" s="936"/>
      <c r="Y104" s="936"/>
      <c r="Z104" s="936"/>
      <c r="AA104" s="936"/>
      <c r="AB104" s="936"/>
      <c r="AC104" s="936"/>
      <c r="AD104" s="936"/>
      <c r="AE104" s="936"/>
      <c r="AF104" s="936"/>
      <c r="AG104" s="936"/>
      <c r="AH104" s="936"/>
      <c r="AI104" s="937"/>
      <c r="AJ104" s="931"/>
      <c r="AK104" s="931"/>
      <c r="AL104" s="931"/>
      <c r="AM104" s="885"/>
      <c r="AN104" s="886"/>
      <c r="AO104" s="886"/>
      <c r="AP104" s="886"/>
      <c r="AQ104" s="886"/>
      <c r="AR104" s="886"/>
      <c r="AS104" s="886"/>
      <c r="AT104" s="886"/>
      <c r="AU104" s="886"/>
      <c r="AV104" s="886"/>
      <c r="AW104" s="886"/>
      <c r="AX104" s="886"/>
      <c r="AY104" s="886"/>
      <c r="AZ104" s="886"/>
      <c r="BA104" s="886"/>
      <c r="BB104" s="886"/>
      <c r="BC104" s="886"/>
      <c r="BD104" s="886"/>
      <c r="BE104" s="886"/>
      <c r="BF104" s="886"/>
      <c r="BG104" s="886"/>
      <c r="BH104" s="886"/>
      <c r="BI104" s="887"/>
      <c r="BJ104" s="813"/>
      <c r="BK104" s="814"/>
      <c r="BL104" s="814"/>
      <c r="BM104" s="814"/>
      <c r="BN104" s="815"/>
      <c r="BO104" s="891"/>
      <c r="BP104" s="892"/>
      <c r="BQ104" s="892"/>
      <c r="BR104" s="89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8" t="s">
        <v>12402</v>
      </c>
      <c r="E105" s="708"/>
      <c r="F105" s="708"/>
      <c r="G105" s="708"/>
      <c r="H105" s="708"/>
      <c r="I105" s="708"/>
      <c r="J105" s="708"/>
      <c r="K105" s="708"/>
      <c r="L105" s="895">
        <f>VLOOKUP($D$11,調査票①!$A$3:$HK$1735,170,FALSE)</f>
        <v>0</v>
      </c>
      <c r="M105" s="895"/>
      <c r="N105" s="895"/>
      <c r="O105" s="895">
        <f>VLOOKUP($D$11,調査票①!$A$3:$HK$1735,171,FALSE)</f>
        <v>0</v>
      </c>
      <c r="P105" s="895"/>
      <c r="Q105" s="895"/>
      <c r="R105" s="909" t="str">
        <f>VLOOKUP($D$11,調査票①!$A$3:$HK$1735,172,FALSE)</f>
        <v/>
      </c>
      <c r="S105" s="909"/>
      <c r="T105" s="909"/>
      <c r="U105" s="897" t="str">
        <f>VLOOKUP($D$11,調査票①!$A$3:$HK$1735,173,FALSE)&amp;""</f>
        <v>　</v>
      </c>
      <c r="V105" s="898"/>
      <c r="W105" s="898"/>
      <c r="X105" s="898"/>
      <c r="Y105" s="898"/>
      <c r="Z105" s="898"/>
      <c r="AA105" s="898"/>
      <c r="AB105" s="898"/>
      <c r="AC105" s="898"/>
      <c r="AD105" s="898"/>
      <c r="AE105" s="898"/>
      <c r="AF105" s="898"/>
      <c r="AG105" s="898"/>
      <c r="AH105" s="898"/>
      <c r="AI105" s="899"/>
      <c r="AJ105" s="931">
        <f>VLOOKUP($D$11,調査票①!$A$3:$HK$1735,174,FALSE)</f>
        <v>0</v>
      </c>
      <c r="AK105" s="931"/>
      <c r="AL105" s="931"/>
      <c r="AM105" s="882" t="str">
        <f>VLOOKUP($D$11,調査票①!$A$3:$HK$1735,175,FALSE)&amp;""</f>
        <v>　</v>
      </c>
      <c r="AN105" s="883"/>
      <c r="AO105" s="883"/>
      <c r="AP105" s="883"/>
      <c r="AQ105" s="883"/>
      <c r="AR105" s="883"/>
      <c r="AS105" s="883"/>
      <c r="AT105" s="883"/>
      <c r="AU105" s="883"/>
      <c r="AV105" s="883"/>
      <c r="AW105" s="883"/>
      <c r="AX105" s="883"/>
      <c r="AY105" s="883"/>
      <c r="AZ105" s="883"/>
      <c r="BA105" s="883"/>
      <c r="BB105" s="883"/>
      <c r="BC105" s="883"/>
      <c r="BD105" s="883"/>
      <c r="BE105" s="883"/>
      <c r="BF105" s="883"/>
      <c r="BG105" s="883"/>
      <c r="BH105" s="883"/>
      <c r="BI105" s="884"/>
      <c r="BJ105" s="810" t="str">
        <f>VLOOKUP($AK$11,導入率!$A$4:$AX$37,39,FALSE)</f>
        <v>-</v>
      </c>
      <c r="BK105" s="811"/>
      <c r="BL105" s="811"/>
      <c r="BM105" s="811"/>
      <c r="BN105" s="812"/>
      <c r="BO105" s="888">
        <f>調査票①!FP1730</f>
        <v>0.7466666666666667</v>
      </c>
      <c r="BP105" s="889"/>
      <c r="BQ105" s="889"/>
      <c r="BR105" s="89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4" t="s">
        <v>12408</v>
      </c>
      <c r="DD105" s="944"/>
      <c r="DE105" s="944"/>
      <c r="DF105" s="944"/>
      <c r="DG105" s="944"/>
      <c r="DH105" s="944"/>
      <c r="DI105" s="944"/>
      <c r="DJ105" s="944"/>
      <c r="DK105" s="944"/>
      <c r="DL105" s="944"/>
      <c r="DM105" s="944"/>
      <c r="DN105" s="944"/>
      <c r="DO105" s="944"/>
      <c r="DP105" s="944"/>
      <c r="DQ105" s="944"/>
      <c r="DR105" s="944"/>
      <c r="DS105" s="944"/>
      <c r="DT105" s="944"/>
      <c r="DU105" s="944"/>
      <c r="DV105" s="944"/>
      <c r="DW105" s="944"/>
      <c r="DX105" s="944"/>
      <c r="DY105" s="944"/>
      <c r="DZ105" s="944"/>
      <c r="EA105" s="944"/>
      <c r="EB105" s="944"/>
      <c r="EC105" s="944"/>
      <c r="ED105" s="944"/>
      <c r="EE105" s="944"/>
      <c r="EF105" s="944"/>
      <c r="EG105" s="944"/>
      <c r="EH105" s="944"/>
      <c r="EI105" s="944"/>
      <c r="EJ105" s="944"/>
      <c r="EK105" s="944"/>
      <c r="EL105" s="944"/>
      <c r="EM105" s="944"/>
      <c r="EN105" s="944"/>
      <c r="EO105" s="944"/>
      <c r="EP105" s="944"/>
      <c r="EQ105" s="98"/>
      <c r="ER105" s="98"/>
      <c r="ES105" s="98"/>
      <c r="ET105" s="150"/>
    </row>
    <row r="106" spans="3:192" ht="20.399999999999999" customHeight="1">
      <c r="C106" s="96"/>
      <c r="D106" s="708"/>
      <c r="E106" s="708"/>
      <c r="F106" s="708"/>
      <c r="G106" s="708"/>
      <c r="H106" s="708"/>
      <c r="I106" s="708"/>
      <c r="J106" s="708"/>
      <c r="K106" s="708"/>
      <c r="L106" s="895"/>
      <c r="M106" s="895"/>
      <c r="N106" s="895"/>
      <c r="O106" s="895"/>
      <c r="P106" s="895"/>
      <c r="Q106" s="895"/>
      <c r="R106" s="909"/>
      <c r="S106" s="909"/>
      <c r="T106" s="909"/>
      <c r="U106" s="900"/>
      <c r="V106" s="901"/>
      <c r="W106" s="901"/>
      <c r="X106" s="901"/>
      <c r="Y106" s="901"/>
      <c r="Z106" s="901"/>
      <c r="AA106" s="901"/>
      <c r="AB106" s="901"/>
      <c r="AC106" s="901"/>
      <c r="AD106" s="901"/>
      <c r="AE106" s="901"/>
      <c r="AF106" s="901"/>
      <c r="AG106" s="901"/>
      <c r="AH106" s="901"/>
      <c r="AI106" s="902"/>
      <c r="AJ106" s="931"/>
      <c r="AK106" s="931"/>
      <c r="AL106" s="931"/>
      <c r="AM106" s="885"/>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7"/>
      <c r="BJ106" s="813"/>
      <c r="BK106" s="814"/>
      <c r="BL106" s="814"/>
      <c r="BM106" s="814"/>
      <c r="BN106" s="815"/>
      <c r="BO106" s="891"/>
      <c r="BP106" s="892"/>
      <c r="BQ106" s="892"/>
      <c r="BR106" s="893"/>
      <c r="BS106" s="98"/>
      <c r="BT106" s="100"/>
      <c r="CB106" s="96"/>
      <c r="CC106" s="950" t="s">
        <v>70</v>
      </c>
      <c r="CD106" s="951"/>
      <c r="CE106" s="951"/>
      <c r="CF106" s="951"/>
      <c r="CG106" s="951"/>
      <c r="CH106" s="951"/>
      <c r="CI106" s="951"/>
      <c r="CJ106" s="951"/>
      <c r="CK106" s="952"/>
      <c r="CL106" s="953" t="s">
        <v>12329</v>
      </c>
      <c r="CM106" s="954"/>
      <c r="CN106" s="954"/>
      <c r="CO106" s="954"/>
      <c r="CP106" s="954"/>
      <c r="CQ106" s="954"/>
      <c r="CR106" s="954"/>
      <c r="CS106" s="954"/>
      <c r="CT106" s="954"/>
      <c r="CU106" s="954"/>
      <c r="CV106" s="954"/>
      <c r="CW106" s="955"/>
      <c r="CX106" s="110"/>
      <c r="CY106" s="110"/>
      <c r="CZ106" s="110"/>
      <c r="DA106" s="98"/>
      <c r="DB106" s="98"/>
      <c r="DC106" s="944"/>
      <c r="DD106" s="944"/>
      <c r="DE106" s="944"/>
      <c r="DF106" s="944"/>
      <c r="DG106" s="944"/>
      <c r="DH106" s="944"/>
      <c r="DI106" s="944"/>
      <c r="DJ106" s="944"/>
      <c r="DK106" s="944"/>
      <c r="DL106" s="944"/>
      <c r="DM106" s="944"/>
      <c r="DN106" s="944"/>
      <c r="DO106" s="944"/>
      <c r="DP106" s="944"/>
      <c r="DQ106" s="944"/>
      <c r="DR106" s="944"/>
      <c r="DS106" s="944"/>
      <c r="DT106" s="944"/>
      <c r="DU106" s="944"/>
      <c r="DV106" s="944"/>
      <c r="DW106" s="944"/>
      <c r="DX106" s="944"/>
      <c r="DY106" s="944"/>
      <c r="DZ106" s="944"/>
      <c r="EA106" s="944"/>
      <c r="EB106" s="944"/>
      <c r="EC106" s="944"/>
      <c r="ED106" s="944"/>
      <c r="EE106" s="944"/>
      <c r="EF106" s="944"/>
      <c r="EG106" s="944"/>
      <c r="EH106" s="944"/>
      <c r="EI106" s="944"/>
      <c r="EJ106" s="944"/>
      <c r="EK106" s="944"/>
      <c r="EL106" s="944"/>
      <c r="EM106" s="944"/>
      <c r="EN106" s="944"/>
      <c r="EO106" s="944"/>
      <c r="EP106" s="944"/>
      <c r="EQ106" s="98"/>
      <c r="ER106" s="98"/>
      <c r="ES106" s="100"/>
    </row>
    <row r="107" spans="3:192" ht="20.399999999999999" customHeight="1">
      <c r="C107" s="96"/>
      <c r="D107" s="708" t="s">
        <v>12404</v>
      </c>
      <c r="E107" s="708"/>
      <c r="F107" s="708"/>
      <c r="G107" s="708"/>
      <c r="H107" s="708"/>
      <c r="I107" s="708"/>
      <c r="J107" s="708"/>
      <c r="K107" s="708"/>
      <c r="L107" s="895">
        <f>VLOOKUP($D$11,調査票①!$A$3:$HK$1735,176,FALSE)</f>
        <v>0</v>
      </c>
      <c r="M107" s="895"/>
      <c r="N107" s="895"/>
      <c r="O107" s="895">
        <f>VLOOKUP($D$11,調査票①!$A$3:$HK$1735,177,FALSE)</f>
        <v>0</v>
      </c>
      <c r="P107" s="895"/>
      <c r="Q107" s="895"/>
      <c r="R107" s="909" t="str">
        <f>VLOOKUP($D$11,調査票①!$A$3:$HK$1735,178,FALSE)</f>
        <v/>
      </c>
      <c r="S107" s="909"/>
      <c r="T107" s="909"/>
      <c r="U107" s="897" t="str">
        <f>VLOOKUP($D$11,調査票①!$A$3:$HK$1735,179,FALSE)&amp;""</f>
        <v/>
      </c>
      <c r="V107" s="898"/>
      <c r="W107" s="898"/>
      <c r="X107" s="898"/>
      <c r="Y107" s="898"/>
      <c r="Z107" s="898"/>
      <c r="AA107" s="898"/>
      <c r="AB107" s="898"/>
      <c r="AC107" s="898"/>
      <c r="AD107" s="898"/>
      <c r="AE107" s="898"/>
      <c r="AF107" s="898"/>
      <c r="AG107" s="898"/>
      <c r="AH107" s="898"/>
      <c r="AI107" s="899"/>
      <c r="AJ107" s="931">
        <f>VLOOKUP($D$11,調査票①!$A$3:$HK$1735,180,FALSE)</f>
        <v>0</v>
      </c>
      <c r="AK107" s="931"/>
      <c r="AL107" s="931"/>
      <c r="AM107" s="882" t="str">
        <f>VLOOKUP($D$11,調査票①!$A$3:$HK$1735,181,FALSE)&amp;""</f>
        <v>　</v>
      </c>
      <c r="AN107" s="883"/>
      <c r="AO107" s="883"/>
      <c r="AP107" s="883"/>
      <c r="AQ107" s="883"/>
      <c r="AR107" s="883"/>
      <c r="AS107" s="883"/>
      <c r="AT107" s="883"/>
      <c r="AU107" s="883"/>
      <c r="AV107" s="883"/>
      <c r="AW107" s="883"/>
      <c r="AX107" s="883"/>
      <c r="AY107" s="883"/>
      <c r="AZ107" s="883"/>
      <c r="BA107" s="883"/>
      <c r="BB107" s="883"/>
      <c r="BC107" s="883"/>
      <c r="BD107" s="883"/>
      <c r="BE107" s="883"/>
      <c r="BF107" s="883"/>
      <c r="BG107" s="883"/>
      <c r="BH107" s="883"/>
      <c r="BI107" s="884"/>
      <c r="BJ107" s="810">
        <f>VLOOKUP($AK$11,導入率!$A$4:$AX$37,40,FALSE)</f>
        <v>0</v>
      </c>
      <c r="BK107" s="811"/>
      <c r="BL107" s="811"/>
      <c r="BM107" s="811"/>
      <c r="BN107" s="812"/>
      <c r="BO107" s="888">
        <f>調査票①!FV1730</f>
        <v>0.4896030245746692</v>
      </c>
      <c r="BP107" s="889"/>
      <c r="BQ107" s="889"/>
      <c r="BR107" s="890"/>
      <c r="BS107" s="98"/>
      <c r="BT107" s="100"/>
      <c r="CB107" s="96"/>
      <c r="CC107" s="956" t="s">
        <v>12410</v>
      </c>
      <c r="CD107" s="957"/>
      <c r="CE107" s="957"/>
      <c r="CF107" s="957"/>
      <c r="CG107" s="957"/>
      <c r="CH107" s="957"/>
      <c r="CI107" s="957"/>
      <c r="CJ107" s="957"/>
      <c r="CK107" s="958"/>
      <c r="CL107" s="698" t="s">
        <v>12410</v>
      </c>
      <c r="CM107" s="699"/>
      <c r="CN107" s="699"/>
      <c r="CO107" s="699"/>
      <c r="CP107" s="699"/>
      <c r="CQ107" s="699"/>
      <c r="CR107" s="699"/>
      <c r="CS107" s="699"/>
      <c r="CT107" s="699"/>
      <c r="CU107" s="699"/>
      <c r="CV107" s="699"/>
      <c r="CW107" s="700"/>
      <c r="CX107" s="230"/>
      <c r="CY107" s="230"/>
      <c r="CZ107" s="230"/>
      <c r="DA107" s="98"/>
      <c r="DB107" s="97"/>
      <c r="DC107" s="944"/>
      <c r="DD107" s="944"/>
      <c r="DE107" s="944"/>
      <c r="DF107" s="944"/>
      <c r="DG107" s="944"/>
      <c r="DH107" s="944"/>
      <c r="DI107" s="944"/>
      <c r="DJ107" s="944"/>
      <c r="DK107" s="944"/>
      <c r="DL107" s="944"/>
      <c r="DM107" s="944"/>
      <c r="DN107" s="944"/>
      <c r="DO107" s="944"/>
      <c r="DP107" s="944"/>
      <c r="DQ107" s="944"/>
      <c r="DR107" s="944"/>
      <c r="DS107" s="944"/>
      <c r="DT107" s="944"/>
      <c r="DU107" s="944"/>
      <c r="DV107" s="944"/>
      <c r="DW107" s="944"/>
      <c r="DX107" s="944"/>
      <c r="DY107" s="944"/>
      <c r="DZ107" s="944"/>
      <c r="EA107" s="944"/>
      <c r="EB107" s="944"/>
      <c r="EC107" s="944"/>
      <c r="ED107" s="944"/>
      <c r="EE107" s="944"/>
      <c r="EF107" s="944"/>
      <c r="EG107" s="944"/>
      <c r="EH107" s="944"/>
      <c r="EI107" s="944"/>
      <c r="EJ107" s="944"/>
      <c r="EK107" s="944"/>
      <c r="EL107" s="944"/>
      <c r="EM107" s="944"/>
      <c r="EN107" s="944"/>
      <c r="EO107" s="944"/>
      <c r="EP107" s="944"/>
      <c r="EQ107" s="98"/>
      <c r="ER107" s="98"/>
      <c r="ES107" s="100"/>
    </row>
    <row r="108" spans="3:192" ht="20.399999999999999" customHeight="1">
      <c r="C108" s="96"/>
      <c r="D108" s="708"/>
      <c r="E108" s="708"/>
      <c r="F108" s="708"/>
      <c r="G108" s="708"/>
      <c r="H108" s="708"/>
      <c r="I108" s="708"/>
      <c r="J108" s="708"/>
      <c r="K108" s="708"/>
      <c r="L108" s="895"/>
      <c r="M108" s="895"/>
      <c r="N108" s="895"/>
      <c r="O108" s="895"/>
      <c r="P108" s="895"/>
      <c r="Q108" s="895"/>
      <c r="R108" s="909"/>
      <c r="S108" s="909"/>
      <c r="T108" s="909"/>
      <c r="U108" s="900"/>
      <c r="V108" s="901"/>
      <c r="W108" s="901"/>
      <c r="X108" s="901"/>
      <c r="Y108" s="901"/>
      <c r="Z108" s="901"/>
      <c r="AA108" s="901"/>
      <c r="AB108" s="901"/>
      <c r="AC108" s="901"/>
      <c r="AD108" s="901"/>
      <c r="AE108" s="901"/>
      <c r="AF108" s="901"/>
      <c r="AG108" s="901"/>
      <c r="AH108" s="901"/>
      <c r="AI108" s="902"/>
      <c r="AJ108" s="931"/>
      <c r="AK108" s="931"/>
      <c r="AL108" s="931"/>
      <c r="AM108" s="885"/>
      <c r="AN108" s="886"/>
      <c r="AO108" s="886"/>
      <c r="AP108" s="886"/>
      <c r="AQ108" s="886"/>
      <c r="AR108" s="886"/>
      <c r="AS108" s="886"/>
      <c r="AT108" s="886"/>
      <c r="AU108" s="886"/>
      <c r="AV108" s="886"/>
      <c r="AW108" s="886"/>
      <c r="AX108" s="886"/>
      <c r="AY108" s="886"/>
      <c r="AZ108" s="886"/>
      <c r="BA108" s="886"/>
      <c r="BB108" s="886"/>
      <c r="BC108" s="886"/>
      <c r="BD108" s="886"/>
      <c r="BE108" s="886"/>
      <c r="BF108" s="886"/>
      <c r="BG108" s="886"/>
      <c r="BH108" s="886"/>
      <c r="BI108" s="887"/>
      <c r="BJ108" s="813"/>
      <c r="BK108" s="814"/>
      <c r="BL108" s="814"/>
      <c r="BM108" s="814"/>
      <c r="BN108" s="815"/>
      <c r="BO108" s="891"/>
      <c r="BP108" s="892"/>
      <c r="BQ108" s="892"/>
      <c r="BR108" s="893"/>
      <c r="BS108" s="98"/>
      <c r="BT108" s="100"/>
      <c r="CB108" s="96"/>
      <c r="CC108" s="701">
        <f>VLOOKUP($AK$11,導入率!A4:AX37,50,FALSE)</f>
        <v>0.96666666666666667</v>
      </c>
      <c r="CD108" s="702"/>
      <c r="CE108" s="702"/>
      <c r="CF108" s="702"/>
      <c r="CG108" s="702"/>
      <c r="CH108" s="702"/>
      <c r="CI108" s="702"/>
      <c r="CJ108" s="702"/>
      <c r="CK108" s="703"/>
      <c r="CL108" s="701">
        <f>調査票①!HI1731</f>
        <v>0.85822196397443351</v>
      </c>
      <c r="CM108" s="702"/>
      <c r="CN108" s="702"/>
      <c r="CO108" s="702"/>
      <c r="CP108" s="702"/>
      <c r="CQ108" s="702"/>
      <c r="CR108" s="702"/>
      <c r="CS108" s="702"/>
      <c r="CT108" s="702"/>
      <c r="CU108" s="702"/>
      <c r="CV108" s="702"/>
      <c r="CW108" s="703"/>
      <c r="CX108" s="230"/>
      <c r="CY108" s="230"/>
      <c r="CZ108" s="230"/>
      <c r="DA108" s="98"/>
      <c r="DB108" s="97"/>
      <c r="DC108" s="946" t="s">
        <v>15735</v>
      </c>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8"/>
      <c r="ER108" s="98"/>
      <c r="ES108" s="100"/>
    </row>
    <row r="109" spans="3:192" ht="20.399999999999999" customHeight="1">
      <c r="C109" s="96"/>
      <c r="D109" s="708" t="s">
        <v>12407</v>
      </c>
      <c r="E109" s="708"/>
      <c r="F109" s="708"/>
      <c r="G109" s="708"/>
      <c r="H109" s="708"/>
      <c r="I109" s="708"/>
      <c r="J109" s="708"/>
      <c r="K109" s="708"/>
      <c r="L109" s="895">
        <f>VLOOKUP($D$11,調査票①!$A$3:$HK$1735,182,FALSE)</f>
        <v>7</v>
      </c>
      <c r="M109" s="895"/>
      <c r="N109" s="895"/>
      <c r="O109" s="895">
        <f>VLOOKUP($D$11,調査票①!$A$3:$HK$1735,183,FALSE)</f>
        <v>6</v>
      </c>
      <c r="P109" s="895"/>
      <c r="Q109" s="895"/>
      <c r="R109" s="909">
        <f>VLOOKUP($D$11,調査票①!$A$3:$HK$1735,184,FALSE)</f>
        <v>0.8571428571428571</v>
      </c>
      <c r="S109" s="909"/>
      <c r="T109" s="909"/>
      <c r="U109" s="897" t="str">
        <f>VLOOKUP($D$11,調査票①!$A$3:$HK$1735,185,FALSE)&amp;""</f>
        <v>使用目的が限られており、広く一般に貸し出す施設ではないため。</v>
      </c>
      <c r="V109" s="898"/>
      <c r="W109" s="898"/>
      <c r="X109" s="898"/>
      <c r="Y109" s="898"/>
      <c r="Z109" s="898"/>
      <c r="AA109" s="898"/>
      <c r="AB109" s="898"/>
      <c r="AC109" s="898"/>
      <c r="AD109" s="898"/>
      <c r="AE109" s="898"/>
      <c r="AF109" s="898"/>
      <c r="AG109" s="898"/>
      <c r="AH109" s="898"/>
      <c r="AI109" s="899"/>
      <c r="AJ109" s="931">
        <f>VLOOKUP($D$11,調査票①!$A$3:$HK$1735,186,FALSE)</f>
        <v>0</v>
      </c>
      <c r="AK109" s="931"/>
      <c r="AL109" s="931"/>
      <c r="AM109" s="882" t="str">
        <f>VLOOKUP($D$11,調査票①!$A$3:$HK$1735,187,FALSE)&amp;""</f>
        <v>　</v>
      </c>
      <c r="AN109" s="883"/>
      <c r="AO109" s="883"/>
      <c r="AP109" s="883"/>
      <c r="AQ109" s="883"/>
      <c r="AR109" s="883"/>
      <c r="AS109" s="883"/>
      <c r="AT109" s="883"/>
      <c r="AU109" s="883"/>
      <c r="AV109" s="883"/>
      <c r="AW109" s="883"/>
      <c r="AX109" s="883"/>
      <c r="AY109" s="883"/>
      <c r="AZ109" s="883"/>
      <c r="BA109" s="883"/>
      <c r="BB109" s="883"/>
      <c r="BC109" s="883"/>
      <c r="BD109" s="883"/>
      <c r="BE109" s="883"/>
      <c r="BF109" s="883"/>
      <c r="BG109" s="883"/>
      <c r="BH109" s="883"/>
      <c r="BI109" s="884"/>
      <c r="BJ109" s="810">
        <f>VLOOKUP($AK$11,導入率!$A$4:$AX$37,41,FALSE)</f>
        <v>0.6064516129032258</v>
      </c>
      <c r="BK109" s="811"/>
      <c r="BL109" s="811"/>
      <c r="BM109" s="811"/>
      <c r="BN109" s="812"/>
      <c r="BO109" s="888">
        <f>調査票①!GB1730</f>
        <v>0.52994814947255497</v>
      </c>
      <c r="BP109" s="889"/>
      <c r="BQ109" s="889"/>
      <c r="BR109" s="890"/>
      <c r="BS109" s="98"/>
      <c r="BT109" s="100"/>
      <c r="CB109" s="96"/>
      <c r="CC109" s="947"/>
      <c r="CD109" s="948"/>
      <c r="CE109" s="948"/>
      <c r="CF109" s="948"/>
      <c r="CG109" s="948"/>
      <c r="CH109" s="948"/>
      <c r="CI109" s="948"/>
      <c r="CJ109" s="948"/>
      <c r="CK109" s="949"/>
      <c r="CL109" s="947"/>
      <c r="CM109" s="948"/>
      <c r="CN109" s="948"/>
      <c r="CO109" s="948"/>
      <c r="CP109" s="948"/>
      <c r="CQ109" s="948"/>
      <c r="CR109" s="948"/>
      <c r="CS109" s="948"/>
      <c r="CT109" s="948"/>
      <c r="CU109" s="948"/>
      <c r="CV109" s="948"/>
      <c r="CW109" s="949"/>
      <c r="CX109" s="98"/>
      <c r="CY109" s="98"/>
      <c r="CZ109" s="98"/>
      <c r="DA109" s="98"/>
      <c r="DB109" s="98"/>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8"/>
      <c r="ER109" s="98"/>
      <c r="ES109" s="100"/>
    </row>
    <row r="110" spans="3:192" ht="20.399999999999999" customHeight="1">
      <c r="C110" s="96"/>
      <c r="D110" s="708"/>
      <c r="E110" s="708"/>
      <c r="F110" s="708"/>
      <c r="G110" s="708"/>
      <c r="H110" s="708"/>
      <c r="I110" s="708"/>
      <c r="J110" s="708"/>
      <c r="K110" s="708"/>
      <c r="L110" s="895"/>
      <c r="M110" s="895"/>
      <c r="N110" s="895"/>
      <c r="O110" s="895"/>
      <c r="P110" s="895"/>
      <c r="Q110" s="895"/>
      <c r="R110" s="909"/>
      <c r="S110" s="909"/>
      <c r="T110" s="909"/>
      <c r="U110" s="900"/>
      <c r="V110" s="901"/>
      <c r="W110" s="901"/>
      <c r="X110" s="901"/>
      <c r="Y110" s="901"/>
      <c r="Z110" s="901"/>
      <c r="AA110" s="901"/>
      <c r="AB110" s="901"/>
      <c r="AC110" s="901"/>
      <c r="AD110" s="901"/>
      <c r="AE110" s="901"/>
      <c r="AF110" s="901"/>
      <c r="AG110" s="901"/>
      <c r="AH110" s="901"/>
      <c r="AI110" s="902"/>
      <c r="AJ110" s="931"/>
      <c r="AK110" s="931"/>
      <c r="AL110" s="931"/>
      <c r="AM110" s="885"/>
      <c r="AN110" s="886"/>
      <c r="AO110" s="886"/>
      <c r="AP110" s="886"/>
      <c r="AQ110" s="886"/>
      <c r="AR110" s="886"/>
      <c r="AS110" s="886"/>
      <c r="AT110" s="886"/>
      <c r="AU110" s="886"/>
      <c r="AV110" s="886"/>
      <c r="AW110" s="886"/>
      <c r="AX110" s="886"/>
      <c r="AY110" s="886"/>
      <c r="AZ110" s="886"/>
      <c r="BA110" s="886"/>
      <c r="BB110" s="886"/>
      <c r="BC110" s="886"/>
      <c r="BD110" s="886"/>
      <c r="BE110" s="886"/>
      <c r="BF110" s="886"/>
      <c r="BG110" s="886"/>
      <c r="BH110" s="886"/>
      <c r="BI110" s="887"/>
      <c r="BJ110" s="813"/>
      <c r="BK110" s="814"/>
      <c r="BL110" s="814"/>
      <c r="BM110" s="814"/>
      <c r="BN110" s="815"/>
      <c r="BO110" s="891"/>
      <c r="BP110" s="892"/>
      <c r="BQ110" s="892"/>
      <c r="BR110" s="893"/>
      <c r="BS110" s="98"/>
      <c r="BT110" s="100"/>
      <c r="CB110" s="96"/>
      <c r="CC110" s="947"/>
      <c r="CD110" s="948"/>
      <c r="CE110" s="948"/>
      <c r="CF110" s="948"/>
      <c r="CG110" s="948"/>
      <c r="CH110" s="948"/>
      <c r="CI110" s="948"/>
      <c r="CJ110" s="948"/>
      <c r="CK110" s="949"/>
      <c r="CL110" s="947"/>
      <c r="CM110" s="948"/>
      <c r="CN110" s="948"/>
      <c r="CO110" s="948"/>
      <c r="CP110" s="948"/>
      <c r="CQ110" s="948"/>
      <c r="CR110" s="948"/>
      <c r="CS110" s="948"/>
      <c r="CT110" s="948"/>
      <c r="CU110" s="948"/>
      <c r="CV110" s="948"/>
      <c r="CW110" s="949"/>
      <c r="CX110" s="98"/>
      <c r="CY110" s="98"/>
      <c r="CZ110" s="98"/>
      <c r="DA110" s="98"/>
      <c r="DB110" s="98"/>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8"/>
      <c r="ER110" s="98"/>
      <c r="ES110" s="100"/>
    </row>
    <row r="111" spans="3:192" ht="18.649999999999999" customHeight="1">
      <c r="C111" s="96"/>
      <c r="D111" s="708" t="s">
        <v>12409</v>
      </c>
      <c r="E111" s="708"/>
      <c r="F111" s="708"/>
      <c r="G111" s="708"/>
      <c r="H111" s="708"/>
      <c r="I111" s="708"/>
      <c r="J111" s="708"/>
      <c r="K111" s="708"/>
      <c r="L111" s="895">
        <f>VLOOKUP($D$11,調査票①!$A$3:$HK$1735,188,FALSE)</f>
        <v>49</v>
      </c>
      <c r="M111" s="895"/>
      <c r="N111" s="895"/>
      <c r="O111" s="895">
        <f>VLOOKUP($D$11,調査票①!$A$3:$HK$1735,189,FALSE)</f>
        <v>1</v>
      </c>
      <c r="P111" s="895"/>
      <c r="Q111" s="895"/>
      <c r="R111" s="909">
        <f>VLOOKUP($D$11,調査票①!$A$3:$HK$1735,190,FALSE)</f>
        <v>2.0408163265306121E-2</v>
      </c>
      <c r="S111" s="909"/>
      <c r="T111" s="909"/>
      <c r="U111" s="897" t="str">
        <f>VLOOKUP($D$11,調査票①!$A$3:$HK$1735,191,FALSE)&amp;""</f>
        <v>放課後児童クラブ48施設のうち、既に2施設は民間事業者に委託しているところだが、その他の46施設については、民間やＮＰＯ団体等と業務委託について協議中である。</v>
      </c>
      <c r="V111" s="898"/>
      <c r="W111" s="898"/>
      <c r="X111" s="898"/>
      <c r="Y111" s="898"/>
      <c r="Z111" s="898"/>
      <c r="AA111" s="898"/>
      <c r="AB111" s="898"/>
      <c r="AC111" s="898"/>
      <c r="AD111" s="898"/>
      <c r="AE111" s="898"/>
      <c r="AF111" s="898"/>
      <c r="AG111" s="898"/>
      <c r="AH111" s="898"/>
      <c r="AI111" s="899"/>
      <c r="AJ111" s="931">
        <f>VLOOKUP($D$11,調査票①!$A$3:$HK$1735,192,FALSE)</f>
        <v>46</v>
      </c>
      <c r="AK111" s="931"/>
      <c r="AL111" s="931"/>
      <c r="AM111" s="882" t="str">
        <f>VLOOKUP($D$11,調査票①!$A$3:$HK$1735,193,FALSE)&amp;""</f>
        <v>放課後児童クラブ利用の需要だけでなく、質の向上や開設時間の延長等、幅広いニーズに対応できる事業とするため、次年度以降民間委託を進めていく。</v>
      </c>
      <c r="AN111" s="883"/>
      <c r="AO111" s="883"/>
      <c r="AP111" s="883"/>
      <c r="AQ111" s="883"/>
      <c r="AR111" s="883"/>
      <c r="AS111" s="883"/>
      <c r="AT111" s="883"/>
      <c r="AU111" s="883"/>
      <c r="AV111" s="883"/>
      <c r="AW111" s="883"/>
      <c r="AX111" s="883"/>
      <c r="AY111" s="883"/>
      <c r="AZ111" s="883"/>
      <c r="BA111" s="883"/>
      <c r="BB111" s="883"/>
      <c r="BC111" s="883"/>
      <c r="BD111" s="883"/>
      <c r="BE111" s="883"/>
      <c r="BF111" s="883"/>
      <c r="BG111" s="883"/>
      <c r="BH111" s="883"/>
      <c r="BI111" s="884"/>
      <c r="BJ111" s="810">
        <f>VLOOKUP($AK$11,導入率!$A$4:$AX$37,42,FALSE)</f>
        <v>0.17485265225933203</v>
      </c>
      <c r="BK111" s="811"/>
      <c r="BL111" s="811"/>
      <c r="BM111" s="811"/>
      <c r="BN111" s="812"/>
      <c r="BO111" s="888">
        <f>調査票①!GH1730</f>
        <v>0.24473481936971561</v>
      </c>
      <c r="BP111" s="889"/>
      <c r="BQ111" s="889"/>
      <c r="BR111" s="890"/>
      <c r="BS111" s="98"/>
      <c r="BT111" s="100"/>
      <c r="CB111" s="96"/>
      <c r="CC111" s="704"/>
      <c r="CD111" s="705"/>
      <c r="CE111" s="705"/>
      <c r="CF111" s="705"/>
      <c r="CG111" s="705"/>
      <c r="CH111" s="705"/>
      <c r="CI111" s="705"/>
      <c r="CJ111" s="705"/>
      <c r="CK111" s="706"/>
      <c r="CL111" s="704"/>
      <c r="CM111" s="705"/>
      <c r="CN111" s="705"/>
      <c r="CO111" s="705"/>
      <c r="CP111" s="705"/>
      <c r="CQ111" s="705"/>
      <c r="CR111" s="705"/>
      <c r="CS111" s="705"/>
      <c r="CT111" s="705"/>
      <c r="CU111" s="705"/>
      <c r="CV111" s="705"/>
      <c r="CW111" s="706"/>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8"/>
      <c r="E112" s="708"/>
      <c r="F112" s="708"/>
      <c r="G112" s="708"/>
      <c r="H112" s="708"/>
      <c r="I112" s="708"/>
      <c r="J112" s="708"/>
      <c r="K112" s="708"/>
      <c r="L112" s="895"/>
      <c r="M112" s="895"/>
      <c r="N112" s="895"/>
      <c r="O112" s="895"/>
      <c r="P112" s="895"/>
      <c r="Q112" s="895"/>
      <c r="R112" s="909"/>
      <c r="S112" s="909"/>
      <c r="T112" s="909"/>
      <c r="U112" s="900"/>
      <c r="V112" s="901"/>
      <c r="W112" s="901"/>
      <c r="X112" s="901"/>
      <c r="Y112" s="901"/>
      <c r="Z112" s="901"/>
      <c r="AA112" s="901"/>
      <c r="AB112" s="901"/>
      <c r="AC112" s="901"/>
      <c r="AD112" s="901"/>
      <c r="AE112" s="901"/>
      <c r="AF112" s="901"/>
      <c r="AG112" s="901"/>
      <c r="AH112" s="901"/>
      <c r="AI112" s="902"/>
      <c r="AJ112" s="931"/>
      <c r="AK112" s="931"/>
      <c r="AL112" s="931"/>
      <c r="AM112" s="885"/>
      <c r="AN112" s="886"/>
      <c r="AO112" s="886"/>
      <c r="AP112" s="886"/>
      <c r="AQ112" s="886"/>
      <c r="AR112" s="886"/>
      <c r="AS112" s="886"/>
      <c r="AT112" s="886"/>
      <c r="AU112" s="886"/>
      <c r="AV112" s="886"/>
      <c r="AW112" s="886"/>
      <c r="AX112" s="886"/>
      <c r="AY112" s="886"/>
      <c r="AZ112" s="886"/>
      <c r="BA112" s="886"/>
      <c r="BB112" s="886"/>
      <c r="BC112" s="886"/>
      <c r="BD112" s="886"/>
      <c r="BE112" s="886"/>
      <c r="BF112" s="886"/>
      <c r="BG112" s="886"/>
      <c r="BH112" s="886"/>
      <c r="BI112" s="887"/>
      <c r="BJ112" s="813"/>
      <c r="BK112" s="814"/>
      <c r="BL112" s="814"/>
      <c r="BM112" s="814"/>
      <c r="BN112" s="815"/>
      <c r="BO112" s="891"/>
      <c r="BP112" s="892"/>
      <c r="BQ112" s="892"/>
      <c r="BR112" s="89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5"/>
      <c r="CV118" s="945"/>
      <c r="CW118" s="945"/>
      <c r="CX118" s="945"/>
      <c r="CY118" s="945"/>
      <c r="CZ118" s="945"/>
      <c r="DA118" s="945"/>
      <c r="DB118" s="945"/>
      <c r="DC118" s="945"/>
      <c r="DD118" s="945"/>
      <c r="DE118" s="945"/>
      <c r="DF118" s="945"/>
      <c r="DG118" s="945"/>
      <c r="DH118" s="945"/>
      <c r="DI118" s="945"/>
      <c r="DJ118" s="945"/>
      <c r="DK118" s="945"/>
      <c r="DL118" s="945"/>
      <c r="DM118" s="945"/>
      <c r="DN118" s="945"/>
      <c r="DO118" s="945"/>
      <c r="DP118" s="945"/>
      <c r="DQ118" s="945"/>
      <c r="DR118" s="945"/>
      <c r="DS118" s="945"/>
      <c r="DT118" s="945"/>
      <c r="DU118" s="945"/>
      <c r="DV118" s="945"/>
      <c r="DW118" s="945"/>
      <c r="DX118" s="945"/>
      <c r="DY118" s="945"/>
      <c r="DZ118" s="945"/>
      <c r="EA118" s="945"/>
      <c r="EB118" s="945"/>
      <c r="EC118" s="945"/>
      <c r="ED118" s="945"/>
      <c r="EE118" s="945"/>
      <c r="EF118" s="945"/>
      <c r="EG118" s="945"/>
      <c r="EH118" s="945"/>
      <c r="EI118" s="945"/>
      <c r="EJ118" s="945"/>
      <c r="EK118" s="945"/>
      <c r="EL118" s="945"/>
      <c r="EM118" s="945"/>
      <c r="EN118" s="945"/>
      <c r="EO118" s="945"/>
      <c r="EP118" s="945"/>
    </row>
    <row r="119" spans="3:149" ht="12.65" customHeight="1">
      <c r="CU119" s="945"/>
      <c r="CV119" s="945"/>
      <c r="CW119" s="945"/>
      <c r="CX119" s="945"/>
      <c r="CY119" s="945"/>
      <c r="CZ119" s="945"/>
      <c r="DA119" s="945"/>
      <c r="DB119" s="945"/>
      <c r="DC119" s="945"/>
      <c r="DD119" s="945"/>
      <c r="DE119" s="945"/>
      <c r="DF119" s="945"/>
      <c r="DG119" s="945"/>
      <c r="DH119" s="945"/>
      <c r="DI119" s="945"/>
      <c r="DJ119" s="945"/>
      <c r="DK119" s="945"/>
      <c r="DL119" s="945"/>
      <c r="DM119" s="945"/>
      <c r="DN119" s="945"/>
      <c r="DO119" s="945"/>
      <c r="DP119" s="945"/>
      <c r="DQ119" s="945"/>
      <c r="DR119" s="945"/>
      <c r="DS119" s="945"/>
      <c r="DT119" s="945"/>
      <c r="DU119" s="945"/>
      <c r="DV119" s="945"/>
      <c r="DW119" s="945"/>
      <c r="DX119" s="945"/>
      <c r="DY119" s="945"/>
      <c r="DZ119" s="945"/>
      <c r="EA119" s="945"/>
      <c r="EB119" s="945"/>
      <c r="EC119" s="945"/>
      <c r="ED119" s="945"/>
      <c r="EE119" s="945"/>
      <c r="EF119" s="945"/>
      <c r="EG119" s="945"/>
      <c r="EH119" s="945"/>
      <c r="EI119" s="945"/>
      <c r="EJ119" s="945"/>
      <c r="EK119" s="945"/>
      <c r="EL119" s="945"/>
      <c r="EM119" s="945"/>
      <c r="EN119" s="945"/>
      <c r="EO119" s="945"/>
      <c r="EP119" s="945"/>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【別表】自治体コード!$A$2:$A$35</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35"/>
  <sheetViews>
    <sheetView workbookViewId="0">
      <selection activeCell="A2" sqref="A2:XFD1722"/>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17068</v>
      </c>
      <c r="B2" s="53" t="s">
        <v>1883</v>
      </c>
      <c r="C2" s="223" t="s">
        <v>17069</v>
      </c>
    </row>
    <row r="3" spans="1:3">
      <c r="A3" s="167" t="s">
        <v>17085</v>
      </c>
      <c r="B3" s="166" t="s">
        <v>1883</v>
      </c>
      <c r="C3" s="157" t="s">
        <v>1891</v>
      </c>
    </row>
    <row r="4" spans="1:3">
      <c r="A4" s="167" t="s">
        <v>17087</v>
      </c>
      <c r="B4" s="166" t="s">
        <v>1883</v>
      </c>
      <c r="C4" s="157" t="s">
        <v>1901</v>
      </c>
    </row>
    <row r="5" spans="1:3">
      <c r="A5" s="167" t="s">
        <v>17089</v>
      </c>
      <c r="B5" s="166" t="s">
        <v>1883</v>
      </c>
      <c r="C5" s="157" t="s">
        <v>1909</v>
      </c>
    </row>
    <row r="6" spans="1:3">
      <c r="A6" s="167" t="s">
        <v>1911</v>
      </c>
      <c r="B6" s="166" t="s">
        <v>1883</v>
      </c>
      <c r="C6" s="157" t="s">
        <v>1912</v>
      </c>
    </row>
    <row r="7" spans="1:3">
      <c r="A7" s="167" t="s">
        <v>1921</v>
      </c>
      <c r="B7" s="166" t="s">
        <v>1883</v>
      </c>
      <c r="C7" s="157" t="s">
        <v>1922</v>
      </c>
    </row>
    <row r="8" spans="1:3">
      <c r="A8" s="167" t="s">
        <v>1924</v>
      </c>
      <c r="B8" s="166" t="s">
        <v>1883</v>
      </c>
      <c r="C8" s="157" t="s">
        <v>1925</v>
      </c>
    </row>
    <row r="9" spans="1:3">
      <c r="A9" s="167" t="s">
        <v>1928</v>
      </c>
      <c r="B9" s="166" t="s">
        <v>1883</v>
      </c>
      <c r="C9" s="157" t="s">
        <v>1929</v>
      </c>
    </row>
    <row r="10" spans="1:3">
      <c r="A10" s="167" t="s">
        <v>1937</v>
      </c>
      <c r="B10" s="166" t="s">
        <v>1883</v>
      </c>
      <c r="C10" s="157" t="s">
        <v>1938</v>
      </c>
    </row>
    <row r="11" spans="1:3">
      <c r="A11" s="167" t="s">
        <v>17106</v>
      </c>
      <c r="B11" s="166" t="s">
        <v>1883</v>
      </c>
      <c r="C11" s="157" t="s">
        <v>1945</v>
      </c>
    </row>
    <row r="12" spans="1:3">
      <c r="A12" s="167" t="s">
        <v>1959</v>
      </c>
      <c r="B12" s="166" t="s">
        <v>1883</v>
      </c>
      <c r="C12" s="157" t="s">
        <v>1960</v>
      </c>
    </row>
    <row r="13" spans="1:3">
      <c r="A13" s="167" t="s">
        <v>1966</v>
      </c>
      <c r="B13" s="166" t="s">
        <v>1883</v>
      </c>
      <c r="C13" s="157" t="s">
        <v>1967</v>
      </c>
    </row>
    <row r="14" spans="1:3">
      <c r="A14" s="167" t="s">
        <v>1974</v>
      </c>
      <c r="B14" s="166" t="s">
        <v>1883</v>
      </c>
      <c r="C14" s="157" t="s">
        <v>1975</v>
      </c>
    </row>
    <row r="15" spans="1:3">
      <c r="A15" s="167" t="s">
        <v>1984</v>
      </c>
      <c r="B15" s="166" t="s">
        <v>1883</v>
      </c>
      <c r="C15" s="157" t="s">
        <v>1985</v>
      </c>
    </row>
    <row r="16" spans="1:3">
      <c r="A16" s="167" t="s">
        <v>17115</v>
      </c>
      <c r="B16" s="166" t="s">
        <v>1883</v>
      </c>
      <c r="C16" s="157" t="s">
        <v>1992</v>
      </c>
    </row>
    <row r="17" spans="1:3">
      <c r="A17" s="167" t="s">
        <v>17118</v>
      </c>
      <c r="B17" s="166" t="s">
        <v>1883</v>
      </c>
      <c r="C17" s="157" t="s">
        <v>1996</v>
      </c>
    </row>
    <row r="18" spans="1:3">
      <c r="A18" s="167" t="s">
        <v>2003</v>
      </c>
      <c r="B18" s="166" t="s">
        <v>1883</v>
      </c>
      <c r="C18" s="157" t="s">
        <v>2004</v>
      </c>
    </row>
    <row r="19" spans="1:3">
      <c r="A19" s="167" t="s">
        <v>2012</v>
      </c>
      <c r="B19" s="166" t="s">
        <v>1883</v>
      </c>
      <c r="C19" s="157" t="s">
        <v>2013</v>
      </c>
    </row>
    <row r="20" spans="1:3">
      <c r="A20" s="167" t="s">
        <v>2021</v>
      </c>
      <c r="B20" s="166" t="s">
        <v>1883</v>
      </c>
      <c r="C20" s="157" t="s">
        <v>2022</v>
      </c>
    </row>
    <row r="21" spans="1:3">
      <c r="A21" s="167" t="s">
        <v>2026</v>
      </c>
      <c r="B21" s="166" t="s">
        <v>1883</v>
      </c>
      <c r="C21" s="157" t="s">
        <v>2027</v>
      </c>
    </row>
    <row r="22" spans="1:3">
      <c r="A22" s="167" t="s">
        <v>2032</v>
      </c>
      <c r="B22" s="166" t="s">
        <v>1883</v>
      </c>
      <c r="C22" s="157" t="s">
        <v>2033</v>
      </c>
    </row>
    <row r="23" spans="1:3">
      <c r="A23" s="167" t="s">
        <v>2036</v>
      </c>
      <c r="B23" s="166" t="s">
        <v>1883</v>
      </c>
      <c r="C23" s="157" t="s">
        <v>2037</v>
      </c>
    </row>
    <row r="24" spans="1:3">
      <c r="A24" s="170" t="s">
        <v>2043</v>
      </c>
      <c r="B24" s="222" t="s">
        <v>1883</v>
      </c>
      <c r="C24" s="553" t="s">
        <v>2044</v>
      </c>
    </row>
    <row r="25" spans="1:3">
      <c r="A25" s="170" t="s">
        <v>2050</v>
      </c>
      <c r="B25" s="222" t="s">
        <v>1883</v>
      </c>
      <c r="C25" s="553" t="s">
        <v>2051</v>
      </c>
    </row>
    <row r="26" spans="1:3">
      <c r="A26" s="170" t="s">
        <v>2060</v>
      </c>
      <c r="B26" s="222" t="s">
        <v>1883</v>
      </c>
      <c r="C26" s="553" t="s">
        <v>2061</v>
      </c>
    </row>
    <row r="27" spans="1:3">
      <c r="A27" s="170" t="s">
        <v>2065</v>
      </c>
      <c r="B27" s="222" t="s">
        <v>1883</v>
      </c>
      <c r="C27" s="553" t="s">
        <v>2066</v>
      </c>
    </row>
    <row r="28" spans="1:3">
      <c r="A28" s="170" t="s">
        <v>2071</v>
      </c>
      <c r="B28" s="222" t="s">
        <v>1883</v>
      </c>
      <c r="C28" s="553" t="s">
        <v>2072</v>
      </c>
    </row>
    <row r="29" spans="1:3">
      <c r="A29" s="170" t="s">
        <v>2078</v>
      </c>
      <c r="B29" s="222" t="s">
        <v>1883</v>
      </c>
      <c r="C29" s="553" t="s">
        <v>2079</v>
      </c>
    </row>
    <row r="30" spans="1:3">
      <c r="A30" s="170" t="s">
        <v>2085</v>
      </c>
      <c r="B30" s="222" t="s">
        <v>1883</v>
      </c>
      <c r="C30" s="553" t="s">
        <v>2086</v>
      </c>
    </row>
    <row r="31" spans="1:3">
      <c r="A31" s="170" t="s">
        <v>2090</v>
      </c>
      <c r="B31" s="222" t="s">
        <v>1883</v>
      </c>
      <c r="C31" s="553" t="s">
        <v>2091</v>
      </c>
    </row>
    <row r="32" spans="1:3">
      <c r="A32" s="170" t="s">
        <v>2098</v>
      </c>
      <c r="B32" s="222" t="s">
        <v>1883</v>
      </c>
      <c r="C32" s="553" t="s">
        <v>2099</v>
      </c>
    </row>
    <row r="33" spans="1:3">
      <c r="A33" s="170" t="s">
        <v>2101</v>
      </c>
      <c r="B33" s="222" t="s">
        <v>1883</v>
      </c>
      <c r="C33" s="553" t="s">
        <v>2102</v>
      </c>
    </row>
    <row r="34" spans="1:3">
      <c r="A34" s="170" t="s">
        <v>2104</v>
      </c>
      <c r="B34" s="222" t="s">
        <v>1883</v>
      </c>
      <c r="C34" s="553" t="s">
        <v>2105</v>
      </c>
    </row>
    <row r="35" spans="1:3">
      <c r="A35" s="170" t="s">
        <v>2108</v>
      </c>
      <c r="B35" s="222" t="s">
        <v>1883</v>
      </c>
      <c r="C35" s="553" t="s">
        <v>2109</v>
      </c>
    </row>
  </sheetData>
  <autoFilter ref="A1:C35" xr:uid="{074F8E6D-3F27-4552-B139-E177241C821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3" t="s">
        <v>70</v>
      </c>
      <c r="B1" s="961" t="s">
        <v>73</v>
      </c>
      <c r="C1" s="962" t="s">
        <v>3</v>
      </c>
      <c r="D1" s="961"/>
      <c r="E1" s="961"/>
      <c r="F1" s="961"/>
      <c r="G1" s="961"/>
      <c r="H1" s="961"/>
      <c r="I1" s="961"/>
      <c r="J1" s="961"/>
      <c r="K1" s="961"/>
      <c r="L1" s="961"/>
      <c r="M1" s="961"/>
      <c r="N1" s="961"/>
      <c r="O1" s="961"/>
      <c r="P1" s="961"/>
      <c r="Q1" s="961"/>
      <c r="R1" s="961"/>
      <c r="S1" s="961"/>
      <c r="T1" s="963" t="s">
        <v>23</v>
      </c>
      <c r="U1" s="964" t="s">
        <v>24</v>
      </c>
      <c r="V1" s="963" t="s">
        <v>74</v>
      </c>
      <c r="W1" s="965" t="s">
        <v>75</v>
      </c>
      <c r="X1" s="964" t="s">
        <v>25</v>
      </c>
      <c r="Y1" s="964" t="s">
        <v>26</v>
      </c>
      <c r="Z1" s="963" t="s">
        <v>27</v>
      </c>
      <c r="AA1" s="966" t="s">
        <v>76</v>
      </c>
      <c r="AB1" s="960" t="s">
        <v>77</v>
      </c>
      <c r="AC1" s="960" t="s">
        <v>78</v>
      </c>
      <c r="AD1" s="963" t="s">
        <v>28</v>
      </c>
      <c r="AE1" s="963" t="s">
        <v>29</v>
      </c>
      <c r="AF1" s="963" t="s">
        <v>79</v>
      </c>
      <c r="AG1" s="963" t="s">
        <v>30</v>
      </c>
      <c r="AH1" s="963" t="s">
        <v>31</v>
      </c>
      <c r="AI1" s="964" t="s">
        <v>32</v>
      </c>
      <c r="AJ1" s="963" t="s">
        <v>33</v>
      </c>
      <c r="AK1" s="963" t="s">
        <v>80</v>
      </c>
      <c r="AL1" s="964" t="s">
        <v>34</v>
      </c>
      <c r="AM1" s="963" t="s">
        <v>81</v>
      </c>
      <c r="AN1" s="963" t="s">
        <v>82</v>
      </c>
      <c r="AO1" s="963" t="s">
        <v>83</v>
      </c>
      <c r="AP1" s="963" t="s">
        <v>35</v>
      </c>
      <c r="AQ1" t="s">
        <v>4</v>
      </c>
      <c r="AS1" t="s">
        <v>5</v>
      </c>
      <c r="AU1" s="969" t="s">
        <v>84</v>
      </c>
      <c r="AV1" s="970"/>
      <c r="AW1" s="606" t="s">
        <v>85</v>
      </c>
      <c r="AX1" s="606" t="s">
        <v>86</v>
      </c>
    </row>
    <row r="2" spans="1:50" ht="13.25" customHeight="1">
      <c r="A2" s="973"/>
      <c r="B2" s="961"/>
      <c r="C2" s="971" t="s">
        <v>9</v>
      </c>
      <c r="D2" s="963" t="s">
        <v>87</v>
      </c>
      <c r="E2" s="963" t="s">
        <v>88</v>
      </c>
      <c r="F2" s="963" t="s">
        <v>10</v>
      </c>
      <c r="G2" s="963" t="s">
        <v>11</v>
      </c>
      <c r="H2" s="963" t="s">
        <v>89</v>
      </c>
      <c r="I2" s="963" t="s">
        <v>90</v>
      </c>
      <c r="J2" s="963" t="s">
        <v>14</v>
      </c>
      <c r="K2" s="963" t="s">
        <v>91</v>
      </c>
      <c r="L2" s="963" t="s">
        <v>15</v>
      </c>
      <c r="M2" s="963" t="s">
        <v>16</v>
      </c>
      <c r="N2" s="963" t="s">
        <v>17</v>
      </c>
      <c r="O2" s="972" t="s">
        <v>19617</v>
      </c>
      <c r="P2" s="972" t="s">
        <v>19618</v>
      </c>
      <c r="Q2" s="966" t="s">
        <v>20</v>
      </c>
      <c r="R2" s="960" t="s">
        <v>21</v>
      </c>
      <c r="S2" s="963" t="s">
        <v>22</v>
      </c>
      <c r="T2" s="963"/>
      <c r="U2" s="964"/>
      <c r="V2" s="963"/>
      <c r="W2" s="965"/>
      <c r="X2" s="964"/>
      <c r="Y2" s="964"/>
      <c r="Z2" s="963"/>
      <c r="AA2" s="960"/>
      <c r="AB2" s="960"/>
      <c r="AC2" s="960"/>
      <c r="AD2" s="963"/>
      <c r="AE2" s="963"/>
      <c r="AF2" s="963"/>
      <c r="AG2" s="963"/>
      <c r="AH2" s="963"/>
      <c r="AI2" s="964"/>
      <c r="AJ2" s="963"/>
      <c r="AK2" s="963"/>
      <c r="AL2" s="964"/>
      <c r="AM2" s="963"/>
      <c r="AN2" s="963"/>
      <c r="AO2" s="963"/>
      <c r="AP2" s="963"/>
      <c r="AQ2" s="967" t="s">
        <v>36</v>
      </c>
      <c r="AR2" s="963" t="s">
        <v>37</v>
      </c>
      <c r="AS2" s="963" t="s">
        <v>12156</v>
      </c>
      <c r="AT2" s="963" t="s">
        <v>12157</v>
      </c>
      <c r="AU2" s="974" t="s">
        <v>128</v>
      </c>
      <c r="AV2" s="976" t="s">
        <v>19616</v>
      </c>
      <c r="AW2" s="961" t="s">
        <v>92</v>
      </c>
      <c r="AX2" s="961" t="s">
        <v>93</v>
      </c>
    </row>
    <row r="3" spans="1:50" ht="41" customHeight="1">
      <c r="A3" s="973"/>
      <c r="B3" s="961"/>
      <c r="C3" s="971"/>
      <c r="D3" s="963"/>
      <c r="E3" s="963"/>
      <c r="F3" s="963"/>
      <c r="G3" s="963"/>
      <c r="H3" s="963"/>
      <c r="I3" s="963"/>
      <c r="J3" s="963"/>
      <c r="K3" s="963"/>
      <c r="L3" s="963"/>
      <c r="M3" s="963"/>
      <c r="N3" s="963"/>
      <c r="O3" s="972"/>
      <c r="P3" s="972"/>
      <c r="Q3" s="960"/>
      <c r="R3" s="960"/>
      <c r="S3" s="963"/>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63"/>
      <c r="AS3" s="963"/>
      <c r="AT3" s="961"/>
      <c r="AU3" s="975"/>
      <c r="AV3" s="977"/>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2022-03-30T05:05:04Z</dcterms:modified>
</cp:coreProperties>
</file>