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78B1D66C-323D-418B-AF58-BC6E67863F74}"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【別表】自治体コード!$A$1:$C$43</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<sst xmlns="http://schemas.openxmlformats.org/spreadsheetml/2006/main" count="198365" uniqueCount="19620">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</sst>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5" customHeight="1">
      <c r="D11" s="939" t="s">
        <v>18650</v>
      </c>
      <c r="E11" s="940"/>
      <c r="F11" s="940"/>
      <c r="G11" s="940"/>
      <c r="H11" s="940"/>
      <c r="I11" s="940"/>
      <c r="J11" s="940"/>
      <c r="K11" s="940"/>
      <c r="L11" s="940"/>
      <c r="M11" s="940"/>
      <c r="N11" s="941" t="str">
        <f>VLOOKUP($D$11,調査票①!$A$2:$HK$1735,2,FALSE)&amp;""</f>
        <v>岐阜県</v>
      </c>
      <c r="O11" s="941"/>
      <c r="P11" s="941"/>
      <c r="Q11" s="941"/>
      <c r="R11" s="941"/>
      <c r="S11" s="941"/>
      <c r="T11" s="941"/>
      <c r="U11" s="941"/>
      <c r="V11" s="941"/>
      <c r="W11" s="941"/>
      <c r="X11" s="941"/>
      <c r="Y11" s="941"/>
      <c r="Z11" s="941"/>
      <c r="AA11" s="941" t="str">
        <f>VLOOKUP($D$11,調査票①!$A$3:$HK$1735,3,FALSE)&amp;""</f>
        <v>岐阜市</v>
      </c>
      <c r="AB11" s="941"/>
      <c r="AC11" s="941"/>
      <c r="AD11" s="941"/>
      <c r="AE11" s="941"/>
      <c r="AF11" s="941"/>
      <c r="AG11" s="941"/>
      <c r="AH11" s="941"/>
      <c r="AI11" s="941"/>
      <c r="AJ11" s="941"/>
      <c r="AK11" s="817" t="str">
        <f>VLOOKUP($D$11,調査票①!$A$3:$HK$1735,4,FALSE)&amp;""</f>
        <v>中　 核　 市</v>
      </c>
      <c r="AL11" s="817"/>
      <c r="AM11" s="817"/>
      <c r="AN11" s="817"/>
      <c r="AO11" s="817"/>
      <c r="AP11" s="817"/>
      <c r="AQ11" s="817"/>
      <c r="AR11" s="87"/>
      <c r="AS11" s="87"/>
      <c r="AT11" s="85"/>
      <c r="AW11" s="85"/>
      <c r="AX11" s="85"/>
      <c r="AY11" s="85"/>
      <c r="AZ11" s="85"/>
      <c r="BA11" s="85"/>
      <c r="BB11" s="85"/>
      <c r="BC11" s="85"/>
      <c r="BD11" s="85"/>
      <c r="CC11" s="80"/>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設置予定</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令和3年度</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5" customHeight="1">
      <c r="C22" s="96"/>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5"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0.91379310344827591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5"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5" customHeight="1">
      <c r="C26" s="96"/>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0.92156862745098034</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5"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0.35483870967741937</v>
      </c>
      <c r="DX27" s="723"/>
      <c r="DY27" s="723"/>
      <c r="DZ27" s="724"/>
      <c r="EA27" s="722">
        <f>VLOOKUP($AK$11,導入率!A4:AX37,44,FALSE)</f>
        <v>0.82258064516129037</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5" customHeight="1">
      <c r="C28" s="96"/>
      <c r="D28" s="845" t="s">
        <v>12335</v>
      </c>
      <c r="E28" s="846"/>
      <c r="F28" s="846"/>
      <c r="G28" s="846"/>
      <c r="H28" s="846"/>
      <c r="I28" s="846"/>
      <c r="J28" s="846"/>
      <c r="K28" s="846"/>
      <c r="L28" s="846"/>
      <c r="M28" s="847"/>
      <c r="N28" s="826" t="str">
        <f>VLOOKUP($D$11,調査票①!$A$3:$HK$1735,15,FALSE)&amp;""</f>
        <v>○</v>
      </c>
      <c r="O28" s="826"/>
      <c r="P28" s="826"/>
      <c r="Q28" s="826"/>
      <c r="R28" s="827" t="str">
        <f>VLOOKUP($D$11,調査票①!$A$3:$HK$1735,16,FALSE)&amp;""</f>
        <v>代表電話の応対においては、多様化・高度化する市民ニーズに的確に対応するために、今後も経験に基づく高度な知識を持つ正規職員が最低１名は必要である。</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0.9107142857142857</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5"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5" t="s">
        <v>12336</v>
      </c>
      <c r="E30" s="846"/>
      <c r="F30" s="846"/>
      <c r="G30" s="846"/>
      <c r="H30" s="846"/>
      <c r="I30" s="846"/>
      <c r="J30" s="846"/>
      <c r="K30" s="846"/>
      <c r="L30" s="846"/>
      <c r="M30" s="847"/>
      <c r="N30" s="826" t="str">
        <f>VLOOKUP($D$11,調査票①!$A$3:$HK$1735,18,FALSE)&amp;""</f>
        <v>○</v>
      </c>
      <c r="O30" s="826"/>
      <c r="P30" s="826"/>
      <c r="Q30" s="826"/>
      <c r="R30" s="827" t="str">
        <f>VLOOKUP($D$11,調査票①!$A$3:$HK$1735,19,FALSE)&amp;""</f>
        <v>単に移動の手段としてではなく、執務室の代替機能としての側面もあり、機密性を保つためには、今後も「直営」かつ「専任有」で運用していく予定。</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0.77966101694915257</v>
      </c>
      <c r="BK30" s="834"/>
      <c r="BL30" s="834"/>
      <c r="BM30" s="834"/>
      <c r="BN30" s="835"/>
      <c r="BO30" s="839">
        <f>調査票①!Q1731</f>
        <v>0.88569321533923306</v>
      </c>
      <c r="BP30" s="840"/>
      <c r="BQ30" s="840"/>
      <c r="BR30" s="841"/>
      <c r="BS30" s="98"/>
      <c r="BT30" s="100"/>
      <c r="EQ30" s="80"/>
    </row>
    <row r="31" spans="3:149" ht="19.75"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0.96363636363636362</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0.9838709677419355</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5" customHeight="1">
      <c r="C36" s="96"/>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0.88709677419354838</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5"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実施済</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5" customHeight="1">
      <c r="C38" s="96"/>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0.61290322580645162</v>
      </c>
      <c r="EJ38" s="723"/>
      <c r="EK38" s="723"/>
      <c r="EL38" s="724"/>
      <c r="EM38" s="722">
        <f>VLOOKUP($AK$11,導入率!A4:AX37,46,FALSE)</f>
        <v>0.11290322580645161</v>
      </c>
      <c r="EN38" s="723"/>
      <c r="EO38" s="723"/>
      <c r="EP38" s="724"/>
      <c r="EQ38" s="98"/>
      <c r="ER38" s="98"/>
      <c r="ES38" s="100"/>
    </row>
    <row r="39" spans="3:149" ht="19.75"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v>
      </c>
      <c r="DC39" s="871"/>
      <c r="DD39" s="871"/>
      <c r="DE39" s="872"/>
      <c r="DF39" s="870" t="str">
        <f>VLOOKUP($D$11,調査票①!$A$3:$HK$1735,202,FALSE)&amp;""</f>
        <v>○</v>
      </c>
      <c r="DG39" s="871"/>
      <c r="DH39" s="871"/>
      <c r="DI39" s="872"/>
      <c r="DJ39" s="870" t="str">
        <f>VLOOKUP($D$11,調査票①!$A$3:$HK$1735,203,FALSE)&amp;""</f>
        <v>○</v>
      </c>
      <c r="DK39" s="871"/>
      <c r="DL39" s="871"/>
      <c r="DM39" s="872"/>
      <c r="DN39" s="870" t="str">
        <f>VLOOKUP($D$11,調査票①!$A$3:$HK$1735,204,FALSE)&amp;""</f>
        <v>○</v>
      </c>
      <c r="DO39" s="871"/>
      <c r="DP39" s="871"/>
      <c r="DQ39" s="872"/>
      <c r="DR39" s="870" t="str">
        <f>VLOOKUP($D$11,調査票①!$A$3:$HK$1735,206,FALSE)&amp;""</f>
        <v>○</v>
      </c>
      <c r="DS39" s="871"/>
      <c r="DT39" s="871"/>
      <c r="DU39" s="872"/>
      <c r="DV39" s="870" t="str">
        <f>VLOOKUP($D$11,調査票①!$A$3:$HK$1735,207,FALSE)&amp;""</f>
        <v>○</v>
      </c>
      <c r="DW39" s="871"/>
      <c r="DX39" s="871"/>
      <c r="DY39" s="872"/>
      <c r="DZ39" s="870" t="str">
        <f>VLOOKUP($D$11,調査票①!$A$3:$HK$1735,208,FALSE)&amp;""</f>
        <v>　</v>
      </c>
      <c r="EA39" s="871"/>
      <c r="EB39" s="871"/>
      <c r="EC39" s="872"/>
      <c r="ED39" s="870" t="str">
        <f>VLOOKUP($D$11,調査票①!$A$3:$HK$1735,209,FALSE)&amp;""</f>
        <v>　</v>
      </c>
      <c r="EE39" s="871"/>
      <c r="EF39" s="871"/>
      <c r="EG39" s="872"/>
      <c r="EH39" s="110"/>
      <c r="EI39" s="725"/>
      <c r="EJ39" s="726"/>
      <c r="EK39" s="726"/>
      <c r="EL39" s="727"/>
      <c r="EM39" s="725"/>
      <c r="EN39" s="726"/>
      <c r="EO39" s="726"/>
      <c r="EP39" s="727"/>
      <c r="EQ39" s="98"/>
      <c r="ER39" s="98"/>
      <c r="ES39" s="100"/>
    </row>
    <row r="40" spans="3:149" ht="19.75"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学校用務という業務の特性から、従来より専任の正規職員が対応しているが、現在は職員定数の適正化および正規不補充より、パートタイム会計年度任用職員化を進めている。今後も同様の対応になると思われる。</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0.3392857142857143</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5"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5"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5"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5"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5"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5"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5"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5"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5"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5"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5"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0.9838709677419355</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0"/>
      <c r="EK66" s="753">
        <f>VLOOKUP($AK$11,導入率!A4:AX37,47,FALSE)</f>
        <v>0.5161290322580645</v>
      </c>
      <c r="EL66" s="754"/>
      <c r="EM66" s="754"/>
      <c r="EN66" s="755"/>
      <c r="EO66" s="753">
        <f>VLOOKUP($AK$11,導入率!A4:AX37,48,FALSE)</f>
        <v>9.6774193548387094E-2</v>
      </c>
      <c r="EP66" s="754"/>
      <c r="EQ66" s="754"/>
      <c r="ER66" s="755"/>
      <c r="ES66" s="100"/>
    </row>
    <row r="67" spans="3:203" ht="20.399999999999999" customHeight="1">
      <c r="C67" s="96"/>
      <c r="D67" s="701" t="s">
        <v>12377</v>
      </c>
      <c r="E67" s="701"/>
      <c r="F67" s="701"/>
      <c r="G67" s="701"/>
      <c r="H67" s="701"/>
      <c r="I67" s="701"/>
      <c r="J67" s="701"/>
      <c r="K67" s="701"/>
      <c r="L67" s="707" t="str">
        <f>VLOOKUP($D$11,調査票①!$A$3:$HK$1735,56,FALSE)&amp;""</f>
        <v>10</v>
      </c>
      <c r="M67" s="707"/>
      <c r="N67" s="707"/>
      <c r="O67" s="707">
        <f>VLOOKUP($D$11,調査票①!$A$3:$HK$1735,57,FALSE)</f>
        <v>10</v>
      </c>
      <c r="P67" s="707"/>
      <c r="Q67" s="707"/>
      <c r="R67" s="708">
        <f>VLOOKUP($D$11,調査票①!$A$3:$HK$1735,58,FALSE)</f>
        <v>1</v>
      </c>
      <c r="S67" s="708"/>
      <c r="T67" s="708"/>
      <c r="U67" s="709" t="str">
        <f>VLOOKUP($D$11,調査票①!$A$3:$HK$1735,59,FALSE)&amp;""</f>
        <v>　</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0.66034155597722966</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0"/>
      <c r="EK67" s="756"/>
      <c r="EL67" s="757"/>
      <c r="EM67" s="757"/>
      <c r="EN67" s="758"/>
      <c r="EO67" s="756"/>
      <c r="EP67" s="757"/>
      <c r="EQ67" s="757"/>
      <c r="ER67" s="758"/>
      <c r="ES67" s="100"/>
    </row>
    <row r="68" spans="3:203" ht="20.399999999999999"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399999999999999" customHeight="1">
      <c r="C69" s="96"/>
      <c r="D69" s="749" t="s">
        <v>12378</v>
      </c>
      <c r="E69" s="701"/>
      <c r="F69" s="701"/>
      <c r="G69" s="701"/>
      <c r="H69" s="701"/>
      <c r="I69" s="701"/>
      <c r="J69" s="701"/>
      <c r="K69" s="701"/>
      <c r="L69" s="707" t="str">
        <f>VLOOKUP($D$11,調査票①!$A$3:$HK$1735,62,FALSE)&amp;""</f>
        <v>18</v>
      </c>
      <c r="M69" s="707"/>
      <c r="N69" s="707"/>
      <c r="O69" s="707">
        <f>VLOOKUP($D$11,調査票①!$A$3:$HK$1735,63,FALSE)</f>
        <v>11</v>
      </c>
      <c r="P69" s="707"/>
      <c r="Q69" s="707"/>
      <c r="R69" s="772">
        <f>VLOOKUP($D$11,調査票①!$A$3:$HK$1735,64,FALSE)</f>
        <v>0.61111111111111116</v>
      </c>
      <c r="S69" s="772"/>
      <c r="T69" s="772"/>
      <c r="U69" s="709" t="str">
        <f>VLOOKUP($D$11,調査票①!$A$3:$HK$1735,65,FALSE)&amp;""</f>
        <v>事務量がわずかなため導入予定なし。</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0.65310821181887946</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399999999999999"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399999999999999" customHeight="1">
      <c r="C71" s="96"/>
      <c r="D71" s="701" t="s">
        <v>12379</v>
      </c>
      <c r="E71" s="701"/>
      <c r="F71" s="701"/>
      <c r="G71" s="701"/>
      <c r="H71" s="701"/>
      <c r="I71" s="701"/>
      <c r="J71" s="701"/>
      <c r="K71" s="701"/>
      <c r="L71" s="707">
        <f>VLOOKUP($D$11,調査票①!$A$3:$HK$1735,68,FALSE)</f>
        <v>5</v>
      </c>
      <c r="M71" s="707"/>
      <c r="N71" s="707"/>
      <c r="O71" s="707">
        <f>VLOOKUP($D$11,調査票①!$A$3:$HK$1735,69,FALSE)</f>
        <v>5</v>
      </c>
      <c r="P71" s="707"/>
      <c r="Q71" s="707"/>
      <c r="R71" s="751">
        <f>VLOOKUP($D$11,調査票①!$A$3:$HK$1735,70,FALSE)</f>
        <v>1</v>
      </c>
      <c r="S71" s="751"/>
      <c r="T71" s="751"/>
      <c r="U71" s="709" t="str">
        <f>VLOOKUP($D$11,調査票①!$A$3:$HK$1735,71,FALSE)&amp;""</f>
        <v>　</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0.77593360995850624</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399999999999999"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399999999999999"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0.21428571428571427</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399999999999999"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735" t="s">
        <v>12381</v>
      </c>
      <c r="E75" s="736"/>
      <c r="F75" s="736"/>
      <c r="G75" s="736"/>
      <c r="H75" s="736"/>
      <c r="I75" s="736"/>
      <c r="J75" s="736"/>
      <c r="K75" s="736"/>
      <c r="L75" s="707">
        <f>VLOOKUP($D$11,調査票①!$A$3:$HK$1735,80,FALSE)</f>
        <v>0</v>
      </c>
      <c r="M75" s="707"/>
      <c r="N75" s="707"/>
      <c r="O75" s="707">
        <f>VLOOKUP($D$11,調査票①!$A$3:$HK$1735,81,FALSE)</f>
        <v>0</v>
      </c>
      <c r="P75" s="707"/>
      <c r="Q75" s="707"/>
      <c r="R75" s="708" t="str">
        <f>VLOOKUP($D$11,調査票①!$A$3:$HK$1735,82,FALSE)</f>
        <v/>
      </c>
      <c r="S75" s="708"/>
      <c r="T75" s="708"/>
      <c r="U75" s="709" t="str">
        <f>VLOOKUP($D$11,調査票①!$A$3:$HK$1735,83,FALSE)&amp;""</f>
        <v>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0.967741935483871</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5" t="s">
        <v>12382</v>
      </c>
      <c r="E77" s="736"/>
      <c r="F77" s="736"/>
      <c r="G77" s="736"/>
      <c r="H77" s="736"/>
      <c r="I77" s="736"/>
      <c r="J77" s="736"/>
      <c r="K77" s="736"/>
      <c r="L77" s="707">
        <f>VLOOKUP($D$11,調査票①!$A$3:$HK$1735,86,FALSE)</f>
        <v>1</v>
      </c>
      <c r="M77" s="707"/>
      <c r="N77" s="707"/>
      <c r="O77" s="707">
        <f>VLOOKUP($D$11,調査票①!$A$3:$HK$1735,87,FALSE)</f>
        <v>1</v>
      </c>
      <c r="P77" s="707"/>
      <c r="Q77" s="707"/>
      <c r="R77" s="708">
        <f>VLOOKUP($D$11,調査票①!$A$3:$HK$1735,88,FALSE)</f>
        <v>1</v>
      </c>
      <c r="S77" s="708"/>
      <c r="T77" s="708"/>
      <c r="U77" s="709" t="str">
        <f>VLOOKUP($D$11,調査票①!$A$3:$HK$1735,89,FALSE)&amp;""</f>
        <v>　</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0.88793103448275867</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1" t="s">
        <v>12383</v>
      </c>
      <c r="E79" s="701"/>
      <c r="F79" s="701"/>
      <c r="G79" s="701"/>
      <c r="H79" s="701"/>
      <c r="I79" s="701"/>
      <c r="J79" s="701"/>
      <c r="K79" s="701"/>
      <c r="L79" s="707" t="str">
        <f>VLOOKUP($D$11,調査票①!$A$3:$HK$1735,92,FALSE)&amp;""</f>
        <v>1</v>
      </c>
      <c r="M79" s="707"/>
      <c r="N79" s="707"/>
      <c r="O79" s="707">
        <f>VLOOKUP($D$11,調査票①!$A$3:$HK$1735,93,FALSE)</f>
        <v>1</v>
      </c>
      <c r="P79" s="707"/>
      <c r="Q79" s="707"/>
      <c r="R79" s="708">
        <f>VLOOKUP($D$11,調査票①!$A$3:$HK$1735,94,FALSE)</f>
        <v>1</v>
      </c>
      <c r="S79" s="708"/>
      <c r="T79" s="708"/>
      <c r="U79" s="709" t="str">
        <f>VLOOKUP($D$11,調査票①!$A$3:$HK$1735,95,FALSE)&amp;""</f>
        <v>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0.72164948453608246</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1" t="s">
        <v>12384</v>
      </c>
      <c r="E81" s="701"/>
      <c r="F81" s="701"/>
      <c r="G81" s="701"/>
      <c r="H81" s="701"/>
      <c r="I81" s="701"/>
      <c r="J81" s="701"/>
      <c r="K81" s="701"/>
      <c r="L81" s="707">
        <f>VLOOKUP($D$11,調査票①!$A$3:$HK$1735,98,FALSE)</f>
        <v>0</v>
      </c>
      <c r="M81" s="707"/>
      <c r="N81" s="707"/>
      <c r="O81" s="707">
        <f>VLOOKUP($D$11,調査票①!$A$3:$HK$1735,99,FALSE)</f>
        <v>0</v>
      </c>
      <c r="P81" s="707"/>
      <c r="Q81" s="707"/>
      <c r="R81" s="708" t="str">
        <f>VLOOKUP($D$11,調査票①!$A$3:$HK$1735,100,FALSE)</f>
        <v/>
      </c>
      <c r="S81" s="708"/>
      <c r="T81" s="708"/>
      <c r="U81" s="709" t="str">
        <f>VLOOKUP($D$11,調査票①!$A$3:$HK$1735,101,FALSE)&amp;""</f>
        <v>　</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0.65306122448979587</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8"/>
      <c r="EQ82" s="98"/>
      <c r="ER82" s="98"/>
      <c r="ES82" s="100"/>
    </row>
    <row r="83" spans="3:149" ht="20.399999999999999" customHeight="1">
      <c r="C83" s="96"/>
      <c r="D83" s="736" t="s">
        <v>12385</v>
      </c>
      <c r="E83" s="736"/>
      <c r="F83" s="736"/>
      <c r="G83" s="736"/>
      <c r="H83" s="736"/>
      <c r="I83" s="736"/>
      <c r="J83" s="736"/>
      <c r="K83" s="736"/>
      <c r="L83" s="707">
        <f>VLOOKUP($D$11,調査票①!$A$3:$HK$1735,104,FALSE)</f>
        <v>2</v>
      </c>
      <c r="M83" s="707"/>
      <c r="N83" s="707"/>
      <c r="O83" s="707">
        <f>VLOOKUP($D$11,調査票①!$A$3:$HK$1735,105,FALSE)</f>
        <v>2</v>
      </c>
      <c r="P83" s="707"/>
      <c r="Q83" s="707"/>
      <c r="R83" s="708">
        <f>VLOOKUP($D$11,調査票①!$A$3:$HK$1735,106,FALSE)</f>
        <v>1</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0.63888888888888884</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399999999999999"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399999999999999"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0.52631578947368418</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399999999999999"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1" t="s">
        <v>12387</v>
      </c>
      <c r="E87" s="701"/>
      <c r="F87" s="701"/>
      <c r="G87" s="701"/>
      <c r="H87" s="701"/>
      <c r="I87" s="701"/>
      <c r="J87" s="701"/>
      <c r="K87" s="701"/>
      <c r="L87" s="707">
        <f>VLOOKUP($D$11,調査票①!$A$3:$HK$1735,116,FALSE)</f>
        <v>6</v>
      </c>
      <c r="M87" s="707"/>
      <c r="N87" s="707"/>
      <c r="O87" s="707">
        <f>VLOOKUP($D$11,調査票①!$A$3:$HK$1735,117,FALSE)</f>
        <v>3</v>
      </c>
      <c r="P87" s="707"/>
      <c r="Q87" s="707"/>
      <c r="R87" s="708">
        <f>VLOOKUP($D$11,調査票①!$A$3:$HK$1735,118,FALSE)</f>
        <v>0.5</v>
      </c>
      <c r="S87" s="708"/>
      <c r="T87" s="708"/>
      <c r="U87" s="709" t="str">
        <f>VLOOKUP($D$11,調査票①!$A$3:$HK$1735,119,FALSE)&amp;""</f>
        <v>各々の公園の現況や整備事業の実施状況などから、指定管理者制度の導入について現時点で適さないと判断したため。</v>
      </c>
      <c r="V87" s="710"/>
      <c r="W87" s="710"/>
      <c r="X87" s="710"/>
      <c r="Y87" s="710"/>
      <c r="Z87" s="710"/>
      <c r="AA87" s="710"/>
      <c r="AB87" s="710"/>
      <c r="AC87" s="710"/>
      <c r="AD87" s="710"/>
      <c r="AE87" s="710"/>
      <c r="AF87" s="710"/>
      <c r="AG87" s="710"/>
      <c r="AH87" s="710"/>
      <c r="AI87" s="711"/>
      <c r="AJ87" s="750">
        <f>VLOOKUP($D$11,調査票①!$A$3:$HK$1735,120,FALSE)</f>
        <v>1</v>
      </c>
      <c r="AK87" s="750"/>
      <c r="AL87" s="750"/>
      <c r="AM87" s="716" t="str">
        <f>VLOOKUP($D$11,調査票①!$A$3:$HK$1735,121,FALSE)&amp;""</f>
        <v>整備事業の実施状況などから、指定管理者制度の導入について現時点で適さないと判断したため。</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0.57089552238805974</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1" t="s">
        <v>12388</v>
      </c>
      <c r="E89" s="701"/>
      <c r="F89" s="701"/>
      <c r="G89" s="701"/>
      <c r="H89" s="701"/>
      <c r="I89" s="701"/>
      <c r="J89" s="701"/>
      <c r="K89" s="701"/>
      <c r="L89" s="707">
        <f>VLOOKUP($D$11,調査票①!$A$3:$HK$1735,122,FALSE)</f>
        <v>31</v>
      </c>
      <c r="M89" s="707"/>
      <c r="N89" s="707"/>
      <c r="O89" s="707">
        <f>VLOOKUP($D$11,調査票①!$A$3:$HK$1735,123,FALSE)</f>
        <v>0</v>
      </c>
      <c r="P89" s="707"/>
      <c r="Q89" s="707"/>
      <c r="R89" s="708">
        <f>VLOOKUP($D$11,調査票①!$A$3:$HK$1735,124,FALSE)</f>
        <v>0</v>
      </c>
      <c r="S89" s="708"/>
      <c r="T89" s="708"/>
      <c r="U89" s="709" t="str">
        <f>VLOOKUP($D$11,調査票①!$A$3:$HK$1735,125,FALSE)&amp;""</f>
        <v>公営住宅管理の効率化や多様化する住民の居住ニーズへのきめ細やかな対応を行うには、指定管理者制度よりも、管理代行制度の方が管理権限そのものの代行が可能であるため。</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0.66197678508617652</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1" t="s">
        <v>12389</v>
      </c>
      <c r="E91" s="701"/>
      <c r="F91" s="701"/>
      <c r="G91" s="701"/>
      <c r="H91" s="701"/>
      <c r="I91" s="701"/>
      <c r="J91" s="701"/>
      <c r="K91" s="701"/>
      <c r="L91" s="707">
        <f>VLOOKUP($D$11,調査票①!$A$3:$HK$1735,128,FALSE)</f>
        <v>3</v>
      </c>
      <c r="M91" s="707"/>
      <c r="N91" s="707"/>
      <c r="O91" s="707">
        <f>VLOOKUP($D$11,調査票①!$A$3:$HK$1735,129,FALSE)</f>
        <v>3</v>
      </c>
      <c r="P91" s="707"/>
      <c r="Q91" s="707"/>
      <c r="R91" s="708">
        <f>VLOOKUP($D$11,調査票①!$A$3:$HK$1735,130,FALSE)</f>
        <v>1</v>
      </c>
      <c r="S91" s="708"/>
      <c r="T91" s="708"/>
      <c r="U91" s="709" t="str">
        <f>VLOOKUP($D$11,調査票①!$A$3:$HK$1735,131,FALSE)&amp;""</f>
        <v>　</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0.7321428571428571</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1" t="s">
        <v>12390</v>
      </c>
      <c r="E93" s="701"/>
      <c r="F93" s="701"/>
      <c r="G93" s="701"/>
      <c r="H93" s="701"/>
      <c r="I93" s="701"/>
      <c r="J93" s="701"/>
      <c r="K93" s="701"/>
      <c r="L93" s="707">
        <f>VLOOKUP($D$11,調査票①!$A$3:$HK$1735,134,FALSE)</f>
        <v>6</v>
      </c>
      <c r="M93" s="707"/>
      <c r="N93" s="707"/>
      <c r="O93" s="707">
        <f>VLOOKUP($D$11,調査票①!$A$3:$HK$1735,135,FALSE)</f>
        <v>0</v>
      </c>
      <c r="P93" s="707"/>
      <c r="Q93" s="707"/>
      <c r="R93" s="708">
        <f>VLOOKUP($D$11,調査票①!$A$3:$HK$1735,136,FALSE)</f>
        <v>0</v>
      </c>
      <c r="S93" s="708"/>
      <c r="T93" s="708"/>
      <c r="U93" s="709" t="str">
        <f>VLOOKUP($D$11,調査票①!$A$3:$HK$1735,137,FALSE)&amp;""</f>
        <v>業務の内容から直営管理が望ましい。</v>
      </c>
      <c r="V93" s="710"/>
      <c r="W93" s="710"/>
      <c r="X93" s="710"/>
      <c r="Y93" s="710"/>
      <c r="Z93" s="710"/>
      <c r="AA93" s="710"/>
      <c r="AB93" s="710"/>
      <c r="AC93" s="710"/>
      <c r="AD93" s="710"/>
      <c r="AE93" s="710"/>
      <c r="AF93" s="710"/>
      <c r="AG93" s="710"/>
      <c r="AH93" s="710"/>
      <c r="AI93" s="711"/>
      <c r="AJ93" s="701">
        <f>VLOOKUP($D$11,調査票①!$A$3:$HK$1735,138,FALSE)</f>
        <v>2</v>
      </c>
      <c r="AK93" s="701"/>
      <c r="AL93" s="701"/>
      <c r="AM93" s="716" t="str">
        <f>VLOOKUP($D$11,調査票①!$A$3:$HK$1735,139,FALSE)&amp;""</f>
        <v>安定的な業務運営に必要と考える。</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0.23843416370106763</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1" t="s">
        <v>12393</v>
      </c>
      <c r="E95" s="701"/>
      <c r="F95" s="701"/>
      <c r="G95" s="701"/>
      <c r="H95" s="701"/>
      <c r="I95" s="701"/>
      <c r="J95" s="701"/>
      <c r="K95" s="701"/>
      <c r="L95" s="707">
        <f>VLOOKUP($D$11,調査票①!$A$3:$HK$1735,140,FALSE)</f>
        <v>7</v>
      </c>
      <c r="M95" s="707"/>
      <c r="N95" s="707"/>
      <c r="O95" s="707">
        <f>VLOOKUP($D$11,調査票①!$A$3:$HK$1735,141,FALSE)</f>
        <v>0</v>
      </c>
      <c r="P95" s="707"/>
      <c r="Q95" s="707"/>
      <c r="R95" s="708">
        <f>VLOOKUP($D$11,調査票①!$A$3:$HK$1735,142,FALSE)</f>
        <v>0</v>
      </c>
      <c r="S95" s="708"/>
      <c r="T95" s="708"/>
      <c r="U95" s="709" t="str">
        <f>VLOOKUP($D$11,調査票①!$A$3:$HK$1735,143,FALSE)&amp;""</f>
        <v>市内学校との連携、中長期的な資料選書や収集計画、専門的な知識と人材の蓄積等の継続的なサービスを展開するための運営体制が必要なため、指定期間ごとに管理者が変更するリスクがある指定管理は導入しない。</v>
      </c>
      <c r="V95" s="710"/>
      <c r="W95" s="710"/>
      <c r="X95" s="710"/>
      <c r="Y95" s="710"/>
      <c r="Z95" s="710"/>
      <c r="AA95" s="710"/>
      <c r="AB95" s="710"/>
      <c r="AC95" s="710"/>
      <c r="AD95" s="710"/>
      <c r="AE95" s="710"/>
      <c r="AF95" s="710"/>
      <c r="AG95" s="710"/>
      <c r="AH95" s="710"/>
      <c r="AI95" s="711"/>
      <c r="AJ95" s="701">
        <f>VLOOKUP($D$11,調査票①!$A$3:$HK$1735,144,FALSE)</f>
        <v>7</v>
      </c>
      <c r="AK95" s="701"/>
      <c r="AL95" s="701"/>
      <c r="AM95" s="716" t="str">
        <f>VLOOKUP($D$11,調査票①!$A$3:$HK$1735,145,FALSE)&amp;""</f>
        <v>市内学校との連携、中長期的な資料選書や収集計画、専門的な知識と人材の蓄積等の継続的なサービスを展開するための運営体制が必要なため、指定期間ごとに管理者が変更するリスクがある指定管理は導入しない。</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0.12464589235127478</v>
      </c>
      <c r="BK95" s="723"/>
      <c r="BL95" s="723"/>
      <c r="BM95" s="723"/>
      <c r="BN95" s="724"/>
      <c r="BO95" s="728">
        <f>調査票①!EL1730</f>
        <v>0.20222513089005237</v>
      </c>
      <c r="BP95" s="729"/>
      <c r="BQ95" s="729"/>
      <c r="BR95" s="73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9" t="s">
        <v>12395</v>
      </c>
      <c r="E97" s="701"/>
      <c r="F97" s="701"/>
      <c r="G97" s="701"/>
      <c r="H97" s="701"/>
      <c r="I97" s="701"/>
      <c r="J97" s="701"/>
      <c r="K97" s="701"/>
      <c r="L97" s="707">
        <f>VLOOKUP($D$11,調査票①!$A$3:$HK$1735,146,FALSE)</f>
        <v>4</v>
      </c>
      <c r="M97" s="707"/>
      <c r="N97" s="707"/>
      <c r="O97" s="707">
        <f>VLOOKUP($D$11,調査票①!$A$3:$HK$1735,147,FALSE)</f>
        <v>1</v>
      </c>
      <c r="P97" s="707"/>
      <c r="Q97" s="707"/>
      <c r="R97" s="708">
        <f>VLOOKUP($D$11,調査票①!$A$3:$HK$1735,148,FALSE)</f>
        <v>0.25</v>
      </c>
      <c r="S97" s="708"/>
      <c r="T97" s="708"/>
      <c r="U97" s="709" t="str">
        <f>VLOOKUP($D$11,調査票①!$A$3:$HK$1735,149,FALSE)&amp;""</f>
        <v>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v>
      </c>
      <c r="V97" s="710"/>
      <c r="W97" s="710"/>
      <c r="X97" s="710"/>
      <c r="Y97" s="710"/>
      <c r="Z97" s="710"/>
      <c r="AA97" s="710"/>
      <c r="AB97" s="710"/>
      <c r="AC97" s="710"/>
      <c r="AD97" s="710"/>
      <c r="AE97" s="710"/>
      <c r="AF97" s="710"/>
      <c r="AG97" s="710"/>
      <c r="AH97" s="710"/>
      <c r="AI97" s="711"/>
      <c r="AJ97" s="701">
        <f>VLOOKUP($D$11,調査票①!$A$3:$HK$1735,150,FALSE)</f>
        <v>3</v>
      </c>
      <c r="AK97" s="701"/>
      <c r="AL97" s="701"/>
      <c r="AM97" s="716" t="str">
        <f>VLOOKUP($D$11,調査票①!$A$3:$HK$1735,151,FALSE)&amp;""</f>
        <v>・市民へ質の高い文化・科学及び本物に触れる機会を提供することが主な目的で、職員等の育成を含め、専門性・継続性・安定性が求められるため。
・建物の維持管理及び利用者の声に直接応えるため。</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0.44827586206896552</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1" t="s">
        <v>12399</v>
      </c>
      <c r="E99" s="701"/>
      <c r="F99" s="701"/>
      <c r="G99" s="701"/>
      <c r="H99" s="701"/>
      <c r="I99" s="701"/>
      <c r="J99" s="701"/>
      <c r="K99" s="701"/>
      <c r="L99" s="707">
        <f>VLOOKUP($D$11,調査票①!$A$3:$HK$1735,152,FALSE)</f>
        <v>50</v>
      </c>
      <c r="M99" s="707"/>
      <c r="N99" s="707"/>
      <c r="O99" s="707">
        <f>VLOOKUP($D$11,調査票①!$A$3:$HK$1735,153,FALSE)</f>
        <v>0</v>
      </c>
      <c r="P99" s="707"/>
      <c r="Q99" s="707"/>
      <c r="R99" s="708">
        <f>VLOOKUP($D$11,調査票①!$A$3:$HK$1735,154,FALSE)</f>
        <v>0</v>
      </c>
      <c r="S99" s="708"/>
      <c r="T99" s="708"/>
      <c r="U99" s="743" t="str">
        <f>VLOOKUP($D$11,調査票①!$A$3:$HK$1735,155,FALSE)&amp;""</f>
        <v>公民館の今後のあり方については、継続協議事項となっており、現時点で維持管理体制を改めることは、地域内に混乱や誤解を招く恐れが高いため。</v>
      </c>
      <c r="V99" s="744"/>
      <c r="W99" s="744"/>
      <c r="X99" s="744"/>
      <c r="Y99" s="744"/>
      <c r="Z99" s="744"/>
      <c r="AA99" s="744"/>
      <c r="AB99" s="744"/>
      <c r="AC99" s="744"/>
      <c r="AD99" s="744"/>
      <c r="AE99" s="744"/>
      <c r="AF99" s="744"/>
      <c r="AG99" s="744"/>
      <c r="AH99" s="744"/>
      <c r="AI99" s="745"/>
      <c r="AJ99" s="715">
        <f>VLOOKUP($D$11,調査票①!$A$3:$HK$1735,156,FALSE)</f>
        <v>50</v>
      </c>
      <c r="AK99" s="715"/>
      <c r="AL99" s="715"/>
      <c r="AM99" s="716" t="str">
        <f>VLOOKUP($D$11,調査票①!$A$3:$HK$1735,157,FALSE)&amp;""</f>
        <v>社会教育法に基づき本市が設置した公民館については、同法第5条第3項に基づき本市が運営管理を行っており、現時点で指定管理制度は導入していない。公民館の今後のあり方については検討中。</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0.2982456140350877</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6"/>
      <c r="D101" s="701" t="s">
        <v>12400</v>
      </c>
      <c r="E101" s="701"/>
      <c r="F101" s="701"/>
      <c r="G101" s="701"/>
      <c r="H101" s="701"/>
      <c r="I101" s="701"/>
      <c r="J101" s="701"/>
      <c r="K101" s="701"/>
      <c r="L101" s="707">
        <f>VLOOKUP($D$11,調査票①!$A$3:$HK$1735,158,FALSE)</f>
        <v>2</v>
      </c>
      <c r="M101" s="707"/>
      <c r="N101" s="707"/>
      <c r="O101" s="707">
        <f>VLOOKUP($D$11,調査票①!$A$3:$HK$1735,159,FALSE)</f>
        <v>2</v>
      </c>
      <c r="P101" s="707"/>
      <c r="Q101" s="707"/>
      <c r="R101" s="708">
        <f>VLOOKUP($D$11,調査票①!$A$3:$HK$1735,160,FALSE)</f>
        <v>1</v>
      </c>
      <c r="S101" s="708"/>
      <c r="T101" s="708"/>
      <c r="U101" s="737" t="str">
        <f>VLOOKUP($D$11,調査票①!$A$3:$HK$1735,161,FALSE)&amp;""</f>
        <v>　</v>
      </c>
      <c r="V101" s="738"/>
      <c r="W101" s="738"/>
      <c r="X101" s="738"/>
      <c r="Y101" s="738"/>
      <c r="Z101" s="738"/>
      <c r="AA101" s="738"/>
      <c r="AB101" s="738"/>
      <c r="AC101" s="738"/>
      <c r="AD101" s="738"/>
      <c r="AE101" s="738"/>
      <c r="AF101" s="738"/>
      <c r="AG101" s="738"/>
      <c r="AH101" s="738"/>
      <c r="AI101" s="739"/>
      <c r="AJ101" s="715">
        <f>VLOOKUP($D$11,調査票①!$A$3:$HK$1735,162,FALSE)</f>
        <v>0</v>
      </c>
      <c r="AK101" s="715"/>
      <c r="AL101" s="715"/>
      <c r="AM101" s="716" t="str">
        <f>VLOOKUP($D$11,調査票①!$A$3:$HK$1735,163,FALSE)&amp;""</f>
        <v>　</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0.61881188118811881</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6"/>
      <c r="D103" s="735" t="s">
        <v>12401</v>
      </c>
      <c r="E103" s="736"/>
      <c r="F103" s="736"/>
      <c r="G103" s="736"/>
      <c r="H103" s="736"/>
      <c r="I103" s="736"/>
      <c r="J103" s="736"/>
      <c r="K103" s="736"/>
      <c r="L103" s="707">
        <f>VLOOKUP($D$11,調査票①!$A$3:$HK$1735,164,FALSE)</f>
        <v>6</v>
      </c>
      <c r="M103" s="707"/>
      <c r="N103" s="707"/>
      <c r="O103" s="707">
        <f>VLOOKUP($D$11,調査票①!$A$3:$HK$1735,165,FALSE)</f>
        <v>6</v>
      </c>
      <c r="P103" s="707"/>
      <c r="Q103" s="707"/>
      <c r="R103" s="708">
        <f>VLOOKUP($D$11,調査票①!$A$3:$HK$1735,166,FALSE)</f>
        <v>1</v>
      </c>
      <c r="S103" s="708"/>
      <c r="T103" s="708"/>
      <c r="U103" s="737" t="str">
        <f>VLOOKUP($D$11,調査票①!$A$3:$HK$1735,167,FALSE)&amp;""</f>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0.52</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0.8571428571428571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399999999999999"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399999999999999"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399999999999999"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0.91935483870967738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399999999999999" customHeight="1">
      <c r="C109" s="96"/>
      <c r="D109" s="701" t="s">
        <v>12407</v>
      </c>
      <c r="E109" s="701"/>
      <c r="F109" s="701"/>
      <c r="G109" s="701"/>
      <c r="H109" s="701"/>
      <c r="I109" s="701"/>
      <c r="J109" s="701"/>
      <c r="K109" s="701"/>
      <c r="L109" s="707">
        <f>VLOOKUP($D$11,調査票①!$A$3:$HK$1735,182,FALSE)</f>
        <v>9</v>
      </c>
      <c r="M109" s="707"/>
      <c r="N109" s="707"/>
      <c r="O109" s="707">
        <f>VLOOKUP($D$11,調査票①!$A$3:$HK$1735,183,FALSE)</f>
        <v>7</v>
      </c>
      <c r="P109" s="707"/>
      <c r="Q109" s="707"/>
      <c r="R109" s="708">
        <f>VLOOKUP($D$11,調査票①!$A$3:$HK$1735,184,FALSE)</f>
        <v>0.77777777777777779</v>
      </c>
      <c r="S109" s="708"/>
      <c r="T109" s="708"/>
      <c r="U109" s="709" t="str">
        <f>VLOOKUP($D$11,調査票①!$A$3:$HK$1735,185,FALSE)&amp;""</f>
        <v>3施設あった障害者支援施設のうち、1施設は平成29年4月に民営化。他の2施設については、施設のあり方について検討中。</v>
      </c>
      <c r="V109" s="710"/>
      <c r="W109" s="710"/>
      <c r="X109" s="710"/>
      <c r="Y109" s="710"/>
      <c r="Z109" s="710"/>
      <c r="AA109" s="710"/>
      <c r="AB109" s="710"/>
      <c r="AC109" s="710"/>
      <c r="AD109" s="710"/>
      <c r="AE109" s="710"/>
      <c r="AF109" s="710"/>
      <c r="AG109" s="710"/>
      <c r="AH109" s="710"/>
      <c r="AI109" s="711"/>
      <c r="AJ109" s="715">
        <f>VLOOKUP($D$11,調査票①!$A$3:$HK$1735,186,FALSE)</f>
        <v>2</v>
      </c>
      <c r="AK109" s="715"/>
      <c r="AL109" s="715"/>
      <c r="AM109" s="716" t="str">
        <f>VLOOKUP($D$11,調査票①!$A$3:$HK$1735,187,FALSE)&amp;""</f>
        <v>障害者支援施設を運営する上で、必要な人員を配置している。</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0.76304654442877295</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399999999999999"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49999999999999" customHeight="1">
      <c r="C111" s="96"/>
      <c r="D111" s="701" t="s">
        <v>12409</v>
      </c>
      <c r="E111" s="701"/>
      <c r="F111" s="701"/>
      <c r="G111" s="701"/>
      <c r="H111" s="701"/>
      <c r="I111" s="701"/>
      <c r="J111" s="701"/>
      <c r="K111" s="701"/>
      <c r="L111" s="707">
        <f>VLOOKUP($D$11,調査票①!$A$3:$HK$1735,188,FALSE)</f>
        <v>61</v>
      </c>
      <c r="M111" s="707"/>
      <c r="N111" s="707"/>
      <c r="O111" s="707">
        <f>VLOOKUP($D$11,調査票①!$A$3:$HK$1735,189,FALSE)</f>
        <v>14</v>
      </c>
      <c r="P111" s="707"/>
      <c r="Q111" s="707"/>
      <c r="R111" s="708">
        <f>VLOOKUP($D$11,調査票①!$A$3:$HK$1735,190,FALSE)</f>
        <v>0.22950819672131148</v>
      </c>
      <c r="S111" s="708"/>
      <c r="T111" s="708"/>
      <c r="U111" s="709" t="str">
        <f>VLOOKUP($D$11,調査票①!$A$3:$HK$1735,191,FALSE)&amp;""</f>
        <v>専用施設でなく、小学校の余裕教室にて運営しており、利用方法や配置等について施設管理者と協議しなければならない状況にあるため。</v>
      </c>
      <c r="V111" s="710"/>
      <c r="W111" s="710"/>
      <c r="X111" s="710"/>
      <c r="Y111" s="710"/>
      <c r="Z111" s="710"/>
      <c r="AA111" s="710"/>
      <c r="AB111" s="710"/>
      <c r="AC111" s="710"/>
      <c r="AD111" s="710"/>
      <c r="AE111" s="710"/>
      <c r="AF111" s="710"/>
      <c r="AG111" s="710"/>
      <c r="AH111" s="710"/>
      <c r="AI111" s="711"/>
      <c r="AJ111" s="715">
        <f>VLOOKUP($D$11,調査票①!$A$3:$HK$1735,192,FALSE)</f>
        <v>46</v>
      </c>
      <c r="AK111" s="715"/>
      <c r="AL111" s="715"/>
      <c r="AM111" s="716" t="str">
        <f>VLOOKUP($D$11,調査票①!$A$3:$HK$1735,193,FALSE)&amp;""</f>
        <v>学校の空教室等を使用しているため、外部の者が出入りすることに施設管理者の理解が得られない。</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0.3651126244106862</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【別表】自治体コード!$A$2:$A$43</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3"/>
  <sheetViews>
    <sheetView workbookViewId="0">
      <selection activeCell="E14" sqref="E14"/>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t="s">
        <v>18650</v>
      </c>
      <c r="B2" s="53" t="s">
        <v>5867</v>
      </c>
      <c r="C2" s="223" t="s">
        <v>5868</v>
      </c>
    </row>
    <row r="3" spans="1:3">
      <c r="A3" s="167">
        <v>212016</v>
      </c>
      <c r="B3" s="166" t="s">
        <v>5867</v>
      </c>
      <c r="C3" s="157" t="s">
        <v>5875</v>
      </c>
    </row>
    <row r="4" spans="1:3">
      <c r="A4" s="167">
        <v>212032</v>
      </c>
      <c r="B4" s="166" t="s">
        <v>5867</v>
      </c>
      <c r="C4" s="157" t="s">
        <v>18651</v>
      </c>
    </row>
    <row r="5" spans="1:3">
      <c r="A5" s="167">
        <v>212041</v>
      </c>
      <c r="B5" s="166" t="s">
        <v>5867</v>
      </c>
      <c r="C5" s="157" t="s">
        <v>5886</v>
      </c>
    </row>
    <row r="6" spans="1:3">
      <c r="A6" s="167">
        <v>212059</v>
      </c>
      <c r="B6" s="166" t="s">
        <v>5867</v>
      </c>
      <c r="C6" s="157" t="s">
        <v>5892</v>
      </c>
    </row>
    <row r="7" spans="1:3">
      <c r="A7" s="167">
        <v>212067</v>
      </c>
      <c r="B7" s="166" t="s">
        <v>5867</v>
      </c>
      <c r="C7" s="157" t="s">
        <v>5893</v>
      </c>
    </row>
    <row r="8" spans="1:3">
      <c r="A8" s="167" t="s">
        <v>14864</v>
      </c>
      <c r="B8" s="166" t="s">
        <v>5867</v>
      </c>
      <c r="C8" s="157" t="s">
        <v>5903</v>
      </c>
    </row>
    <row r="9" spans="1:3">
      <c r="A9" s="167">
        <v>212083</v>
      </c>
      <c r="B9" s="166" t="s">
        <v>5867</v>
      </c>
      <c r="C9" s="157" t="s">
        <v>5911</v>
      </c>
    </row>
    <row r="10" spans="1:3">
      <c r="A10" s="167">
        <v>212091</v>
      </c>
      <c r="B10" s="166" t="s">
        <v>5867</v>
      </c>
      <c r="C10" s="157" t="s">
        <v>5923</v>
      </c>
    </row>
    <row r="11" spans="1:3">
      <c r="A11" s="167">
        <v>212105</v>
      </c>
      <c r="B11" s="166" t="s">
        <v>5867</v>
      </c>
      <c r="C11" s="157" t="s">
        <v>5936</v>
      </c>
    </row>
    <row r="12" spans="1:3">
      <c r="A12" s="167">
        <v>212113</v>
      </c>
      <c r="B12" s="166" t="s">
        <v>5867</v>
      </c>
      <c r="C12" s="157" t="s">
        <v>5948</v>
      </c>
    </row>
    <row r="13" spans="1:3">
      <c r="A13" s="167" t="s">
        <v>14869</v>
      </c>
      <c r="B13" s="166" t="s">
        <v>5867</v>
      </c>
      <c r="C13" s="157" t="s">
        <v>5957</v>
      </c>
    </row>
    <row r="14" spans="1:3">
      <c r="A14" s="167" t="s">
        <v>16452</v>
      </c>
      <c r="B14" s="166" t="s">
        <v>5867</v>
      </c>
      <c r="C14" s="157" t="s">
        <v>5972</v>
      </c>
    </row>
    <row r="15" spans="1:3">
      <c r="A15" s="167" t="s">
        <v>14871</v>
      </c>
      <c r="B15" s="166" t="s">
        <v>5867</v>
      </c>
      <c r="C15" s="157" t="s">
        <v>5985</v>
      </c>
    </row>
    <row r="16" spans="1:3">
      <c r="A16" s="167">
        <v>212156</v>
      </c>
      <c r="B16" s="166" t="s">
        <v>5867</v>
      </c>
      <c r="C16" s="157" t="s">
        <v>5993</v>
      </c>
    </row>
    <row r="17" spans="1:3">
      <c r="A17" s="167">
        <v>212164</v>
      </c>
      <c r="B17" s="166" t="s">
        <v>5867</v>
      </c>
      <c r="C17" s="157" t="s">
        <v>6001</v>
      </c>
    </row>
    <row r="18" spans="1:3">
      <c r="A18" s="167">
        <v>212172</v>
      </c>
      <c r="B18" s="166" t="s">
        <v>5867</v>
      </c>
      <c r="C18" s="157" t="s">
        <v>6011</v>
      </c>
    </row>
    <row r="19" spans="1:3">
      <c r="A19" s="167">
        <v>212181</v>
      </c>
      <c r="B19" s="166" t="s">
        <v>5867</v>
      </c>
      <c r="C19" s="157" t="s">
        <v>6018</v>
      </c>
    </row>
    <row r="20" spans="1:3">
      <c r="A20" s="167">
        <v>212199</v>
      </c>
      <c r="B20" s="166" t="s">
        <v>5867</v>
      </c>
      <c r="C20" s="157" t="s">
        <v>6025</v>
      </c>
    </row>
    <row r="21" spans="1:3">
      <c r="A21" s="167">
        <v>212202</v>
      </c>
      <c r="B21" s="166" t="s">
        <v>5867</v>
      </c>
      <c r="C21" s="157" t="s">
        <v>6041</v>
      </c>
    </row>
    <row r="22" spans="1:3">
      <c r="A22" s="167">
        <v>212211</v>
      </c>
      <c r="B22" s="166" t="s">
        <v>5867</v>
      </c>
      <c r="C22" s="157" t="s">
        <v>6048</v>
      </c>
    </row>
    <row r="23" spans="1:3">
      <c r="A23" s="167">
        <v>213021</v>
      </c>
      <c r="B23" s="166" t="s">
        <v>5867</v>
      </c>
      <c r="C23" s="157" t="s">
        <v>6063</v>
      </c>
    </row>
    <row r="24" spans="1:3">
      <c r="A24" s="170">
        <v>213039</v>
      </c>
      <c r="B24" s="222" t="s">
        <v>5867</v>
      </c>
      <c r="C24" s="553" t="s">
        <v>6064</v>
      </c>
    </row>
    <row r="25" spans="1:3">
      <c r="A25" s="170">
        <v>213411</v>
      </c>
      <c r="B25" s="222" t="s">
        <v>5867</v>
      </c>
      <c r="C25" s="553" t="s">
        <v>6071</v>
      </c>
    </row>
    <row r="26" spans="1:3">
      <c r="A26" s="170" t="s">
        <v>14875</v>
      </c>
      <c r="B26" s="222" t="s">
        <v>5867</v>
      </c>
      <c r="C26" s="553" t="s">
        <v>6085</v>
      </c>
    </row>
    <row r="27" spans="1:3">
      <c r="A27" s="170">
        <v>213624</v>
      </c>
      <c r="B27" s="222" t="s">
        <v>5867</v>
      </c>
      <c r="C27" s="553" t="s">
        <v>6093</v>
      </c>
    </row>
    <row r="28" spans="1:3">
      <c r="A28" s="170">
        <v>213811</v>
      </c>
      <c r="B28" s="222" t="s">
        <v>5867</v>
      </c>
      <c r="C28" s="553" t="s">
        <v>6101</v>
      </c>
    </row>
    <row r="29" spans="1:3">
      <c r="A29" s="170" t="s">
        <v>14876</v>
      </c>
      <c r="B29" s="222" t="s">
        <v>5867</v>
      </c>
      <c r="C29" s="553" t="s">
        <v>6106</v>
      </c>
    </row>
    <row r="30" spans="1:3">
      <c r="A30" s="170">
        <v>213837</v>
      </c>
      <c r="B30" s="222" t="s">
        <v>5867</v>
      </c>
      <c r="C30" s="553" t="s">
        <v>6112</v>
      </c>
    </row>
    <row r="31" spans="1:3">
      <c r="A31" s="170" t="s">
        <v>14877</v>
      </c>
      <c r="B31" s="222" t="s">
        <v>5867</v>
      </c>
      <c r="C31" s="553" t="s">
        <v>6117</v>
      </c>
    </row>
    <row r="32" spans="1:3">
      <c r="A32" s="170">
        <v>214035</v>
      </c>
      <c r="B32" s="222" t="s">
        <v>5867</v>
      </c>
      <c r="C32" s="553" t="s">
        <v>6133</v>
      </c>
    </row>
    <row r="33" spans="1:3">
      <c r="A33" s="170" t="s">
        <v>14879</v>
      </c>
      <c r="B33" s="222" t="s">
        <v>5867</v>
      </c>
      <c r="C33" s="553" t="s">
        <v>1294</v>
      </c>
    </row>
    <row r="34" spans="1:3">
      <c r="A34" s="170">
        <v>214213</v>
      </c>
      <c r="B34" s="222" t="s">
        <v>5867</v>
      </c>
      <c r="C34" s="553" t="s">
        <v>6140</v>
      </c>
    </row>
    <row r="35" spans="1:3">
      <c r="A35" s="170">
        <v>215015</v>
      </c>
      <c r="B35" s="222" t="s">
        <v>5867</v>
      </c>
      <c r="C35" s="553" t="s">
        <v>6143</v>
      </c>
    </row>
    <row r="36" spans="1:3">
      <c r="A36" s="170">
        <v>215023</v>
      </c>
      <c r="B36" s="222" t="s">
        <v>5867</v>
      </c>
      <c r="C36" s="553" t="s">
        <v>6148</v>
      </c>
    </row>
    <row r="37" spans="1:3">
      <c r="A37" s="170">
        <v>215031</v>
      </c>
      <c r="B37" s="222" t="s">
        <v>5867</v>
      </c>
      <c r="C37" s="553" t="s">
        <v>6152</v>
      </c>
    </row>
    <row r="38" spans="1:3">
      <c r="A38" s="170">
        <v>215040</v>
      </c>
      <c r="B38" s="222" t="s">
        <v>5867</v>
      </c>
      <c r="C38" s="553" t="s">
        <v>6154</v>
      </c>
    </row>
    <row r="39" spans="1:3">
      <c r="A39" s="170">
        <v>215058</v>
      </c>
      <c r="B39" s="222" t="s">
        <v>5867</v>
      </c>
      <c r="C39" s="553" t="s">
        <v>6157</v>
      </c>
    </row>
    <row r="40" spans="1:3">
      <c r="A40" s="170">
        <v>215066</v>
      </c>
      <c r="B40" s="222" t="s">
        <v>5867</v>
      </c>
      <c r="C40" s="553" t="s">
        <v>6166</v>
      </c>
    </row>
    <row r="41" spans="1:3">
      <c r="A41" s="170">
        <v>215074</v>
      </c>
      <c r="B41" s="222" t="s">
        <v>5867</v>
      </c>
      <c r="C41" s="553" t="s">
        <v>6169</v>
      </c>
    </row>
    <row r="42" spans="1:3">
      <c r="A42" s="170" t="s">
        <v>14887</v>
      </c>
      <c r="B42" s="222" t="s">
        <v>5867</v>
      </c>
      <c r="C42" s="553" t="s">
        <v>6172</v>
      </c>
    </row>
    <row r="43" spans="1:3">
      <c r="A43" s="170">
        <v>216046</v>
      </c>
      <c r="B43" s="222" t="s">
        <v>5867</v>
      </c>
      <c r="C43" s="553" t="s">
        <v>6186</v>
      </c>
    </row>
  </sheetData>
  <autoFilter ref="A1:C43" xr:uid="{8F4AFE33-6FDB-4589-A6AD-C1179AC646DE}"/>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2022-03-30T05:17:40Z</dcterms:modified>
</cp:coreProperties>
</file>