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8FD74CCB-5C0E-48C6-AB1A-59772C84D4A5}"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【別表】自治体コード!$A$1:$C$30</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<sst xmlns="http://schemas.openxmlformats.org/spreadsheetml/2006/main" count="198332" uniqueCount="19620">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</sst>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5"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5"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2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5"/>
      <c r="HE7" s="224"/>
      <c r="HF7" s="58" t="s">
        <v>59</v>
      </c>
      <c r="HG7" s="668" t="s">
        <v>60</v>
      </c>
      <c r="HH7" s="669"/>
      <c r="HI7" s="58" t="s">
        <v>61</v>
      </c>
      <c r="HJ7" s="668" t="s">
        <v>62</v>
      </c>
      <c r="HK7" s="670"/>
    </row>
    <row r="8" spans="1:219" ht="132" customHeight="1">
      <c r="A8" s="661"/>
      <c r="B8" s="620"/>
      <c r="C8" s="620"/>
      <c r="D8" s="619"/>
      <c r="E8" s="59" t="s">
        <v>63</v>
      </c>
      <c r="F8" s="663"/>
      <c r="G8" s="620"/>
      <c r="H8" s="59" t="s">
        <v>63</v>
      </c>
      <c r="I8" s="663"/>
      <c r="J8" s="620"/>
      <c r="K8" s="60" t="s">
        <v>63</v>
      </c>
      <c r="L8" s="663"/>
      <c r="M8" s="620"/>
      <c r="N8" s="61" t="s">
        <v>63</v>
      </c>
      <c r="O8" s="663"/>
      <c r="P8" s="620"/>
      <c r="Q8" s="61" t="s">
        <v>63</v>
      </c>
      <c r="R8" s="663"/>
      <c r="S8" s="620"/>
      <c r="T8" s="62" t="s">
        <v>63</v>
      </c>
      <c r="U8" s="663"/>
      <c r="V8" s="620"/>
      <c r="W8" s="62" t="s">
        <v>63</v>
      </c>
      <c r="X8" s="663"/>
      <c r="Y8" s="620"/>
      <c r="Z8" s="62" t="s">
        <v>63</v>
      </c>
      <c r="AA8" s="663"/>
      <c r="AB8" s="620"/>
      <c r="AC8" s="62" t="s">
        <v>63</v>
      </c>
      <c r="AD8" s="663"/>
      <c r="AE8" s="620"/>
      <c r="AF8" s="159" t="s">
        <v>63</v>
      </c>
      <c r="AG8" s="676"/>
      <c r="AH8" s="679"/>
      <c r="AI8" s="62" t="s">
        <v>63</v>
      </c>
      <c r="AJ8" s="663"/>
      <c r="AK8" s="620"/>
      <c r="AL8" s="62" t="s">
        <v>63</v>
      </c>
      <c r="AM8" s="663"/>
      <c r="AN8" s="620"/>
      <c r="AO8" s="62" t="s">
        <v>63</v>
      </c>
      <c r="AP8" s="663"/>
      <c r="AQ8" s="620"/>
      <c r="AR8" s="62" t="s">
        <v>63</v>
      </c>
      <c r="AS8" s="663"/>
      <c r="AT8" s="620"/>
      <c r="AU8" s="62" t="s">
        <v>63</v>
      </c>
      <c r="AV8" s="663"/>
      <c r="AW8" s="620"/>
      <c r="AX8" s="62" t="s">
        <v>63</v>
      </c>
      <c r="AY8" s="663"/>
      <c r="AZ8" s="620"/>
      <c r="BA8" s="62"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4" t="s">
        <v>64</v>
      </c>
      <c r="HE8" s="64" t="s">
        <v>128</v>
      </c>
      <c r="HF8" s="65"/>
      <c r="HG8" s="66"/>
      <c r="HH8" s="63" t="s">
        <v>65</v>
      </c>
      <c r="HI8" s="66"/>
      <c r="HJ8" s="66"/>
      <c r="HK8" s="181" t="s">
        <v>66</v>
      </c>
    </row>
    <row r="9" spans="1:219" s="160" customFormat="1" ht="11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5"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56">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82">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4">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104">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56">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3">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56">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43">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78">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78">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0">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78">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9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78">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78">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39">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78">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17">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3">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78">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104">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9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78">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9">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9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17">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52">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78">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39">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39">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17">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104">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104">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65">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30">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5"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30">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5"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5"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5"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5"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5"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5"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5"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5"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5"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5"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5"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5"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5"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5"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5"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5"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5"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5"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5"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5"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5"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5"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5"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5"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5"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5"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5"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5"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5"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5"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5"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5"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5"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5"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2"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5"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3"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5"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5"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5"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5"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5"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5"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5"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5"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43">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21">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78">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8">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30">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17">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69">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104">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17">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30">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17">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56">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104">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0">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56">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4">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56">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56">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78">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56">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17">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17">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82">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2">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17">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17">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104">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104">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78">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65">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104">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78">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78">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30">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78">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2">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56">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78">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5"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5"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5"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5"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5"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5"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3">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9">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56">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8">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78">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2">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95">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30">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56">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2">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4">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78">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56">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43">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56">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17">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9">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9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17">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17">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5"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8">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56">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2">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17">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3">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150000000000006"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9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9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9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0">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30">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9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17">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4">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52">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78">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5"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5"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5"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5"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5"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5"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5"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5"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5"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5"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5"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5"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5"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5"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5"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5"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5"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5"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5"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5"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5"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5"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5"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5"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5"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5"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5"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5"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5"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5"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5"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5"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5"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5"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5"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5"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5"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5"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5"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82">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4">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4">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0">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17">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5"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2">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3">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65">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9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69">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4">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78">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2">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43">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9">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9">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104">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56">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2">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78">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9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78">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5"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5"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5"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5"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5"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5"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5"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5"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5"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5"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5"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5"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5"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5"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5"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5"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5"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5"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5"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5"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5"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5"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5"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5"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5"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5"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5"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5"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5"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5"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5"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5"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5"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5"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5"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5"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5"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5"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5"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5"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5"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5"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5"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5"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5"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5"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5"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5"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5"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5"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5"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5"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5"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5"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5"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5"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5"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5"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5"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95">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104">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17">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104">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43">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5"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5"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5"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5"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5"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5"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5"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5"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5"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5"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5"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5"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5"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5"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5"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5"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5"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5"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5"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5"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5"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5"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5"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5"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5"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5"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5"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5"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5"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5"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5"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5"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5"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5"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5"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5"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5"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5"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5"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5"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5"/>
      <c r="AX8" s="85"/>
      <c r="AY8" s="85"/>
      <c r="AZ8" s="85"/>
      <c r="BA8" s="85"/>
      <c r="BB8" s="85"/>
      <c r="BC8" s="85"/>
      <c r="BD8" s="85"/>
    </row>
    <row r="9" spans="3:143" ht="12.65"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5"/>
      <c r="AX9" s="85"/>
      <c r="AY9" s="85"/>
      <c r="AZ9" s="85"/>
      <c r="BA9" s="85"/>
      <c r="BB9" s="85"/>
      <c r="BC9" s="85"/>
      <c r="BD9" s="85"/>
    </row>
    <row r="10" spans="3:143" ht="12.65"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5"/>
      <c r="AS10" s="85"/>
      <c r="AT10" s="85"/>
      <c r="AW10" s="85"/>
      <c r="AX10" s="85"/>
      <c r="AY10" s="85"/>
      <c r="AZ10" s="85"/>
      <c r="BA10" s="85"/>
      <c r="BB10" s="85"/>
      <c r="BC10" s="85"/>
      <c r="BD10" s="85"/>
    </row>
    <row r="11" spans="3:143" ht="12.65" customHeight="1">
      <c r="D11" s="939">
        <v>242012</v>
      </c>
      <c r="E11" s="940"/>
      <c r="F11" s="940"/>
      <c r="G11" s="940"/>
      <c r="H11" s="940"/>
      <c r="I11" s="940"/>
      <c r="J11" s="940"/>
      <c r="K11" s="940"/>
      <c r="L11" s="940"/>
      <c r="M11" s="940"/>
      <c r="N11" s="941" t="str">
        <f>VLOOKUP($D$11,調査票①!$A$2:$HK$1735,2,FALSE)&amp;""</f>
        <v>三重県</v>
      </c>
      <c r="O11" s="941"/>
      <c r="P11" s="941"/>
      <c r="Q11" s="941"/>
      <c r="R11" s="941"/>
      <c r="S11" s="941"/>
      <c r="T11" s="941"/>
      <c r="U11" s="941"/>
      <c r="V11" s="941"/>
      <c r="W11" s="941"/>
      <c r="X11" s="941"/>
      <c r="Y11" s="941"/>
      <c r="Z11" s="941"/>
      <c r="AA11" s="941" t="str">
        <f>VLOOKUP($D$11,調査票①!$A$3:$HK$1735,3,FALSE)&amp;""</f>
        <v>津市</v>
      </c>
      <c r="AB11" s="941"/>
      <c r="AC11" s="941"/>
      <c r="AD11" s="941"/>
      <c r="AE11" s="941"/>
      <c r="AF11" s="941"/>
      <c r="AG11" s="941"/>
      <c r="AH11" s="941"/>
      <c r="AI11" s="941"/>
      <c r="AJ11" s="941"/>
      <c r="AK11" s="817" t="str">
        <f>VLOOKUP($D$11,調査票①!$A$3:$HK$1735,4,FALSE)&amp;""</f>
        <v>都市　Ⅳ－３</v>
      </c>
      <c r="AL11" s="817"/>
      <c r="AM11" s="817"/>
      <c r="AN11" s="817"/>
      <c r="AO11" s="817"/>
      <c r="AP11" s="817"/>
      <c r="AQ11" s="817"/>
      <c r="AR11" s="87"/>
      <c r="AS11" s="87"/>
      <c r="AT11" s="85"/>
      <c r="AW11" s="85"/>
      <c r="AX11" s="85"/>
      <c r="AY11" s="85"/>
      <c r="AZ11" s="85"/>
      <c r="BA11" s="85"/>
      <c r="BB11" s="85"/>
      <c r="BC11" s="85"/>
      <c r="BD11" s="85"/>
      <c r="CC11" s="80"/>
    </row>
    <row r="12" spans="3:143" ht="12.65"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7"/>
      <c r="BP19" s="807"/>
      <c r="BQ19" s="807"/>
      <c r="BR19" s="80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8"/>
      <c r="BT21" s="100"/>
      <c r="BU21" s="106"/>
      <c r="BV21" s="106"/>
      <c r="BW21" s="106"/>
      <c r="BX21" s="106"/>
      <c r="BY21" s="106"/>
      <c r="BZ21" s="106"/>
      <c r="CA21" s="106"/>
      <c r="CB21" s="107"/>
      <c r="CC21" s="901" t="s">
        <v>12322</v>
      </c>
      <c r="CD21" s="902"/>
      <c r="CE21" s="902"/>
      <c r="CF21" s="902"/>
      <c r="CG21" s="902"/>
      <c r="CH21" s="902"/>
      <c r="CI21" s="902"/>
      <c r="CJ21" s="902"/>
      <c r="CK21" s="902"/>
      <c r="CL21" s="903"/>
      <c r="CM21" s="901" t="str">
        <f>VLOOKUP($D$11,調査票①!$A$3:$HK$1735,194,FALSE)&amp;""</f>
        <v>設置予定</v>
      </c>
      <c r="CN21" s="902"/>
      <c r="CO21" s="902"/>
      <c r="CP21" s="902"/>
      <c r="CQ21" s="902"/>
      <c r="CR21" s="902"/>
      <c r="CS21" s="902"/>
      <c r="CT21" s="902"/>
      <c r="CU21" s="902"/>
      <c r="CV21" s="903"/>
      <c r="CW21" s="109"/>
      <c r="CX21" s="110"/>
      <c r="CY21" s="111"/>
      <c r="CZ21" s="907" t="s">
        <v>12323</v>
      </c>
      <c r="DA21" s="908"/>
      <c r="DB21" s="908"/>
      <c r="DC21" s="908"/>
      <c r="DD21" s="908"/>
      <c r="DE21" s="908"/>
      <c r="DF21" s="908"/>
      <c r="DG21" s="908"/>
      <c r="DH21" s="908"/>
      <c r="DI21" s="909"/>
      <c r="DJ21" s="913" t="str">
        <f>VLOOKUP($D$11,調査票①!$A$3:$HK$1735,195,FALSE)&amp;""</f>
        <v>未定（設置有無検討中）</v>
      </c>
      <c r="DK21" s="914"/>
      <c r="DL21" s="914"/>
      <c r="DM21" s="914"/>
      <c r="DN21" s="914"/>
      <c r="DO21" s="914"/>
      <c r="DP21" s="914"/>
      <c r="DQ21" s="914"/>
      <c r="DR21" s="914"/>
      <c r="DS21" s="915"/>
      <c r="DT21" s="102"/>
      <c r="DU21" s="102"/>
      <c r="DV21" s="102"/>
      <c r="DW21" s="907" t="s">
        <v>12324</v>
      </c>
      <c r="DX21" s="908"/>
      <c r="DY21" s="908"/>
      <c r="DZ21" s="908"/>
      <c r="EA21" s="908"/>
      <c r="EB21" s="908"/>
      <c r="EC21" s="908"/>
      <c r="ED21" s="908"/>
      <c r="EE21" s="908"/>
      <c r="EF21" s="909"/>
      <c r="EG21" s="919" t="str">
        <f>VLOOKUP($D$11,調査票①!$A$3:$HK$1735,196,FALSE)&amp;""</f>
        <v>委託有</v>
      </c>
      <c r="EH21" s="920"/>
      <c r="EI21" s="920"/>
      <c r="EJ21" s="920"/>
      <c r="EK21" s="920"/>
      <c r="EL21" s="921"/>
      <c r="EM21" s="98"/>
      <c r="EN21" s="98"/>
      <c r="EO21" s="98"/>
      <c r="EP21" s="98"/>
      <c r="EQ21" s="98"/>
      <c r="ER21" s="98"/>
      <c r="ES21" s="100"/>
    </row>
    <row r="22" spans="3:149" ht="19.75" customHeight="1">
      <c r="C22" s="96"/>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8"/>
      <c r="BT22" s="100"/>
      <c r="CB22" s="107"/>
      <c r="CC22" s="904"/>
      <c r="CD22" s="905"/>
      <c r="CE22" s="905"/>
      <c r="CF22" s="905"/>
      <c r="CG22" s="905"/>
      <c r="CH22" s="905"/>
      <c r="CI22" s="905"/>
      <c r="CJ22" s="905"/>
      <c r="CK22" s="905"/>
      <c r="CL22" s="906"/>
      <c r="CM22" s="904"/>
      <c r="CN22" s="905"/>
      <c r="CO22" s="905"/>
      <c r="CP22" s="905"/>
      <c r="CQ22" s="905"/>
      <c r="CR22" s="905"/>
      <c r="CS22" s="905"/>
      <c r="CT22" s="905"/>
      <c r="CU22" s="905"/>
      <c r="CV22" s="906"/>
      <c r="CW22" s="98"/>
      <c r="CX22" s="98"/>
      <c r="CY22" s="98"/>
      <c r="CZ22" s="910"/>
      <c r="DA22" s="911"/>
      <c r="DB22" s="911"/>
      <c r="DC22" s="911"/>
      <c r="DD22" s="911"/>
      <c r="DE22" s="911"/>
      <c r="DF22" s="911"/>
      <c r="DG22" s="911"/>
      <c r="DH22" s="911"/>
      <c r="DI22" s="912"/>
      <c r="DJ22" s="916"/>
      <c r="DK22" s="917"/>
      <c r="DL22" s="917"/>
      <c r="DM22" s="917"/>
      <c r="DN22" s="917"/>
      <c r="DO22" s="917"/>
      <c r="DP22" s="917"/>
      <c r="DQ22" s="917"/>
      <c r="DR22" s="917"/>
      <c r="DS22" s="918"/>
      <c r="DT22" s="98"/>
      <c r="DU22" s="98"/>
      <c r="DV22" s="98"/>
      <c r="DW22" s="910"/>
      <c r="DX22" s="911"/>
      <c r="DY22" s="911"/>
      <c r="DZ22" s="911"/>
      <c r="EA22" s="911"/>
      <c r="EB22" s="911"/>
      <c r="EC22" s="911"/>
      <c r="ED22" s="911"/>
      <c r="EE22" s="911"/>
      <c r="EF22" s="912"/>
      <c r="EG22" s="922"/>
      <c r="EH22" s="923"/>
      <c r="EI22" s="923"/>
      <c r="EJ22" s="923"/>
      <c r="EK22" s="923"/>
      <c r="EL22" s="924"/>
      <c r="EM22" s="96"/>
      <c r="EN22" s="98"/>
      <c r="EO22" s="98"/>
      <c r="EP22" s="98"/>
      <c r="EQ22" s="98"/>
      <c r="ER22" s="98"/>
      <c r="ES22" s="100"/>
    </row>
    <row r="23" spans="3:149" ht="19.75" customHeight="1">
      <c r="C23" s="96"/>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5" t="s">
        <v>12327</v>
      </c>
      <c r="E24" s="846"/>
      <c r="F24" s="846"/>
      <c r="G24" s="846"/>
      <c r="H24" s="846"/>
      <c r="I24" s="846"/>
      <c r="J24" s="846"/>
      <c r="K24" s="846"/>
      <c r="L24" s="846"/>
      <c r="M24" s="847"/>
      <c r="N24" s="826" t="str">
        <f>VLOOKUP($D$11,調査票①!$A$3:$HK$1735,9,FALSE)&amp;""</f>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0.96551724137931039</v>
      </c>
      <c r="BK24" s="834"/>
      <c r="BL24" s="834"/>
      <c r="BM24" s="834"/>
      <c r="BN24" s="835"/>
      <c r="BO24" s="839">
        <f>調査票①!H1731</f>
        <v>0.98486932599724897</v>
      </c>
      <c r="BP24" s="840"/>
      <c r="BQ24" s="840"/>
      <c r="BR24" s="841"/>
      <c r="BS24" s="98"/>
      <c r="BT24" s="100"/>
      <c r="CB24" s="96"/>
      <c r="CC24" s="889" t="s">
        <v>12328</v>
      </c>
      <c r="CD24" s="889"/>
      <c r="CE24" s="889"/>
      <c r="CF24" s="889"/>
      <c r="CG24" s="889"/>
      <c r="CH24" s="889"/>
      <c r="CI24" s="889"/>
      <c r="CJ24" s="889"/>
      <c r="CK24" s="889"/>
      <c r="CL24" s="889"/>
      <c r="CM24" s="889"/>
      <c r="CN24" s="889"/>
      <c r="CO24" s="889"/>
      <c r="CP24" s="889"/>
      <c r="CQ24" s="889"/>
      <c r="CR24" s="8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0" t="s">
        <v>70</v>
      </c>
      <c r="DX24" s="861"/>
      <c r="DY24" s="861"/>
      <c r="DZ24" s="861"/>
      <c r="EA24" s="861"/>
      <c r="EB24" s="861"/>
      <c r="EC24" s="861"/>
      <c r="ED24" s="862"/>
      <c r="EE24" s="891" t="s">
        <v>12329</v>
      </c>
      <c r="EF24" s="861"/>
      <c r="EG24" s="861"/>
      <c r="EH24" s="861"/>
      <c r="EI24" s="861"/>
      <c r="EJ24" s="861"/>
      <c r="EK24" s="861"/>
      <c r="EL24" s="862"/>
      <c r="EM24" s="98"/>
      <c r="EN24" s="98"/>
      <c r="EO24" s="98"/>
      <c r="EP24" s="98"/>
      <c r="EQ24" s="98"/>
      <c r="ER24" s="98"/>
      <c r="ES24" s="100"/>
    </row>
    <row r="25" spans="3:149" ht="19.75" customHeight="1">
      <c r="C25" s="96"/>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8"/>
      <c r="BT25" s="100"/>
      <c r="CA25" s="80"/>
      <c r="CB25" s="113"/>
      <c r="CC25" s="890"/>
      <c r="CD25" s="890"/>
      <c r="CE25" s="890"/>
      <c r="CF25" s="890"/>
      <c r="CG25" s="890"/>
      <c r="CH25" s="890"/>
      <c r="CI25" s="890"/>
      <c r="CJ25" s="890"/>
      <c r="CK25" s="890"/>
      <c r="CL25" s="890"/>
      <c r="CM25" s="889"/>
      <c r="CN25" s="889"/>
      <c r="CO25" s="889"/>
      <c r="CP25" s="889"/>
      <c r="CQ25" s="889"/>
      <c r="CR25" s="8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2" t="s">
        <v>12330</v>
      </c>
      <c r="DX25" s="864"/>
      <c r="DY25" s="864"/>
      <c r="DZ25" s="865"/>
      <c r="EA25" s="693" t="s">
        <v>12331</v>
      </c>
      <c r="EB25" s="893"/>
      <c r="EC25" s="893"/>
      <c r="ED25" s="894"/>
      <c r="EE25" s="892" t="s">
        <v>12330</v>
      </c>
      <c r="EF25" s="864"/>
      <c r="EG25" s="864"/>
      <c r="EH25" s="865"/>
      <c r="EI25" s="693" t="s">
        <v>12331</v>
      </c>
      <c r="EJ25" s="893"/>
      <c r="EK25" s="893"/>
      <c r="EL25" s="894"/>
      <c r="EM25" s="98"/>
      <c r="EN25" s="98"/>
      <c r="EO25" s="98"/>
      <c r="EP25" s="98"/>
      <c r="EQ25" s="98"/>
      <c r="ER25" s="98"/>
      <c r="ES25" s="100"/>
    </row>
    <row r="26" spans="3:149" ht="19.75" customHeight="1">
      <c r="C26" s="96"/>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0.92307692307692313</v>
      </c>
      <c r="BK26" s="834"/>
      <c r="BL26" s="834"/>
      <c r="BM26" s="834"/>
      <c r="BN26" s="835"/>
      <c r="BO26" s="839">
        <f>調査票①!K1731</f>
        <v>0.89906542056074767</v>
      </c>
      <c r="BP26" s="840"/>
      <c r="BQ26" s="840"/>
      <c r="BR26" s="841"/>
      <c r="BS26" s="98"/>
      <c r="BT26" s="100"/>
      <c r="CB26" s="113"/>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4"/>
      <c r="CX26" s="114"/>
      <c r="CY26" s="114"/>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4"/>
      <c r="DU26" s="114"/>
      <c r="DV26" s="114"/>
      <c r="DW26" s="866"/>
      <c r="DX26" s="867"/>
      <c r="DY26" s="867"/>
      <c r="DZ26" s="868"/>
      <c r="EA26" s="895"/>
      <c r="EB26" s="896"/>
      <c r="EC26" s="896"/>
      <c r="ED26" s="897"/>
      <c r="EE26" s="866"/>
      <c r="EF26" s="867"/>
      <c r="EG26" s="867"/>
      <c r="EH26" s="868"/>
      <c r="EI26" s="895"/>
      <c r="EJ26" s="896"/>
      <c r="EK26" s="896"/>
      <c r="EL26" s="897"/>
      <c r="EM26" s="98"/>
      <c r="EN26" s="98"/>
      <c r="EO26" s="98"/>
      <c r="EP26" s="98"/>
      <c r="EQ26" s="98"/>
      <c r="ER26" s="98"/>
      <c r="ES26" s="100"/>
    </row>
    <row r="27" spans="3:149" ht="19.75" customHeight="1">
      <c r="C27" s="96"/>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8"/>
      <c r="BT27" s="100"/>
      <c r="CB27" s="113"/>
      <c r="CC27" s="888"/>
      <c r="CD27" s="888"/>
      <c r="CE27" s="888"/>
      <c r="CF27" s="888"/>
      <c r="CG27" s="888"/>
      <c r="CH27" s="888"/>
      <c r="CI27" s="888"/>
      <c r="CJ27" s="888"/>
      <c r="CK27" s="888"/>
      <c r="CL27" s="888"/>
      <c r="CM27" s="898"/>
      <c r="CN27" s="898"/>
      <c r="CO27" s="898"/>
      <c r="CP27" s="898"/>
      <c r="CQ27" s="898"/>
      <c r="CR27" s="898"/>
      <c r="CS27" s="898"/>
      <c r="CT27" s="898"/>
      <c r="CU27" s="898"/>
      <c r="CV27" s="898"/>
      <c r="CW27" s="114"/>
      <c r="CX27" s="114"/>
      <c r="CY27" s="114"/>
      <c r="CZ27" s="899"/>
      <c r="DA27" s="899"/>
      <c r="DB27" s="899"/>
      <c r="DC27" s="899"/>
      <c r="DD27" s="899"/>
      <c r="DE27" s="899"/>
      <c r="DF27" s="899"/>
      <c r="DG27" s="899"/>
      <c r="DH27" s="899"/>
      <c r="DI27" s="899"/>
      <c r="DJ27" s="900"/>
      <c r="DK27" s="900"/>
      <c r="DL27" s="900"/>
      <c r="DM27" s="900"/>
      <c r="DN27" s="900"/>
      <c r="DO27" s="900"/>
      <c r="DP27" s="900"/>
      <c r="DQ27" s="900"/>
      <c r="DR27" s="900"/>
      <c r="DS27" s="900"/>
      <c r="DT27" s="114"/>
      <c r="DU27" s="114"/>
      <c r="DV27" s="114"/>
      <c r="DW27" s="722">
        <f>VLOOKUP($AK$11,導入率!A4:AX37,43,FALSE)</f>
        <v>0.22580645161290322</v>
      </c>
      <c r="DX27" s="723"/>
      <c r="DY27" s="723"/>
      <c r="DZ27" s="724"/>
      <c r="EA27" s="722">
        <f>VLOOKUP($AK$11,導入率!A4:AX37,44,FALSE)</f>
        <v>0.70967741935483875</v>
      </c>
      <c r="EB27" s="723"/>
      <c r="EC27" s="723"/>
      <c r="ED27" s="724"/>
      <c r="EE27" s="722">
        <f>調査票①!GL1731</f>
        <v>0.14177803602556652</v>
      </c>
      <c r="EF27" s="723"/>
      <c r="EG27" s="723"/>
      <c r="EH27" s="724"/>
      <c r="EI27" s="722">
        <f>調査票①!GN1731</f>
        <v>0.27425915165601394</v>
      </c>
      <c r="EJ27" s="723"/>
      <c r="EK27" s="723"/>
      <c r="EL27" s="724"/>
      <c r="EM27" s="98"/>
      <c r="EN27" s="98"/>
      <c r="EO27" s="98"/>
      <c r="EP27" s="98"/>
      <c r="EQ27" s="98"/>
      <c r="ER27" s="98"/>
      <c r="ES27" s="100"/>
    </row>
    <row r="28" spans="3:149" ht="19.75" customHeight="1">
      <c r="C28" s="96"/>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0.96296296296296291</v>
      </c>
      <c r="BK28" s="834"/>
      <c r="BL28" s="834"/>
      <c r="BM28" s="834"/>
      <c r="BN28" s="835"/>
      <c r="BO28" s="839">
        <f>調査票①!N1731</f>
        <v>0.92835820895522392</v>
      </c>
      <c r="BP28" s="840"/>
      <c r="BQ28" s="840"/>
      <c r="BR28" s="841"/>
      <c r="BS28" s="98"/>
      <c r="BT28" s="100"/>
      <c r="CB28" s="113"/>
      <c r="CC28" s="888"/>
      <c r="CD28" s="888"/>
      <c r="CE28" s="888"/>
      <c r="CF28" s="888"/>
      <c r="CG28" s="888"/>
      <c r="CH28" s="888"/>
      <c r="CI28" s="888"/>
      <c r="CJ28" s="888"/>
      <c r="CK28" s="888"/>
      <c r="CL28" s="888"/>
      <c r="CM28" s="898"/>
      <c r="CN28" s="898"/>
      <c r="CO28" s="898"/>
      <c r="CP28" s="898"/>
      <c r="CQ28" s="898"/>
      <c r="CR28" s="898"/>
      <c r="CS28" s="898"/>
      <c r="CT28" s="898"/>
      <c r="CU28" s="898"/>
      <c r="CV28" s="898"/>
      <c r="CW28" s="114"/>
      <c r="CX28" s="114"/>
      <c r="CY28" s="114"/>
      <c r="CZ28" s="899"/>
      <c r="DA28" s="899"/>
      <c r="DB28" s="899"/>
      <c r="DC28" s="899"/>
      <c r="DD28" s="899"/>
      <c r="DE28" s="899"/>
      <c r="DF28" s="899"/>
      <c r="DG28" s="899"/>
      <c r="DH28" s="899"/>
      <c r="DI28" s="899"/>
      <c r="DJ28" s="900"/>
      <c r="DK28" s="900"/>
      <c r="DL28" s="900"/>
      <c r="DM28" s="900"/>
      <c r="DN28" s="900"/>
      <c r="DO28" s="900"/>
      <c r="DP28" s="900"/>
      <c r="DQ28" s="900"/>
      <c r="DR28" s="900"/>
      <c r="DS28" s="900"/>
      <c r="DT28" s="114"/>
      <c r="DU28" s="114"/>
      <c r="DV28" s="114"/>
      <c r="DW28" s="725"/>
      <c r="DX28" s="726"/>
      <c r="DY28" s="726"/>
      <c r="DZ28" s="727"/>
      <c r="EA28" s="725"/>
      <c r="EB28" s="726"/>
      <c r="EC28" s="726"/>
      <c r="ED28" s="727"/>
      <c r="EE28" s="725"/>
      <c r="EF28" s="726"/>
      <c r="EG28" s="726"/>
      <c r="EH28" s="727"/>
      <c r="EI28" s="725"/>
      <c r="EJ28" s="726"/>
      <c r="EK28" s="726"/>
      <c r="EL28" s="727"/>
      <c r="EM28" s="98"/>
      <c r="EN28" s="98"/>
      <c r="EO28" s="98"/>
      <c r="EP28" s="98"/>
      <c r="EQ28" s="98"/>
      <c r="ER28" s="98"/>
      <c r="ES28" s="100"/>
    </row>
    <row r="29" spans="3:149" ht="19.75" customHeight="1">
      <c r="C29" s="96"/>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0.8666666666666667</v>
      </c>
      <c r="BK30" s="834"/>
      <c r="BL30" s="834"/>
      <c r="BM30" s="834"/>
      <c r="BN30" s="835"/>
      <c r="BO30" s="839">
        <f>調査票①!Q1731</f>
        <v>0.88569321533923306</v>
      </c>
      <c r="BP30" s="840"/>
      <c r="BQ30" s="840"/>
      <c r="BR30" s="841"/>
      <c r="BS30" s="98"/>
      <c r="BT30" s="100"/>
      <c r="EQ30" s="80"/>
    </row>
    <row r="31" spans="3:149" ht="19.75" customHeight="1">
      <c r="C31" s="96"/>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1</v>
      </c>
      <c r="BK32" s="834"/>
      <c r="BL32" s="834"/>
      <c r="BM32" s="834"/>
      <c r="BN32" s="835"/>
      <c r="BO32" s="839">
        <f>調査票①!T1731</f>
        <v>0.98208469055374592</v>
      </c>
      <c r="BP32" s="840"/>
      <c r="BQ32" s="840"/>
      <c r="BR32" s="841"/>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1</v>
      </c>
      <c r="BK34" s="834"/>
      <c r="BL34" s="834"/>
      <c r="BM34" s="834"/>
      <c r="BN34" s="835"/>
      <c r="BO34" s="839">
        <f>調査票①!W1731</f>
        <v>0.97490092470277412</v>
      </c>
      <c r="BP34" s="840"/>
      <c r="BQ34" s="840"/>
      <c r="BR34" s="841"/>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8"/>
      <c r="BT35" s="100"/>
      <c r="CB35" s="109"/>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0"/>
      <c r="CX35" s="110"/>
      <c r="CY35" s="110"/>
      <c r="CZ35" s="110"/>
      <c r="DA35" s="110"/>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0"/>
      <c r="EI35" s="860" t="s">
        <v>70</v>
      </c>
      <c r="EJ35" s="861"/>
      <c r="EK35" s="861"/>
      <c r="EL35" s="861"/>
      <c r="EM35" s="861"/>
      <c r="EN35" s="861"/>
      <c r="EO35" s="861"/>
      <c r="EP35" s="862"/>
      <c r="EQ35" s="98"/>
      <c r="ER35" s="98"/>
      <c r="ES35" s="100"/>
    </row>
    <row r="36" spans="3:149" ht="19.75" customHeight="1">
      <c r="C36" s="96"/>
      <c r="D36" s="845" t="s">
        <v>12341</v>
      </c>
      <c r="E36" s="846"/>
      <c r="F36" s="846"/>
      <c r="G36" s="846"/>
      <c r="H36" s="846"/>
      <c r="I36" s="846"/>
      <c r="J36" s="846"/>
      <c r="K36" s="846"/>
      <c r="L36" s="846"/>
      <c r="M36" s="847"/>
      <c r="N36" s="826" t="str">
        <f>VLOOKUP($D$11,調査票①!$A$3:$HK$1735,27,FALSE)&amp;""</f>
        <v>　</v>
      </c>
      <c r="O36" s="826"/>
      <c r="P36" s="826"/>
      <c r="Q36" s="826"/>
      <c r="R36" s="827" t="str">
        <f>VLOOKUP($D$11,調査票①!$A$3:$HK$1735,28,FALSE)&amp;""</f>
        <v>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0.93548387096774188</v>
      </c>
      <c r="BK36" s="834"/>
      <c r="BL36" s="834"/>
      <c r="BM36" s="834"/>
      <c r="BN36" s="835"/>
      <c r="BO36" s="839">
        <f>調査票①!Z1731</f>
        <v>0.72546419098143233</v>
      </c>
      <c r="BP36" s="840"/>
      <c r="BQ36" s="840"/>
      <c r="BR36" s="841"/>
      <c r="BS36" s="98"/>
      <c r="BT36" s="100"/>
      <c r="CB36" s="109"/>
      <c r="CC36" s="878"/>
      <c r="CD36" s="879"/>
      <c r="CE36" s="879"/>
      <c r="CF36" s="879"/>
      <c r="CG36" s="879"/>
      <c r="CH36" s="879"/>
      <c r="CI36" s="879"/>
      <c r="CJ36" s="879"/>
      <c r="CK36" s="879"/>
      <c r="CL36" s="880"/>
      <c r="CM36" s="878"/>
      <c r="CN36" s="879"/>
      <c r="CO36" s="879"/>
      <c r="CP36" s="879"/>
      <c r="CQ36" s="879"/>
      <c r="CR36" s="879"/>
      <c r="CS36" s="879"/>
      <c r="CT36" s="879"/>
      <c r="CU36" s="879"/>
      <c r="CV36" s="880"/>
      <c r="CW36" s="110"/>
      <c r="CX36" s="110"/>
      <c r="CY36" s="110"/>
      <c r="CZ36" s="110"/>
      <c r="DA36" s="110"/>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0"/>
      <c r="EI36" s="863" t="s">
        <v>12342</v>
      </c>
      <c r="EJ36" s="864"/>
      <c r="EK36" s="864"/>
      <c r="EL36" s="865"/>
      <c r="EM36" s="869" t="s">
        <v>12331</v>
      </c>
      <c r="EN36" s="864"/>
      <c r="EO36" s="864"/>
      <c r="EP36" s="865"/>
      <c r="EQ36" s="98"/>
      <c r="ER36" s="98"/>
      <c r="ES36" s="100"/>
    </row>
    <row r="37" spans="3:149" ht="19.75" customHeight="1">
      <c r="C37" s="96"/>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8"/>
      <c r="BT37" s="100"/>
      <c r="CB37" s="109"/>
      <c r="CC37" s="870" t="str">
        <f>VLOOKUP($D$11,調査票①!$A$3:$HK$1735,199,FALSE)&amp;""</f>
        <v>実施済</v>
      </c>
      <c r="CD37" s="876"/>
      <c r="CE37" s="876"/>
      <c r="CF37" s="876"/>
      <c r="CG37" s="876"/>
      <c r="CH37" s="876"/>
      <c r="CI37" s="876"/>
      <c r="CJ37" s="876"/>
      <c r="CK37" s="876"/>
      <c r="CL37" s="877"/>
      <c r="CM37" s="870" t="str">
        <f>VLOOKUP($D$11,調査票①!$A$3:$HK$1735,200,FALSE)&amp;""</f>
        <v>委託有</v>
      </c>
      <c r="CN37" s="876"/>
      <c r="CO37" s="876"/>
      <c r="CP37" s="876"/>
      <c r="CQ37" s="876"/>
      <c r="CR37" s="876"/>
      <c r="CS37" s="876"/>
      <c r="CT37" s="876"/>
      <c r="CU37" s="876"/>
      <c r="CV37" s="877"/>
      <c r="CW37" s="110"/>
      <c r="CX37" s="110"/>
      <c r="CY37" s="110"/>
      <c r="CZ37" s="110"/>
      <c r="DA37" s="110"/>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0"/>
      <c r="EI37" s="866"/>
      <c r="EJ37" s="867"/>
      <c r="EK37" s="867"/>
      <c r="EL37" s="868"/>
      <c r="EM37" s="866"/>
      <c r="EN37" s="867"/>
      <c r="EO37" s="867"/>
      <c r="EP37" s="868"/>
      <c r="EQ37" s="98"/>
      <c r="ER37" s="98"/>
      <c r="ES37" s="100"/>
    </row>
    <row r="38" spans="3:149" ht="19.75" customHeight="1">
      <c r="C38" s="96"/>
      <c r="D38" s="845" t="s">
        <v>12351</v>
      </c>
      <c r="E38" s="846"/>
      <c r="F38" s="846"/>
      <c r="G38" s="846"/>
      <c r="H38" s="846"/>
      <c r="I38" s="846"/>
      <c r="J38" s="846"/>
      <c r="K38" s="846"/>
      <c r="L38" s="846"/>
      <c r="M38" s="847"/>
      <c r="N38" s="826" t="str">
        <f>VLOOKUP($D$11,調査票①!$A$3:$HK$1735,30,FALSE)&amp;""</f>
        <v>　</v>
      </c>
      <c r="O38" s="826"/>
      <c r="P38" s="826"/>
      <c r="Q38" s="826"/>
      <c r="R38" s="827" t="str">
        <f>VLOOKUP($D$11,調査票①!$A$3:$HK$1735,31,FALSE)&amp;""</f>
        <v>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1</v>
      </c>
      <c r="BK38" s="834"/>
      <c r="BL38" s="834"/>
      <c r="BM38" s="834"/>
      <c r="BN38" s="835"/>
      <c r="BO38" s="839">
        <f>調査票①!AC1731</f>
        <v>0.91211401425178151</v>
      </c>
      <c r="BP38" s="840"/>
      <c r="BQ38" s="840"/>
      <c r="BR38" s="841"/>
      <c r="BS38" s="98"/>
      <c r="BT38" s="100"/>
      <c r="CB38" s="109"/>
      <c r="CC38" s="878"/>
      <c r="CD38" s="879"/>
      <c r="CE38" s="879"/>
      <c r="CF38" s="879"/>
      <c r="CG38" s="879"/>
      <c r="CH38" s="879"/>
      <c r="CI38" s="879"/>
      <c r="CJ38" s="879"/>
      <c r="CK38" s="879"/>
      <c r="CL38" s="880"/>
      <c r="CM38" s="878"/>
      <c r="CN38" s="879"/>
      <c r="CO38" s="879"/>
      <c r="CP38" s="879"/>
      <c r="CQ38" s="879"/>
      <c r="CR38" s="879"/>
      <c r="CS38" s="879"/>
      <c r="CT38" s="879"/>
      <c r="CU38" s="879"/>
      <c r="CV38" s="880"/>
      <c r="CW38" s="110"/>
      <c r="CX38" s="110"/>
      <c r="CY38" s="110"/>
      <c r="CZ38" s="110"/>
      <c r="DA38" s="110"/>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0"/>
      <c r="EI38" s="722">
        <f>VLOOKUP($AK$11,導入率!A4:AX37,45,FALSE)</f>
        <v>0.70967741935483875</v>
      </c>
      <c r="EJ38" s="723"/>
      <c r="EK38" s="723"/>
      <c r="EL38" s="724"/>
      <c r="EM38" s="722">
        <f>VLOOKUP($AK$11,導入率!A4:AX37,46,FALSE)</f>
        <v>9.6774193548387094E-2</v>
      </c>
      <c r="EN38" s="723"/>
      <c r="EO38" s="723"/>
      <c r="EP38" s="724"/>
      <c r="EQ38" s="98"/>
      <c r="ER38" s="98"/>
      <c r="ES38" s="100"/>
    </row>
    <row r="39" spans="3:149" ht="19.75" customHeight="1">
      <c r="C39" s="96"/>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0" t="str">
        <f>VLOOKUP($D$11,調査票①!$A$3:$HK$1735,201,FALSE)&amp;""</f>
        <v>○</v>
      </c>
      <c r="DC39" s="871"/>
      <c r="DD39" s="871"/>
      <c r="DE39" s="872"/>
      <c r="DF39" s="870" t="str">
        <f>VLOOKUP($D$11,調査票①!$A$3:$HK$1735,202,FALSE)&amp;""</f>
        <v>○</v>
      </c>
      <c r="DG39" s="871"/>
      <c r="DH39" s="871"/>
      <c r="DI39" s="872"/>
      <c r="DJ39" s="870" t="str">
        <f>VLOOKUP($D$11,調査票①!$A$3:$HK$1735,203,FALSE)&amp;""</f>
        <v>○</v>
      </c>
      <c r="DK39" s="871"/>
      <c r="DL39" s="871"/>
      <c r="DM39" s="872"/>
      <c r="DN39" s="870" t="str">
        <f>VLOOKUP($D$11,調査票①!$A$3:$HK$1735,204,FALSE)&amp;""</f>
        <v>○</v>
      </c>
      <c r="DO39" s="871"/>
      <c r="DP39" s="871"/>
      <c r="DQ39" s="872"/>
      <c r="DR39" s="870" t="str">
        <f>VLOOKUP($D$11,調査票①!$A$3:$HK$1735,206,FALSE)&amp;""</f>
        <v>○</v>
      </c>
      <c r="DS39" s="871"/>
      <c r="DT39" s="871"/>
      <c r="DU39" s="872"/>
      <c r="DV39" s="870" t="str">
        <f>VLOOKUP($D$11,調査票①!$A$3:$HK$1735,207,FALSE)&amp;""</f>
        <v/>
      </c>
      <c r="DW39" s="871"/>
      <c r="DX39" s="871"/>
      <c r="DY39" s="872"/>
      <c r="DZ39" s="870" t="str">
        <f>VLOOKUP($D$11,調査票①!$A$3:$HK$1735,208,FALSE)&amp;""</f>
        <v/>
      </c>
      <c r="EA39" s="871"/>
      <c r="EB39" s="871"/>
      <c r="EC39" s="872"/>
      <c r="ED39" s="870" t="str">
        <f>VLOOKUP($D$11,調査票①!$A$3:$HK$1735,209,FALSE)&amp;""</f>
        <v/>
      </c>
      <c r="EE39" s="871"/>
      <c r="EF39" s="871"/>
      <c r="EG39" s="872"/>
      <c r="EH39" s="110"/>
      <c r="EI39" s="725"/>
      <c r="EJ39" s="726"/>
      <c r="EK39" s="726"/>
      <c r="EL39" s="727"/>
      <c r="EM39" s="725"/>
      <c r="EN39" s="726"/>
      <c r="EO39" s="726"/>
      <c r="EP39" s="727"/>
      <c r="EQ39" s="98"/>
      <c r="ER39" s="98"/>
      <c r="ES39" s="100"/>
    </row>
    <row r="40" spans="3:149" ht="19.75" customHeight="1">
      <c r="C40" s="96"/>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当分の間、直営を維持</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0.41379310344827586</v>
      </c>
      <c r="BK40" s="834"/>
      <c r="BL40" s="834"/>
      <c r="BM40" s="834"/>
      <c r="BN40" s="835"/>
      <c r="BO40" s="839">
        <f>調査票①!AF1731</f>
        <v>0.37983034872761545</v>
      </c>
      <c r="BP40" s="840"/>
      <c r="BQ40" s="840"/>
      <c r="BR40" s="841"/>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0"/>
      <c r="EI40" s="860" t="s">
        <v>12329</v>
      </c>
      <c r="EJ40" s="861"/>
      <c r="EK40" s="861"/>
      <c r="EL40" s="861"/>
      <c r="EM40" s="861"/>
      <c r="EN40" s="861"/>
      <c r="EO40" s="861"/>
      <c r="EP40" s="862"/>
      <c r="EQ40" s="98"/>
      <c r="ER40" s="98"/>
      <c r="ES40" s="100"/>
    </row>
    <row r="41" spans="3:149" ht="19.75" customHeight="1">
      <c r="C41" s="96"/>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3" t="s">
        <v>12342</v>
      </c>
      <c r="EJ41" s="864"/>
      <c r="EK41" s="864"/>
      <c r="EL41" s="865"/>
      <c r="EM41" s="869" t="s">
        <v>12331</v>
      </c>
      <c r="EN41" s="864"/>
      <c r="EO41" s="864"/>
      <c r="EP41" s="865"/>
      <c r="EQ41" s="98"/>
      <c r="ER41" s="98"/>
      <c r="ES41" s="100"/>
    </row>
    <row r="42" spans="3:149" ht="19.75" customHeight="1">
      <c r="C42" s="96"/>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6"/>
      <c r="EJ42" s="867"/>
      <c r="EK42" s="867"/>
      <c r="EL42" s="868"/>
      <c r="EM42" s="866"/>
      <c r="EN42" s="867"/>
      <c r="EO42" s="867"/>
      <c r="EP42" s="868"/>
      <c r="EQ42" s="98"/>
      <c r="ER42" s="98"/>
      <c r="ES42" s="100"/>
    </row>
    <row r="43" spans="3:149" ht="19.75" customHeight="1">
      <c r="C43" s="96"/>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2">
        <f>調査票①!GQ1731</f>
        <v>0.3346891342242882</v>
      </c>
      <c r="EJ43" s="723"/>
      <c r="EK43" s="723"/>
      <c r="EL43" s="724"/>
      <c r="EM43" s="722">
        <f>調査票①!GR1731</f>
        <v>3.3120278907611857E-2</v>
      </c>
      <c r="EN43" s="723"/>
      <c r="EO43" s="723"/>
      <c r="EP43" s="724"/>
      <c r="EQ43" s="98"/>
      <c r="ER43" s="98"/>
      <c r="ES43" s="100"/>
    </row>
    <row r="44" spans="3:149" ht="19.75" customHeight="1">
      <c r="C44" s="96"/>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5"/>
      <c r="EJ44" s="726"/>
      <c r="EK44" s="726"/>
      <c r="EL44" s="727"/>
      <c r="EM44" s="725"/>
      <c r="EN44" s="726"/>
      <c r="EO44" s="726"/>
      <c r="EP44" s="727"/>
      <c r="EQ44" s="98"/>
      <c r="ER44" s="98"/>
      <c r="ES44" s="100"/>
    </row>
    <row r="45" spans="3:149" ht="19.75" customHeight="1">
      <c r="C45" s="96"/>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8"/>
      <c r="BT46" s="100"/>
      <c r="CB46" s="109"/>
      <c r="CC46" s="110"/>
      <c r="CD46" s="110"/>
      <c r="CE46" s="110"/>
      <c r="CF46" s="110"/>
      <c r="CG46" s="110"/>
      <c r="CH46" s="110"/>
      <c r="CI46" s="110"/>
      <c r="CJ46" s="110"/>
      <c r="CK46" s="110"/>
      <c r="CL46" s="110"/>
      <c r="CM46" s="851" t="str">
        <f>VLOOKUP($D$11,調査票①!$A$3:$HK$1735,205,FALSE)&amp;""</f>
        <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0"/>
      <c r="EM46" s="110"/>
      <c r="EN46" s="110"/>
      <c r="EO46" s="110"/>
      <c r="EP46" s="110"/>
      <c r="EQ46" s="98"/>
      <c r="ER46" s="98"/>
      <c r="ES46" s="100"/>
    </row>
    <row r="47" spans="3:149" ht="19.75" customHeight="1">
      <c r="C47" s="96"/>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8"/>
      <c r="BT47" s="100"/>
      <c r="CB47" s="109"/>
      <c r="CC47" s="110"/>
      <c r="CD47" s="110"/>
      <c r="CE47" s="110"/>
      <c r="CF47" s="110"/>
      <c r="CG47" s="110"/>
      <c r="CH47" s="110"/>
      <c r="CI47" s="110"/>
      <c r="CJ47" s="110"/>
      <c r="CK47" s="110"/>
      <c r="CL47" s="110"/>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0"/>
      <c r="EM47" s="110"/>
      <c r="EN47" s="110"/>
      <c r="EO47" s="110"/>
      <c r="EP47" s="110"/>
      <c r="EQ47" s="98"/>
      <c r="ER47" s="98"/>
      <c r="ES47" s="100"/>
    </row>
    <row r="48" spans="3:149" ht="19.75" customHeight="1">
      <c r="C48" s="96"/>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0.96</v>
      </c>
      <c r="BK48" s="834"/>
      <c r="BL48" s="834"/>
      <c r="BM48" s="834"/>
      <c r="BN48" s="835"/>
      <c r="BO48" s="839">
        <f>調査票①!AR1731</f>
        <v>0.99852507374631272</v>
      </c>
      <c r="BP48" s="840"/>
      <c r="BQ48" s="840"/>
      <c r="BR48" s="841"/>
      <c r="BS48" s="98"/>
      <c r="BT48" s="100"/>
      <c r="CB48" s="109"/>
      <c r="CC48" s="110"/>
      <c r="CD48" s="110"/>
      <c r="CE48" s="110"/>
      <c r="CF48" s="110"/>
      <c r="CG48" s="110"/>
      <c r="CH48" s="110"/>
      <c r="CI48" s="110"/>
      <c r="CJ48" s="110"/>
      <c r="CK48" s="110"/>
      <c r="CL48" s="110"/>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0"/>
      <c r="EM48" s="110"/>
      <c r="EN48" s="110"/>
      <c r="EO48" s="110"/>
      <c r="EP48" s="110"/>
      <c r="EQ48" s="98"/>
      <c r="ER48" s="98"/>
      <c r="ES48" s="100"/>
    </row>
    <row r="49" spans="1:203" ht="19.75" customHeight="1">
      <c r="C49" s="96"/>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8"/>
      <c r="BT49" s="100"/>
      <c r="CB49" s="109"/>
      <c r="CC49" s="110"/>
      <c r="CD49" s="98"/>
      <c r="CE49" s="110"/>
      <c r="CF49" s="110"/>
      <c r="CG49" s="110"/>
      <c r="CH49" s="110"/>
      <c r="CI49" s="98"/>
      <c r="CJ49" s="110"/>
      <c r="CK49" s="110"/>
      <c r="CL49" s="110"/>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0"/>
      <c r="EM49" s="110"/>
      <c r="EN49" s="110"/>
      <c r="EO49" s="110"/>
      <c r="EP49" s="110"/>
      <c r="EQ49" s="98"/>
      <c r="ER49" s="98"/>
      <c r="ES49" s="100"/>
    </row>
    <row r="50" spans="1:203" ht="19.75" customHeight="1">
      <c r="C50" s="96"/>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8"/>
      <c r="BT50" s="100"/>
      <c r="CB50" s="109"/>
      <c r="CC50" s="110"/>
      <c r="CD50" s="110"/>
      <c r="CE50" s="110"/>
      <c r="CF50" s="110"/>
      <c r="CG50" s="110"/>
      <c r="CH50" s="110"/>
      <c r="CI50" s="110"/>
      <c r="CJ50" s="110"/>
      <c r="CK50" s="110"/>
      <c r="CL50" s="110"/>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0"/>
      <c r="EM50" s="110"/>
      <c r="EN50" s="110"/>
      <c r="EO50" s="110"/>
      <c r="EP50" s="110"/>
      <c r="EQ50" s="98"/>
      <c r="ER50" s="98"/>
      <c r="ES50" s="100"/>
    </row>
    <row r="51" spans="1:203" ht="19.75" customHeight="1">
      <c r="C51" s="96"/>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8"/>
      <c r="BT51" s="100"/>
      <c r="CB51" s="109"/>
      <c r="CC51" s="110"/>
      <c r="CD51" s="110"/>
      <c r="CE51" s="110"/>
      <c r="CF51" s="110"/>
      <c r="CG51" s="110"/>
      <c r="CH51" s="110"/>
      <c r="CI51" s="110"/>
      <c r="CJ51" s="110"/>
      <c r="CK51" s="110"/>
      <c r="CL51" s="110"/>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0"/>
      <c r="EM51" s="110"/>
      <c r="EN51" s="110"/>
      <c r="EO51" s="110"/>
      <c r="EP51" s="110"/>
      <c r="EQ51" s="98"/>
      <c r="ER51" s="98"/>
      <c r="ES51" s="100"/>
    </row>
    <row r="52" spans="1:203" ht="19.75" customHeight="1">
      <c r="C52" s="96"/>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1</v>
      </c>
      <c r="BK52" s="834"/>
      <c r="BL52" s="834"/>
      <c r="BM52" s="834"/>
      <c r="BN52" s="835"/>
      <c r="BO52" s="839">
        <f>調査票①!AX1731</f>
        <v>0.9783301465901848</v>
      </c>
      <c r="BP52" s="840"/>
      <c r="BQ52" s="840"/>
      <c r="BR52" s="841"/>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0.96551724137931039</v>
      </c>
      <c r="BK54" s="834"/>
      <c r="BL54" s="834"/>
      <c r="BM54" s="834"/>
      <c r="BN54" s="835"/>
      <c r="BO54" s="839">
        <f>調査票①!BA1731</f>
        <v>0.9625876851130164</v>
      </c>
      <c r="BP54" s="840"/>
      <c r="BQ54" s="840"/>
      <c r="BR54" s="841"/>
      <c r="BS54" s="98"/>
      <c r="BT54" s="100"/>
      <c r="CB54" s="109"/>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0"/>
      <c r="CX54" s="110"/>
      <c r="CY54" s="110"/>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8"/>
      <c r="BT55" s="100"/>
      <c r="CA55" s="80"/>
      <c r="CB55" s="109"/>
      <c r="CC55" s="811"/>
      <c r="CD55" s="812"/>
      <c r="CE55" s="812"/>
      <c r="CF55" s="812"/>
      <c r="CG55" s="812"/>
      <c r="CH55" s="812"/>
      <c r="CI55" s="812"/>
      <c r="CJ55" s="812"/>
      <c r="CK55" s="812"/>
      <c r="CL55" s="813"/>
      <c r="CM55" s="817"/>
      <c r="CN55" s="817"/>
      <c r="CO55" s="817"/>
      <c r="CP55" s="817"/>
      <c r="CQ55" s="817"/>
      <c r="CR55" s="817"/>
      <c r="CS55" s="817"/>
      <c r="CT55" s="817"/>
      <c r="CU55" s="817"/>
      <c r="CV55" s="817"/>
      <c r="CW55" s="110"/>
      <c r="CX55" s="110"/>
      <c r="CY55" s="110"/>
      <c r="CZ55" s="818"/>
      <c r="DA55" s="818"/>
      <c r="DB55" s="818"/>
      <c r="DC55" s="818"/>
      <c r="DD55" s="818"/>
      <c r="DE55" s="818"/>
      <c r="DF55" s="818"/>
      <c r="DG55" s="818"/>
      <c r="DH55" s="818"/>
      <c r="DI55" s="819"/>
      <c r="DJ55" s="819"/>
      <c r="DK55" s="819"/>
      <c r="DL55" s="819"/>
      <c r="DM55" s="819"/>
      <c r="DN55" s="819"/>
      <c r="DO55" s="819"/>
      <c r="DP55" s="819"/>
      <c r="DQ55" s="819"/>
      <c r="DR55" s="819"/>
      <c r="DS55" s="81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4"/>
      <c r="CD56" s="815"/>
      <c r="CE56" s="815"/>
      <c r="CF56" s="815"/>
      <c r="CG56" s="815"/>
      <c r="CH56" s="815"/>
      <c r="CI56" s="815"/>
      <c r="CJ56" s="815"/>
      <c r="CK56" s="815"/>
      <c r="CL56" s="816"/>
      <c r="CM56" s="817"/>
      <c r="CN56" s="817"/>
      <c r="CO56" s="817"/>
      <c r="CP56" s="817"/>
      <c r="CQ56" s="817"/>
      <c r="CR56" s="817"/>
      <c r="CS56" s="817"/>
      <c r="CT56" s="817"/>
      <c r="CU56" s="817"/>
      <c r="CV56" s="817"/>
      <c r="CW56" s="110"/>
      <c r="CX56" s="110"/>
      <c r="CY56" s="110"/>
      <c r="CZ56" s="818"/>
      <c r="DA56" s="818"/>
      <c r="DB56" s="818"/>
      <c r="DC56" s="818"/>
      <c r="DD56" s="818"/>
      <c r="DE56" s="818"/>
      <c r="DF56" s="818"/>
      <c r="DG56" s="818"/>
      <c r="DH56" s="818"/>
      <c r="DI56" s="819"/>
      <c r="DJ56" s="819"/>
      <c r="DK56" s="819"/>
      <c r="DL56" s="819"/>
      <c r="DM56" s="819"/>
      <c r="DN56" s="819"/>
      <c r="DO56" s="819"/>
      <c r="DP56" s="819"/>
      <c r="DQ56" s="819"/>
      <c r="DR56" s="819"/>
      <c r="DS56" s="81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0"/>
      <c r="FX60" s="80"/>
      <c r="FY60" s="80"/>
      <c r="FZ60" s="80"/>
      <c r="GA60" s="80"/>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0"/>
      <c r="FX61" s="80"/>
      <c r="FY61" s="80"/>
      <c r="FZ61" s="80"/>
      <c r="GA61" s="80"/>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01" t="s">
        <v>12364</v>
      </c>
      <c r="EL62" s="802"/>
      <c r="EM62" s="802"/>
      <c r="EN62" s="802"/>
      <c r="EO62" s="802"/>
      <c r="EP62" s="802"/>
      <c r="EQ62" s="802"/>
      <c r="ER62" s="803"/>
      <c r="ES62" s="142"/>
      <c r="EW62" s="80"/>
      <c r="EX62" s="80"/>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0"/>
      <c r="FX62" s="80"/>
      <c r="FY62" s="80"/>
      <c r="FZ62" s="80"/>
      <c r="GA62" s="80"/>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04"/>
      <c r="EL63" s="805"/>
      <c r="EM63" s="805"/>
      <c r="EN63" s="805"/>
      <c r="EO63" s="805"/>
      <c r="EP63" s="805"/>
      <c r="EQ63" s="805"/>
      <c r="ER63" s="806"/>
      <c r="ES63" s="100"/>
      <c r="EW63" s="80"/>
      <c r="EX63" s="80"/>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0"/>
      <c r="FX63" s="80"/>
      <c r="FY63" s="80"/>
      <c r="FZ63" s="80"/>
      <c r="GA63" s="80"/>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7" t="s">
        <v>12326</v>
      </c>
      <c r="BK64" s="807"/>
      <c r="BL64" s="807"/>
      <c r="BM64" s="807"/>
      <c r="BN64" s="807"/>
      <c r="BO64" s="807"/>
      <c r="BP64" s="807"/>
      <c r="BQ64" s="807"/>
      <c r="BR64" s="80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759" t="s">
        <v>12366</v>
      </c>
      <c r="EL64" s="760"/>
      <c r="EM64" s="760"/>
      <c r="EN64" s="761"/>
      <c r="EO64" s="765" t="s">
        <v>12367</v>
      </c>
      <c r="EP64" s="760"/>
      <c r="EQ64" s="760"/>
      <c r="ER64" s="761"/>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399999999999999" customHeight="1">
      <c r="C65" s="96"/>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8"/>
      <c r="BT65" s="100"/>
      <c r="BU65" s="106"/>
      <c r="BV65" s="106"/>
      <c r="CB65" s="96"/>
      <c r="CC65" s="97"/>
      <c r="CD65" s="699" t="s">
        <v>42</v>
      </c>
      <c r="CE65" s="699"/>
      <c r="CF65" s="699"/>
      <c r="CG65" s="699"/>
      <c r="CH65" s="699"/>
      <c r="CI65" s="699"/>
      <c r="CJ65" s="699"/>
      <c r="CK65" s="699"/>
      <c r="CL65" s="699"/>
      <c r="CM65" s="699"/>
      <c r="CN65" s="699" t="str">
        <f>VLOOKUP($D$11,調査票①!$A$3:$HK$1735,212,FALSE)&amp;""</f>
        <v/>
      </c>
      <c r="CO65" s="699"/>
      <c r="CP65" s="699"/>
      <c r="CQ65" s="699"/>
      <c r="CR65" s="699"/>
      <c r="CS65" s="699"/>
      <c r="CT65" s="699"/>
      <c r="CU65" s="699"/>
      <c r="CV65" s="699"/>
      <c r="CW65" s="699"/>
      <c r="CX65" s="699"/>
      <c r="CY65" s="699"/>
      <c r="CZ65" s="699"/>
      <c r="DA65" s="699"/>
      <c r="DB65" s="98"/>
      <c r="DC65" s="98"/>
      <c r="DD65" s="123"/>
      <c r="DE65" s="123"/>
      <c r="DF65" s="123"/>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2"/>
      <c r="EG65" s="212"/>
      <c r="EH65" s="212"/>
      <c r="EI65" s="212"/>
      <c r="EJ65" s="210"/>
      <c r="EK65" s="762"/>
      <c r="EL65" s="763"/>
      <c r="EM65" s="763"/>
      <c r="EN65" s="764"/>
      <c r="EO65" s="762"/>
      <c r="EP65" s="763"/>
      <c r="EQ65" s="763"/>
      <c r="ER65" s="764"/>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399999999999999" customHeight="1">
      <c r="C66" s="96"/>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8"/>
      <c r="BT66" s="100"/>
      <c r="BU66" s="106"/>
      <c r="BV66" s="106"/>
      <c r="CB66" s="96"/>
      <c r="CC66" s="97"/>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8"/>
      <c r="DC66" s="98"/>
      <c r="DD66" s="123"/>
      <c r="DE66" s="123"/>
      <c r="DF66" s="123"/>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5"/>
      <c r="EG66" s="145"/>
      <c r="EH66" s="145"/>
      <c r="EI66" s="145"/>
      <c r="EJ66" s="210"/>
      <c r="EK66" s="753">
        <f>VLOOKUP($AK$11,導入率!A4:AX37,47,FALSE)</f>
        <v>0.58064516129032262</v>
      </c>
      <c r="EL66" s="754"/>
      <c r="EM66" s="754"/>
      <c r="EN66" s="755"/>
      <c r="EO66" s="753">
        <f>VLOOKUP($AK$11,導入率!A4:AX37,48,FALSE)</f>
        <v>6.4516129032258063E-2</v>
      </c>
      <c r="EP66" s="754"/>
      <c r="EQ66" s="754"/>
      <c r="ER66" s="755"/>
      <c r="ES66" s="100"/>
    </row>
    <row r="67" spans="3:203" ht="20.399999999999999" customHeight="1">
      <c r="C67" s="96"/>
      <c r="D67" s="701" t="s">
        <v>12377</v>
      </c>
      <c r="E67" s="701"/>
      <c r="F67" s="701"/>
      <c r="G67" s="701"/>
      <c r="H67" s="701"/>
      <c r="I67" s="701"/>
      <c r="J67" s="701"/>
      <c r="K67" s="701"/>
      <c r="L67" s="707" t="str">
        <f>VLOOKUP($D$11,調査票①!$A$3:$HK$1735,56,FALSE)&amp;""</f>
        <v>9</v>
      </c>
      <c r="M67" s="707"/>
      <c r="N67" s="707"/>
      <c r="O67" s="707">
        <f>VLOOKUP($D$11,調査票①!$A$3:$HK$1735,57,FALSE)</f>
        <v>2</v>
      </c>
      <c r="P67" s="707"/>
      <c r="Q67" s="707"/>
      <c r="R67" s="708">
        <f>VLOOKUP($D$11,調査票①!$A$3:$HK$1735,58,FALSE)</f>
        <v>0.22222222222222221</v>
      </c>
      <c r="S67" s="708"/>
      <c r="T67" s="708"/>
      <c r="U67" s="709" t="str">
        <f>VLOOKUP($D$11,調査票①!$A$3:$HK$1735,59,FALSE)&amp;""</f>
        <v>導入対象施設等について、整理が進んでいないため。</v>
      </c>
      <c r="V67" s="710"/>
      <c r="W67" s="710"/>
      <c r="X67" s="710"/>
      <c r="Y67" s="710"/>
      <c r="Z67" s="710"/>
      <c r="AA67" s="710"/>
      <c r="AB67" s="710"/>
      <c r="AC67" s="710"/>
      <c r="AD67" s="710"/>
      <c r="AE67" s="710"/>
      <c r="AF67" s="710"/>
      <c r="AG67" s="710"/>
      <c r="AH67" s="710"/>
      <c r="AI67" s="711"/>
      <c r="AJ67" s="701" t="str">
        <f>VLOOKUP($D$11,調査票①!$A$3:$HK$1735,60,FALSE)&amp;""</f>
        <v>7</v>
      </c>
      <c r="AK67" s="701"/>
      <c r="AL67" s="701"/>
      <c r="AM67" s="716" t="str">
        <f>VLOOKUP($D$11,調査票①!$A$3:$HK$1735,61,FALSE)&amp;""</f>
        <v>　利用者対応等を円滑に行うため。
　また、指定管理者制度導入について検討が進んでおらず、施設の管理運営のため自治体職員を常駐で配置している。</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0.66363636363636369</v>
      </c>
      <c r="BK67" s="723"/>
      <c r="BL67" s="723"/>
      <c r="BM67" s="723"/>
      <c r="BN67" s="724"/>
      <c r="BO67" s="728">
        <f>調査票①!BF1730</f>
        <v>0.40145623034916433</v>
      </c>
      <c r="BP67" s="729"/>
      <c r="BQ67" s="729"/>
      <c r="BR67" s="730"/>
      <c r="BS67" s="98"/>
      <c r="BT67" s="100"/>
      <c r="CB67" s="96"/>
      <c r="CC67" s="97"/>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8"/>
      <c r="DC67" s="98"/>
      <c r="DD67" s="123"/>
      <c r="DE67" s="123"/>
      <c r="DF67" s="123"/>
      <c r="DG67" s="944" t="s">
        <v>12365</v>
      </c>
      <c r="DH67" s="944"/>
      <c r="DI67" s="944"/>
      <c r="DJ67" s="944"/>
      <c r="DK67" s="944"/>
      <c r="DL67" s="944"/>
      <c r="DM67" s="944"/>
      <c r="DN67" s="944"/>
      <c r="DO67" s="944"/>
      <c r="DP67" s="944"/>
      <c r="DQ67" s="944"/>
      <c r="DR67" s="944"/>
      <c r="DS67" s="944"/>
      <c r="DT67" s="945" t="str">
        <f>VLOOKUP($D$11,調査票①!$A$3:$HK$1735,213,FALSE)&amp;""</f>
        <v/>
      </c>
      <c r="DU67" s="946"/>
      <c r="DV67" s="946"/>
      <c r="DW67" s="946"/>
      <c r="DX67" s="946"/>
      <c r="DY67" s="946"/>
      <c r="DZ67" s="946"/>
      <c r="EA67" s="946"/>
      <c r="EB67" s="946"/>
      <c r="EC67" s="946"/>
      <c r="ED67" s="946"/>
      <c r="EE67" s="947"/>
      <c r="EF67" s="145"/>
      <c r="EG67" s="145"/>
      <c r="EH67" s="145"/>
      <c r="EI67" s="145"/>
      <c r="EJ67" s="210"/>
      <c r="EK67" s="756"/>
      <c r="EL67" s="757"/>
      <c r="EM67" s="757"/>
      <c r="EN67" s="758"/>
      <c r="EO67" s="756"/>
      <c r="EP67" s="757"/>
      <c r="EQ67" s="757"/>
      <c r="ER67" s="758"/>
      <c r="ES67" s="100"/>
    </row>
    <row r="68" spans="3:203" ht="20.399999999999999" customHeight="1">
      <c r="C68" s="96"/>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8"/>
      <c r="BT68" s="100"/>
      <c r="CB68" s="96"/>
      <c r="CC68" s="97"/>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8"/>
      <c r="DC68" s="98"/>
      <c r="DD68" s="98"/>
      <c r="DE68" s="98"/>
      <c r="DF68" s="98"/>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6"/>
      <c r="EG68" s="146"/>
      <c r="EH68" s="146"/>
      <c r="EI68" s="146"/>
      <c r="EJ68" s="147"/>
      <c r="EK68" s="766" t="s">
        <v>71</v>
      </c>
      <c r="EL68" s="767"/>
      <c r="EM68" s="767"/>
      <c r="EN68" s="767"/>
      <c r="EO68" s="767"/>
      <c r="EP68" s="767"/>
      <c r="EQ68" s="767"/>
      <c r="ER68" s="768"/>
      <c r="ES68" s="100"/>
    </row>
    <row r="69" spans="3:203" ht="20.399999999999999" customHeight="1">
      <c r="C69" s="96"/>
      <c r="D69" s="749" t="s">
        <v>12378</v>
      </c>
      <c r="E69" s="701"/>
      <c r="F69" s="701"/>
      <c r="G69" s="701"/>
      <c r="H69" s="701"/>
      <c r="I69" s="701"/>
      <c r="J69" s="701"/>
      <c r="K69" s="701"/>
      <c r="L69" s="707" t="str">
        <f>VLOOKUP($D$11,調査票①!$A$3:$HK$1735,62,FALSE)&amp;""</f>
        <v>45</v>
      </c>
      <c r="M69" s="707"/>
      <c r="N69" s="707"/>
      <c r="O69" s="707">
        <f>VLOOKUP($D$11,調査票①!$A$3:$HK$1735,63,FALSE)</f>
        <v>18</v>
      </c>
      <c r="P69" s="707"/>
      <c r="Q69" s="707"/>
      <c r="R69" s="772">
        <f>VLOOKUP($D$11,調査票①!$A$3:$HK$1735,64,FALSE)</f>
        <v>0.4</v>
      </c>
      <c r="S69" s="772"/>
      <c r="T69" s="772"/>
      <c r="U69" s="709" t="str">
        <f>VLOOKUP($D$11,調査票①!$A$3:$HK$1735,65,FALSE)&amp;""</f>
        <v>導入対象施設等について、整理が進んでいないため。</v>
      </c>
      <c r="V69" s="710"/>
      <c r="W69" s="710"/>
      <c r="X69" s="710"/>
      <c r="Y69" s="710"/>
      <c r="Z69" s="710"/>
      <c r="AA69" s="710"/>
      <c r="AB69" s="710"/>
      <c r="AC69" s="710"/>
      <c r="AD69" s="710"/>
      <c r="AE69" s="710"/>
      <c r="AF69" s="710"/>
      <c r="AG69" s="710"/>
      <c r="AH69" s="710"/>
      <c r="AI69" s="711"/>
      <c r="AJ69" s="701" t="str">
        <f>VLOOKUP($D$11,調査票①!$A$3:$HK$1735,66,FALSE)&amp;""</f>
        <v>4</v>
      </c>
      <c r="AK69" s="701"/>
      <c r="AL69" s="701"/>
      <c r="AM69" s="716" t="str">
        <f>VLOOKUP($D$11,調査票①!$A$3:$HK$1735,67,FALSE)&amp;""</f>
        <v>　利用者対応等を円滑に行うため。
　また、指定管理者制度導入について検討が進んでおらず、施設の管理運営のため自治体職員を常駐で配置している。</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0.58787878787878789</v>
      </c>
      <c r="BK69" s="723"/>
      <c r="BL69" s="723"/>
      <c r="BM69" s="723"/>
      <c r="BN69" s="724"/>
      <c r="BO69" s="728">
        <f>調査票①!BL1730</f>
        <v>0.48424486992358545</v>
      </c>
      <c r="BP69" s="729"/>
      <c r="BQ69" s="729"/>
      <c r="BR69" s="730"/>
      <c r="BS69" s="98"/>
      <c r="BT69" s="100"/>
      <c r="CB69" s="96"/>
      <c r="CC69" s="98"/>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8"/>
      <c r="DC69" s="98"/>
      <c r="DD69" s="97"/>
      <c r="DE69" s="97"/>
      <c r="DF69" s="97"/>
      <c r="DG69" s="944" t="s">
        <v>12376</v>
      </c>
      <c r="DH69" s="944"/>
      <c r="DI69" s="944"/>
      <c r="DJ69" s="944"/>
      <c r="DK69" s="944"/>
      <c r="DL69" s="944"/>
      <c r="DM69" s="944"/>
      <c r="DN69" s="944"/>
      <c r="DO69" s="944"/>
      <c r="DP69" s="944"/>
      <c r="DQ69" s="944"/>
      <c r="DR69" s="944"/>
      <c r="DS69" s="944"/>
      <c r="DT69" s="945" t="str">
        <f>IF(VLOOKUP($D$11,調査票①!$A$3:$HK$1735,213,FALSE)="○","","○")&amp;""</f>
        <v>○</v>
      </c>
      <c r="DU69" s="946"/>
      <c r="DV69" s="946"/>
      <c r="DW69" s="946"/>
      <c r="DX69" s="946"/>
      <c r="DY69" s="946"/>
      <c r="DZ69" s="946"/>
      <c r="EA69" s="946"/>
      <c r="EB69" s="946"/>
      <c r="EC69" s="946"/>
      <c r="ED69" s="946"/>
      <c r="EE69" s="947"/>
      <c r="EF69" s="97"/>
      <c r="EG69" s="97"/>
      <c r="EH69" s="97"/>
      <c r="EI69" s="97"/>
      <c r="EJ69" s="98"/>
      <c r="EK69" s="769"/>
      <c r="EL69" s="770"/>
      <c r="EM69" s="770"/>
      <c r="EN69" s="770"/>
      <c r="EO69" s="770"/>
      <c r="EP69" s="770"/>
      <c r="EQ69" s="770"/>
      <c r="ER69" s="771"/>
      <c r="ES69" s="100"/>
    </row>
    <row r="70" spans="3:203" ht="20.399999999999999" customHeight="1">
      <c r="C70" s="96"/>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8"/>
      <c r="BT70" s="100"/>
      <c r="CB70" s="96"/>
      <c r="CC70" s="97"/>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8"/>
      <c r="DC70" s="98"/>
      <c r="DD70" s="97"/>
      <c r="DE70" s="97"/>
      <c r="DF70" s="97"/>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7"/>
      <c r="EG70" s="97"/>
      <c r="EH70" s="97"/>
      <c r="EI70" s="97"/>
      <c r="EJ70" s="98"/>
      <c r="EK70" s="759" t="s">
        <v>12366</v>
      </c>
      <c r="EL70" s="760"/>
      <c r="EM70" s="760"/>
      <c r="EN70" s="761"/>
      <c r="EO70" s="765" t="s">
        <v>12367</v>
      </c>
      <c r="EP70" s="760"/>
      <c r="EQ70" s="760"/>
      <c r="ER70" s="761"/>
      <c r="ES70" s="100"/>
    </row>
    <row r="71" spans="3:203" ht="20.399999999999999" customHeight="1">
      <c r="C71" s="96"/>
      <c r="D71" s="701" t="s">
        <v>12379</v>
      </c>
      <c r="E71" s="701"/>
      <c r="F71" s="701"/>
      <c r="G71" s="701"/>
      <c r="H71" s="701"/>
      <c r="I71" s="701"/>
      <c r="J71" s="701"/>
      <c r="K71" s="701"/>
      <c r="L71" s="707">
        <f>VLOOKUP($D$11,調査票①!$A$3:$HK$1735,68,FALSE)</f>
        <v>4</v>
      </c>
      <c r="M71" s="707"/>
      <c r="N71" s="707"/>
      <c r="O71" s="707">
        <f>VLOOKUP($D$11,調査票①!$A$3:$HK$1735,69,FALSE)</f>
        <v>0</v>
      </c>
      <c r="P71" s="707"/>
      <c r="Q71" s="707"/>
      <c r="R71" s="751">
        <f>VLOOKUP($D$11,調査票①!$A$3:$HK$1735,70,FALSE)</f>
        <v>0</v>
      </c>
      <c r="S71" s="751"/>
      <c r="T71" s="751"/>
      <c r="U71" s="709" t="str">
        <f>VLOOKUP($D$11,調査票①!$A$3:$HK$1735,71,FALSE)&amp;""</f>
        <v>導入対象施設等について、整理が進んでいないため。</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0.6333333333333333</v>
      </c>
      <c r="BK71" s="723"/>
      <c r="BL71" s="723"/>
      <c r="BM71" s="723"/>
      <c r="BN71" s="724"/>
      <c r="BO71" s="728">
        <f>調査票①!BR1730</f>
        <v>0.51994621246077988</v>
      </c>
      <c r="BP71" s="729"/>
      <c r="BQ71" s="729"/>
      <c r="BR71" s="73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2"/>
      <c r="EL71" s="763"/>
      <c r="EM71" s="763"/>
      <c r="EN71" s="764"/>
      <c r="EO71" s="762"/>
      <c r="EP71" s="763"/>
      <c r="EQ71" s="763"/>
      <c r="ER71" s="764"/>
      <c r="ES71" s="100"/>
    </row>
    <row r="72" spans="3:203" ht="20.399999999999999" customHeight="1">
      <c r="C72" s="96"/>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3">
        <f>調査票①!HE1731</f>
        <v>0.41429401510749564</v>
      </c>
      <c r="EL72" s="754"/>
      <c r="EM72" s="754"/>
      <c r="EN72" s="755"/>
      <c r="EO72" s="753">
        <f>1-EK72</f>
        <v>0.58570598489250436</v>
      </c>
      <c r="EP72" s="754"/>
      <c r="EQ72" s="754"/>
      <c r="ER72" s="755"/>
      <c r="ES72" s="100"/>
    </row>
    <row r="73" spans="3:203" ht="20.399999999999999" customHeight="1">
      <c r="C73" s="96"/>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v>
      </c>
      <c r="BK73" s="723"/>
      <c r="BL73" s="723"/>
      <c r="BM73" s="723"/>
      <c r="BN73" s="724"/>
      <c r="BO73" s="728">
        <f>調査票①!BX1730</f>
        <v>0.13659793814432988</v>
      </c>
      <c r="BP73" s="729"/>
      <c r="BQ73" s="729"/>
      <c r="BR73" s="73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6"/>
      <c r="EL73" s="757"/>
      <c r="EM73" s="757"/>
      <c r="EN73" s="758"/>
      <c r="EO73" s="756"/>
      <c r="EP73" s="757"/>
      <c r="EQ73" s="757"/>
      <c r="ER73" s="758"/>
      <c r="ES73" s="100"/>
    </row>
    <row r="74" spans="3:203" ht="20.399999999999999" customHeight="1">
      <c r="C74" s="96"/>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735" t="s">
        <v>12381</v>
      </c>
      <c r="E75" s="736"/>
      <c r="F75" s="736"/>
      <c r="G75" s="736"/>
      <c r="H75" s="736"/>
      <c r="I75" s="736"/>
      <c r="J75" s="736"/>
      <c r="K75" s="736"/>
      <c r="L75" s="707">
        <f>VLOOKUP($D$11,調査票①!$A$3:$HK$1735,80,FALSE)</f>
        <v>3</v>
      </c>
      <c r="M75" s="707"/>
      <c r="N75" s="707"/>
      <c r="O75" s="707">
        <f>VLOOKUP($D$11,調査票①!$A$3:$HK$1735,81,FALSE)</f>
        <v>1</v>
      </c>
      <c r="P75" s="707"/>
      <c r="Q75" s="707"/>
      <c r="R75" s="708">
        <f>VLOOKUP($D$11,調査票①!$A$3:$HK$1735,82,FALSE)</f>
        <v>0.33333333333333331</v>
      </c>
      <c r="S75" s="708"/>
      <c r="T75" s="708"/>
      <c r="U75" s="709" t="str">
        <f>VLOOKUP($D$11,調査票①!$A$3:$HK$1735,83,FALSE)&amp;""</f>
        <v>応募が見込めないため。</v>
      </c>
      <c r="V75" s="710"/>
      <c r="W75" s="710"/>
      <c r="X75" s="710"/>
      <c r="Y75" s="710"/>
      <c r="Z75" s="710"/>
      <c r="AA75" s="710"/>
      <c r="AB75" s="710"/>
      <c r="AC75" s="710"/>
      <c r="AD75" s="710"/>
      <c r="AE75" s="710"/>
      <c r="AF75" s="710"/>
      <c r="AG75" s="710"/>
      <c r="AH75" s="710"/>
      <c r="AI75" s="711"/>
      <c r="AJ75" s="752" t="str">
        <f>VLOOKUP($D$11,調査票①!$A$3:$HK$1735,84,FALSE)&amp;""</f>
        <v>1</v>
      </c>
      <c r="AK75" s="752"/>
      <c r="AL75" s="752"/>
      <c r="AM75" s="716" t="str">
        <f>VLOOKUP($D$11,調査票①!$A$3:$HK$1735,85,FALSE)&amp;""</f>
        <v>施設の適切な管理及び円滑な運営を図るため。</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0.7</v>
      </c>
      <c r="BK75" s="723"/>
      <c r="BL75" s="723"/>
      <c r="BM75" s="723"/>
      <c r="BN75" s="724"/>
      <c r="BO75" s="728">
        <f>調査票①!CD1730</f>
        <v>0.84967919340054998</v>
      </c>
      <c r="BP75" s="729"/>
      <c r="BQ75" s="729"/>
      <c r="BR75" s="73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5" t="s">
        <v>12382</v>
      </c>
      <c r="E77" s="736"/>
      <c r="F77" s="736"/>
      <c r="G77" s="736"/>
      <c r="H77" s="736"/>
      <c r="I77" s="736"/>
      <c r="J77" s="736"/>
      <c r="K77" s="736"/>
      <c r="L77" s="707">
        <f>VLOOKUP($D$11,調査票①!$A$3:$HK$1735,86,FALSE)</f>
        <v>3</v>
      </c>
      <c r="M77" s="707"/>
      <c r="N77" s="707"/>
      <c r="O77" s="707">
        <f>VLOOKUP($D$11,調査票①!$A$3:$HK$1735,87,FALSE)</f>
        <v>0</v>
      </c>
      <c r="P77" s="707"/>
      <c r="Q77" s="707"/>
      <c r="R77" s="708">
        <f>VLOOKUP($D$11,調査票①!$A$3:$HK$1735,88,FALSE)</f>
        <v>0</v>
      </c>
      <c r="S77" s="708"/>
      <c r="T77" s="708"/>
      <c r="U77" s="709" t="str">
        <f>VLOOKUP($D$11,調査票①!$A$3:$HK$1735,89,FALSE)&amp;""</f>
        <v>応募が見込めない施設については今後の導入予定はないが、一部施設については将来的に指定管理者の選定を行う予定。</v>
      </c>
      <c r="V77" s="710"/>
      <c r="W77" s="710"/>
      <c r="X77" s="710"/>
      <c r="Y77" s="710"/>
      <c r="Z77" s="710"/>
      <c r="AA77" s="710"/>
      <c r="AB77" s="710"/>
      <c r="AC77" s="710"/>
      <c r="AD77" s="710"/>
      <c r="AE77" s="710"/>
      <c r="AF77" s="710"/>
      <c r="AG77" s="710"/>
      <c r="AH77" s="710"/>
      <c r="AI77" s="711"/>
      <c r="AJ77" s="752" t="str">
        <f>VLOOKUP($D$11,調査票①!$A$3:$HK$1735,90,FALSE)&amp;""</f>
        <v>1</v>
      </c>
      <c r="AK77" s="752"/>
      <c r="AL77" s="752"/>
      <c r="AM77" s="716" t="str">
        <f>VLOOKUP($D$11,調査票①!$A$3:$HK$1735,91,FALSE)&amp;""</f>
        <v>施設の適切な管理及び円滑な運営を図るため。</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0.52941176470588236</v>
      </c>
      <c r="BK77" s="723"/>
      <c r="BL77" s="723"/>
      <c r="BM77" s="723"/>
      <c r="BN77" s="724"/>
      <c r="BO77" s="728">
        <f>調査票①!CJ1730</f>
        <v>0.7562862669245648</v>
      </c>
      <c r="BP77" s="729"/>
      <c r="BQ77" s="729"/>
      <c r="BR77" s="73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1" t="s">
        <v>12383</v>
      </c>
      <c r="E79" s="701"/>
      <c r="F79" s="701"/>
      <c r="G79" s="701"/>
      <c r="H79" s="701"/>
      <c r="I79" s="701"/>
      <c r="J79" s="701"/>
      <c r="K79" s="701"/>
      <c r="L79" s="707" t="str">
        <f>VLOOKUP($D$11,調査票①!$A$3:$HK$1735,92,FALSE)&amp;""</f>
        <v>7</v>
      </c>
      <c r="M79" s="707"/>
      <c r="N79" s="707"/>
      <c r="O79" s="707">
        <f>VLOOKUP($D$11,調査票①!$A$3:$HK$1735,93,FALSE)</f>
        <v>4</v>
      </c>
      <c r="P79" s="707"/>
      <c r="Q79" s="707"/>
      <c r="R79" s="708">
        <f>VLOOKUP($D$11,調査票①!$A$3:$HK$1735,94,FALSE)</f>
        <v>0.5714285714285714</v>
      </c>
      <c r="S79" s="708"/>
      <c r="T79" s="708"/>
      <c r="U79" s="709" t="str">
        <f>VLOOKUP($D$11,調査票①!$A$3:$HK$1735,95,FALSE)&amp;""</f>
        <v>直営で運営すべき施設である等のため。</v>
      </c>
      <c r="V79" s="710"/>
      <c r="W79" s="710"/>
      <c r="X79" s="710"/>
      <c r="Y79" s="710"/>
      <c r="Z79" s="710"/>
      <c r="AA79" s="710"/>
      <c r="AB79" s="710"/>
      <c r="AC79" s="710"/>
      <c r="AD79" s="710"/>
      <c r="AE79" s="710"/>
      <c r="AF79" s="710"/>
      <c r="AG79" s="710"/>
      <c r="AH79" s="710"/>
      <c r="AI79" s="711"/>
      <c r="AJ79" s="715">
        <f>VLOOKUP($D$11,調査票①!$A$3:$HK$1735,96,FALSE)</f>
        <v>1</v>
      </c>
      <c r="AK79" s="715"/>
      <c r="AL79" s="715"/>
      <c r="AM79" s="716" t="str">
        <f>VLOOKUP($D$11,調査票①!$A$3:$HK$1735,97,FALSE)&amp;""</f>
        <v>施設の適切な管理及び円滑な運営を図るため。</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0.61538461538461542</v>
      </c>
      <c r="BK79" s="723"/>
      <c r="BL79" s="723"/>
      <c r="BM79" s="723"/>
      <c r="BN79" s="724"/>
      <c r="BO79" s="728">
        <f>調査票①!CP1730</f>
        <v>0.59190957763236174</v>
      </c>
      <c r="BP79" s="729"/>
      <c r="BQ79" s="729"/>
      <c r="BR79" s="73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1" t="s">
        <v>12384</v>
      </c>
      <c r="E81" s="701"/>
      <c r="F81" s="701"/>
      <c r="G81" s="701"/>
      <c r="H81" s="701"/>
      <c r="I81" s="701"/>
      <c r="J81" s="701"/>
      <c r="K81" s="701"/>
      <c r="L81" s="707">
        <f>VLOOKUP($D$11,調査票①!$A$3:$HK$1735,98,FALSE)</f>
        <v>2</v>
      </c>
      <c r="M81" s="707"/>
      <c r="N81" s="707"/>
      <c r="O81" s="707">
        <f>VLOOKUP($D$11,調査票①!$A$3:$HK$1735,99,FALSE)</f>
        <v>2</v>
      </c>
      <c r="P81" s="707"/>
      <c r="Q81" s="707"/>
      <c r="R81" s="708">
        <f>VLOOKUP($D$11,調査票①!$A$3:$HK$1735,100,FALSE)</f>
        <v>1</v>
      </c>
      <c r="S81" s="708"/>
      <c r="T81" s="708"/>
      <c r="U81" s="709" t="str">
        <f>VLOOKUP($D$11,調査票①!$A$3:$HK$1735,101,FALSE)&amp;""</f>
        <v>　</v>
      </c>
      <c r="V81" s="710"/>
      <c r="W81" s="710"/>
      <c r="X81" s="710"/>
      <c r="Y81" s="710"/>
      <c r="Z81" s="710"/>
      <c r="AA81" s="710"/>
      <c r="AB81" s="710"/>
      <c r="AC81" s="710"/>
      <c r="AD81" s="710"/>
      <c r="AE81" s="710"/>
      <c r="AF81" s="710"/>
      <c r="AG81" s="710"/>
      <c r="AH81" s="710"/>
      <c r="AI81" s="711"/>
      <c r="AJ81" s="750">
        <f>VLOOKUP($D$11,調査票①!$A$3:$HK$1735,102,FALSE)</f>
        <v>0</v>
      </c>
      <c r="AK81" s="750"/>
      <c r="AL81" s="750"/>
      <c r="AM81" s="716" t="str">
        <f>VLOOKUP($D$11,調査票①!$A$3:$HK$1735,103,FALSE)&amp;""</f>
        <v>　</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0.79411764705882348</v>
      </c>
      <c r="BK81" s="723"/>
      <c r="BL81" s="723"/>
      <c r="BM81" s="723"/>
      <c r="BN81" s="724"/>
      <c r="BO81" s="728">
        <f>調査票①!CV1730</f>
        <v>0.75</v>
      </c>
      <c r="BP81" s="729"/>
      <c r="BQ81" s="729"/>
      <c r="BR81" s="73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8"/>
      <c r="BT82" s="100"/>
      <c r="CB82" s="96"/>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8"/>
      <c r="DB82" s="699" t="s">
        <v>60</v>
      </c>
      <c r="DC82" s="699"/>
      <c r="DD82" s="699"/>
      <c r="DE82" s="699"/>
      <c r="DF82" s="699"/>
      <c r="DG82" s="699"/>
      <c r="DH82" s="699"/>
      <c r="DI82" s="699"/>
      <c r="DJ82" s="699"/>
      <c r="DK82" s="699"/>
      <c r="DL82" s="699" t="str">
        <f>VLOOKUP($D$11,調査票①!$A$3:$HK$1735,215,FALSE)&amp;""</f>
        <v/>
      </c>
      <c r="DM82" s="699"/>
      <c r="DN82" s="699"/>
      <c r="DO82" s="699"/>
      <c r="DP82" s="699"/>
      <c r="DQ82" s="699"/>
      <c r="DR82" s="699"/>
      <c r="DS82" s="699"/>
      <c r="DT82" s="699"/>
      <c r="DU82" s="699"/>
      <c r="DV82" s="98"/>
      <c r="DW82" s="98"/>
      <c r="DX82" s="98"/>
      <c r="DY82" s="701" t="s">
        <v>12392</v>
      </c>
      <c r="DZ82" s="701"/>
      <c r="EA82" s="701"/>
      <c r="EB82" s="701"/>
      <c r="EC82" s="701"/>
      <c r="ED82" s="701"/>
      <c r="EE82" s="701"/>
      <c r="EF82" s="701"/>
      <c r="EG82" s="951" t="str">
        <f>VLOOKUP($D$11,調査票①!$A$3:$HK$1735,216,FALSE)&amp;""</f>
        <v/>
      </c>
      <c r="EH82" s="951"/>
      <c r="EI82" s="951"/>
      <c r="EJ82" s="951"/>
      <c r="EK82" s="951"/>
      <c r="EL82" s="951"/>
      <c r="EM82" s="951"/>
      <c r="EN82" s="951"/>
      <c r="EO82" s="951"/>
      <c r="EP82" s="98"/>
      <c r="EQ82" s="98"/>
      <c r="ER82" s="98"/>
      <c r="ES82" s="100"/>
    </row>
    <row r="83" spans="3:149" ht="20.399999999999999" customHeight="1">
      <c r="C83" s="96"/>
      <c r="D83" s="736" t="s">
        <v>12385</v>
      </c>
      <c r="E83" s="736"/>
      <c r="F83" s="736"/>
      <c r="G83" s="736"/>
      <c r="H83" s="736"/>
      <c r="I83" s="736"/>
      <c r="J83" s="736"/>
      <c r="K83" s="736"/>
      <c r="L83" s="707">
        <f>VLOOKUP($D$11,調査票①!$A$3:$HK$1735,104,FALSE)</f>
        <v>1</v>
      </c>
      <c r="M83" s="707"/>
      <c r="N83" s="707"/>
      <c r="O83" s="707">
        <f>VLOOKUP($D$11,調査票①!$A$3:$HK$1735,105,FALSE)</f>
        <v>1</v>
      </c>
      <c r="P83" s="707"/>
      <c r="Q83" s="707"/>
      <c r="R83" s="708">
        <f>VLOOKUP($D$11,調査票①!$A$3:$HK$1735,106,FALSE)</f>
        <v>1</v>
      </c>
      <c r="S83" s="708"/>
      <c r="T83" s="708"/>
      <c r="U83" s="709" t="str">
        <f>VLOOKUP($D$11,調査票①!$A$3:$HK$1735,107,FALSE)&amp;""</f>
        <v>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0.8571428571428571</v>
      </c>
      <c r="BK83" s="723"/>
      <c r="BL83" s="723"/>
      <c r="BM83" s="723"/>
      <c r="BN83" s="724"/>
      <c r="BO83" s="728">
        <f>調査票①!DB1730</f>
        <v>0.65762711864406775</v>
      </c>
      <c r="BP83" s="729"/>
      <c r="BQ83" s="729"/>
      <c r="BR83" s="730"/>
      <c r="BS83" s="98"/>
      <c r="BT83" s="100"/>
      <c r="CB83" s="96"/>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8"/>
      <c r="DB83" s="699"/>
      <c r="DC83" s="699"/>
      <c r="DD83" s="699"/>
      <c r="DE83" s="699"/>
      <c r="DF83" s="699"/>
      <c r="DG83" s="699"/>
      <c r="DH83" s="699"/>
      <c r="DI83" s="699"/>
      <c r="DJ83" s="699"/>
      <c r="DK83" s="699"/>
      <c r="DL83" s="699"/>
      <c r="DM83" s="699"/>
      <c r="DN83" s="699"/>
      <c r="DO83" s="699"/>
      <c r="DP83" s="699"/>
      <c r="DQ83" s="699"/>
      <c r="DR83" s="699"/>
      <c r="DS83" s="699"/>
      <c r="DT83" s="699"/>
      <c r="DU83" s="699"/>
      <c r="DV83" s="98"/>
      <c r="DW83" s="98"/>
      <c r="DX83" s="98"/>
      <c r="DY83" s="701"/>
      <c r="DZ83" s="701"/>
      <c r="EA83" s="701"/>
      <c r="EB83" s="701"/>
      <c r="EC83" s="701"/>
      <c r="ED83" s="701"/>
      <c r="EE83" s="701"/>
      <c r="EF83" s="701"/>
      <c r="EG83" s="951"/>
      <c r="EH83" s="951"/>
      <c r="EI83" s="951"/>
      <c r="EJ83" s="951"/>
      <c r="EK83" s="951"/>
      <c r="EL83" s="951"/>
      <c r="EM83" s="951"/>
      <c r="EN83" s="951"/>
      <c r="EO83" s="951"/>
      <c r="EP83" s="98"/>
      <c r="EQ83" s="98"/>
      <c r="ER83" s="98"/>
      <c r="ES83" s="100"/>
    </row>
    <row r="84" spans="3:149" ht="20.399999999999999" customHeight="1">
      <c r="C84" s="96"/>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8"/>
      <c r="BT84" s="100"/>
      <c r="CB84" s="96"/>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8"/>
      <c r="DB84" s="699"/>
      <c r="DC84" s="699"/>
      <c r="DD84" s="699"/>
      <c r="DE84" s="699"/>
      <c r="DF84" s="699"/>
      <c r="DG84" s="699"/>
      <c r="DH84" s="699"/>
      <c r="DI84" s="699"/>
      <c r="DJ84" s="699"/>
      <c r="DK84" s="699"/>
      <c r="DL84" s="699"/>
      <c r="DM84" s="699"/>
      <c r="DN84" s="699"/>
      <c r="DO84" s="699"/>
      <c r="DP84" s="699"/>
      <c r="DQ84" s="699"/>
      <c r="DR84" s="699"/>
      <c r="DS84" s="699"/>
      <c r="DT84" s="699"/>
      <c r="DU84" s="699"/>
      <c r="DV84" s="98"/>
      <c r="DW84" s="98"/>
      <c r="DX84" s="98"/>
      <c r="DY84" s="701"/>
      <c r="DZ84" s="701"/>
      <c r="EA84" s="701"/>
      <c r="EB84" s="701"/>
      <c r="EC84" s="701"/>
      <c r="ED84" s="701"/>
      <c r="EE84" s="701"/>
      <c r="EF84" s="701"/>
      <c r="EG84" s="951"/>
      <c r="EH84" s="951"/>
      <c r="EI84" s="951"/>
      <c r="EJ84" s="951"/>
      <c r="EK84" s="951"/>
      <c r="EL84" s="951"/>
      <c r="EM84" s="951"/>
      <c r="EN84" s="951"/>
      <c r="EO84" s="951"/>
      <c r="EP84" s="98"/>
      <c r="EQ84" s="98"/>
      <c r="ER84" s="98"/>
      <c r="ES84" s="100"/>
    </row>
    <row r="85" spans="3:149" ht="20.399999999999999" customHeight="1">
      <c r="C85" s="96"/>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0.4</v>
      </c>
      <c r="BK85" s="723"/>
      <c r="BL85" s="723"/>
      <c r="BM85" s="723"/>
      <c r="BN85" s="724"/>
      <c r="BO85" s="728">
        <f>調査票①!DH1730</f>
        <v>0.40229885057471265</v>
      </c>
      <c r="BP85" s="729"/>
      <c r="BQ85" s="729"/>
      <c r="BR85" s="730"/>
      <c r="BS85" s="98"/>
      <c r="BT85" s="100"/>
      <c r="CB85" s="96"/>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8"/>
      <c r="DB85" s="699"/>
      <c r="DC85" s="699"/>
      <c r="DD85" s="699"/>
      <c r="DE85" s="699"/>
      <c r="DF85" s="699"/>
      <c r="DG85" s="699"/>
      <c r="DH85" s="699"/>
      <c r="DI85" s="699"/>
      <c r="DJ85" s="699"/>
      <c r="DK85" s="699"/>
      <c r="DL85" s="699"/>
      <c r="DM85" s="699"/>
      <c r="DN85" s="699"/>
      <c r="DO85" s="699"/>
      <c r="DP85" s="699"/>
      <c r="DQ85" s="699"/>
      <c r="DR85" s="699"/>
      <c r="DS85" s="699"/>
      <c r="DT85" s="699"/>
      <c r="DU85" s="699"/>
      <c r="DV85" s="98"/>
      <c r="DW85" s="98"/>
      <c r="DX85" s="98"/>
      <c r="DY85" s="701"/>
      <c r="DZ85" s="701"/>
      <c r="EA85" s="701"/>
      <c r="EB85" s="701"/>
      <c r="EC85" s="701"/>
      <c r="ED85" s="701"/>
      <c r="EE85" s="701"/>
      <c r="EF85" s="701"/>
      <c r="EG85" s="951"/>
      <c r="EH85" s="951"/>
      <c r="EI85" s="951"/>
      <c r="EJ85" s="951"/>
      <c r="EK85" s="951"/>
      <c r="EL85" s="951"/>
      <c r="EM85" s="951"/>
      <c r="EN85" s="951"/>
      <c r="EO85" s="951"/>
      <c r="EP85" s="98"/>
      <c r="EQ85" s="98"/>
      <c r="ER85" s="98"/>
      <c r="ES85" s="100"/>
    </row>
    <row r="86" spans="3:149" ht="20.399999999999999" customHeight="1">
      <c r="C86" s="96"/>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1" t="s">
        <v>12387</v>
      </c>
      <c r="E87" s="701"/>
      <c r="F87" s="701"/>
      <c r="G87" s="701"/>
      <c r="H87" s="701"/>
      <c r="I87" s="701"/>
      <c r="J87" s="701"/>
      <c r="K87" s="701"/>
      <c r="L87" s="707">
        <f>VLOOKUP($D$11,調査票①!$A$3:$HK$1735,116,FALSE)</f>
        <v>3</v>
      </c>
      <c r="M87" s="707"/>
      <c r="N87" s="707"/>
      <c r="O87" s="707">
        <f>VLOOKUP($D$11,調査票①!$A$3:$HK$1735,117,FALSE)</f>
        <v>0</v>
      </c>
      <c r="P87" s="707"/>
      <c r="Q87" s="707"/>
      <c r="R87" s="708">
        <f>VLOOKUP($D$11,調査票①!$A$3:$HK$1735,118,FALSE)</f>
        <v>0</v>
      </c>
      <c r="S87" s="708"/>
      <c r="T87" s="708"/>
      <c r="U87" s="709" t="str">
        <f>VLOOKUP($D$11,調査票①!$A$3:$HK$1735,119,FALSE)&amp;""</f>
        <v>官民連携事業により令和4年度に管理棟整備予定、令和5年度以降に指定管理者制度を導入予定の公園有。
その他公園については導入予定なし。</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0.78</v>
      </c>
      <c r="BK87" s="723"/>
      <c r="BL87" s="723"/>
      <c r="BM87" s="723"/>
      <c r="BN87" s="724"/>
      <c r="BO87" s="728">
        <f>調査票①!DN1730</f>
        <v>0.44166157605375689</v>
      </c>
      <c r="BP87" s="729"/>
      <c r="BQ87" s="729"/>
      <c r="BR87" s="73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8"/>
      <c r="BT88" s="100"/>
      <c r="CB88" s="96"/>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1" t="s">
        <v>12388</v>
      </c>
      <c r="E89" s="701"/>
      <c r="F89" s="701"/>
      <c r="G89" s="701"/>
      <c r="H89" s="701"/>
      <c r="I89" s="701"/>
      <c r="J89" s="701"/>
      <c r="K89" s="701"/>
      <c r="L89" s="707">
        <f>VLOOKUP($D$11,調査票①!$A$3:$HK$1735,122,FALSE)</f>
        <v>44</v>
      </c>
      <c r="M89" s="707"/>
      <c r="N89" s="707"/>
      <c r="O89" s="707">
        <f>VLOOKUP($D$11,調査票①!$A$3:$HK$1735,123,FALSE)</f>
        <v>0</v>
      </c>
      <c r="P89" s="707"/>
      <c r="Q89" s="707"/>
      <c r="R89" s="708">
        <f>VLOOKUP($D$11,調査票①!$A$3:$HK$1735,124,FALSE)</f>
        <v>0</v>
      </c>
      <c r="S89" s="708"/>
      <c r="T89" s="708"/>
      <c r="U89" s="709" t="str">
        <f>VLOOKUP($D$11,調査票①!$A$3:$HK$1735,125,FALSE)&amp;""</f>
        <v>公営住宅制度の趣旨に鑑み、社会的弱者への配慮や個人情報保護を含めた適切なサービス提供などの視点から、業務の範囲について慎重な配慮が必要であり、導入に向けて継続的に検討・調整を行っている。</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0.31320754716981131</v>
      </c>
      <c r="BK89" s="723"/>
      <c r="BL89" s="723"/>
      <c r="BM89" s="723"/>
      <c r="BN89" s="724"/>
      <c r="BO89" s="728">
        <f>調査票①!DT1730</f>
        <v>0.1617618648979329</v>
      </c>
      <c r="BP89" s="729"/>
      <c r="BQ89" s="729"/>
      <c r="BR89" s="730"/>
      <c r="BS89" s="98"/>
      <c r="BT89" s="100"/>
      <c r="BY89" s="91"/>
      <c r="BZ89" s="91"/>
      <c r="CA89" s="91"/>
      <c r="CB89" s="96"/>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8"/>
      <c r="BT90" s="100"/>
      <c r="CB90" s="96"/>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1" t="s">
        <v>12389</v>
      </c>
      <c r="E91" s="701"/>
      <c r="F91" s="701"/>
      <c r="G91" s="701"/>
      <c r="H91" s="701"/>
      <c r="I91" s="701"/>
      <c r="J91" s="701"/>
      <c r="K91" s="701"/>
      <c r="L91" s="707">
        <f>VLOOKUP($D$11,調査票①!$A$3:$HK$1735,128,FALSE)</f>
        <v>5</v>
      </c>
      <c r="M91" s="707"/>
      <c r="N91" s="707"/>
      <c r="O91" s="707">
        <f>VLOOKUP($D$11,調査票①!$A$3:$HK$1735,129,FALSE)</f>
        <v>0</v>
      </c>
      <c r="P91" s="707"/>
      <c r="Q91" s="707"/>
      <c r="R91" s="708">
        <f>VLOOKUP($D$11,調査票①!$A$3:$HK$1735,130,FALSE)</f>
        <v>0</v>
      </c>
      <c r="S91" s="708"/>
      <c r="T91" s="708"/>
      <c r="U91" s="709" t="str">
        <f>VLOOKUP($D$11,調査票①!$A$3:$HK$1735,131,FALSE)&amp;""</f>
        <v>指定管理に係る維持管理費について検討中であるため。</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0.64197530864197527</v>
      </c>
      <c r="BK91" s="723"/>
      <c r="BL91" s="723"/>
      <c r="BM91" s="723"/>
      <c r="BN91" s="724"/>
      <c r="BO91" s="728">
        <f>調査票①!DZ1730</f>
        <v>0.37097701149425288</v>
      </c>
      <c r="BP91" s="729"/>
      <c r="BQ91" s="729"/>
      <c r="BR91" s="730"/>
      <c r="BS91" s="98"/>
      <c r="BT91" s="100"/>
      <c r="CB91" s="96"/>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1" t="s">
        <v>12390</v>
      </c>
      <c r="E93" s="701"/>
      <c r="F93" s="701"/>
      <c r="G93" s="701"/>
      <c r="H93" s="701"/>
      <c r="I93" s="701"/>
      <c r="J93" s="701"/>
      <c r="K93" s="701"/>
      <c r="L93" s="707">
        <f>VLOOKUP($D$11,調査票①!$A$3:$HK$1735,134,FALSE)</f>
        <v>3</v>
      </c>
      <c r="M93" s="707"/>
      <c r="N93" s="707"/>
      <c r="O93" s="707">
        <f>VLOOKUP($D$11,調査票①!$A$3:$HK$1735,135,FALSE)</f>
        <v>1</v>
      </c>
      <c r="P93" s="707"/>
      <c r="Q93" s="707"/>
      <c r="R93" s="708">
        <f>VLOOKUP($D$11,調査票①!$A$3:$HK$1735,136,FALSE)</f>
        <v>0.33333333333333331</v>
      </c>
      <c r="S93" s="708"/>
      <c r="T93" s="708"/>
      <c r="U93" s="709" t="str">
        <f>VLOOKUP($D$11,調査票①!$A$3:$HK$1735,137,FALSE)&amp;""</f>
        <v>未導入の2施設については小規模で年間の利用件数も少ないほか、現在利用状況を見ながら地域火葬場としての存続を検討している段階であり、長期契約になる傾向のある指定管理制度に適さないと思われるため。</v>
      </c>
      <c r="V93" s="710"/>
      <c r="W93" s="710"/>
      <c r="X93" s="710"/>
      <c r="Y93" s="710"/>
      <c r="Z93" s="710"/>
      <c r="AA93" s="710"/>
      <c r="AB93" s="710"/>
      <c r="AC93" s="710"/>
      <c r="AD93" s="710"/>
      <c r="AE93" s="710"/>
      <c r="AF93" s="710"/>
      <c r="AG93" s="710"/>
      <c r="AH93" s="710"/>
      <c r="AI93" s="711"/>
      <c r="AJ93" s="701">
        <f>VLOOKUP($D$11,調査票①!$A$3:$HK$1735,138,FALSE)</f>
        <v>0</v>
      </c>
      <c r="AK93" s="701"/>
      <c r="AL93" s="701"/>
      <c r="AM93" s="716" t="str">
        <f>VLOOKUP($D$11,調査票①!$A$3:$HK$1735,139,FALSE)&amp;""</f>
        <v>　</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0.26315789473684209</v>
      </c>
      <c r="BK93" s="723"/>
      <c r="BL93" s="723"/>
      <c r="BM93" s="723"/>
      <c r="BN93" s="724"/>
      <c r="BO93" s="728">
        <f>調査票①!EF1730</f>
        <v>0.22815839094908863</v>
      </c>
      <c r="BP93" s="729"/>
      <c r="BQ93" s="729"/>
      <c r="BR93" s="73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1" t="s">
        <v>12393</v>
      </c>
      <c r="E95" s="701"/>
      <c r="F95" s="701"/>
      <c r="G95" s="701"/>
      <c r="H95" s="701"/>
      <c r="I95" s="701"/>
      <c r="J95" s="701"/>
      <c r="K95" s="701"/>
      <c r="L95" s="707">
        <f>VLOOKUP($D$11,調査票①!$A$3:$HK$1735,140,FALSE)</f>
        <v>11</v>
      </c>
      <c r="M95" s="707"/>
      <c r="N95" s="707"/>
      <c r="O95" s="707">
        <f>VLOOKUP($D$11,調査票①!$A$3:$HK$1735,141,FALSE)</f>
        <v>0</v>
      </c>
      <c r="P95" s="707"/>
      <c r="Q95" s="707"/>
      <c r="R95" s="708">
        <f>VLOOKUP($D$11,調査票①!$A$3:$HK$1735,142,FALSE)</f>
        <v>0</v>
      </c>
      <c r="S95" s="708"/>
      <c r="T95" s="708"/>
      <c r="U95" s="709" t="str">
        <f>VLOOKUP($D$11,調査票①!$A$3:$HK$1735,143,FALSE)&amp;""</f>
        <v>図書館は専門性を持つ司書と図書館としての知識の集積が必要であるため、短期間で管理者が変わる制度では、長期的な視野に立った運営が難しく、蔵書形成の一貫性が失われるため。</v>
      </c>
      <c r="V95" s="710"/>
      <c r="W95" s="710"/>
      <c r="X95" s="710"/>
      <c r="Y95" s="710"/>
      <c r="Z95" s="710"/>
      <c r="AA95" s="710"/>
      <c r="AB95" s="710"/>
      <c r="AC95" s="710"/>
      <c r="AD95" s="710"/>
      <c r="AE95" s="710"/>
      <c r="AF95" s="710"/>
      <c r="AG95" s="710"/>
      <c r="AH95" s="710"/>
      <c r="AI95" s="711"/>
      <c r="AJ95" s="701">
        <f>VLOOKUP($D$11,調査票①!$A$3:$HK$1735,144,FALSE)</f>
        <v>11</v>
      </c>
      <c r="AK95" s="701"/>
      <c r="AL95" s="701"/>
      <c r="AM95" s="716" t="str">
        <f>VLOOKUP($D$11,調査票①!$A$3:$HK$1735,145,FALSE)&amp;""</f>
        <v>図書館は市民の生涯学習活動に寄与するため、専門性を持つ司書と図書館としての知識の集積が必要であり、短期間で管理者が変わる制度では、長期的な視野に立った運営が難しく、蔵書形成の一貫性が失われるため。</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0.25423728813559321</v>
      </c>
      <c r="BK95" s="723"/>
      <c r="BL95" s="723"/>
      <c r="BM95" s="723"/>
      <c r="BN95" s="724"/>
      <c r="BO95" s="728">
        <f>調査票①!EL1730</f>
        <v>0.20222513089005237</v>
      </c>
      <c r="BP95" s="729"/>
      <c r="BQ95" s="729"/>
      <c r="BR95" s="73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9" t="s">
        <v>12395</v>
      </c>
      <c r="E97" s="701"/>
      <c r="F97" s="701"/>
      <c r="G97" s="701"/>
      <c r="H97" s="701"/>
      <c r="I97" s="701"/>
      <c r="J97" s="701"/>
      <c r="K97" s="701"/>
      <c r="L97" s="707">
        <f>VLOOKUP($D$11,調査票①!$A$3:$HK$1735,146,FALSE)</f>
        <v>6</v>
      </c>
      <c r="M97" s="707"/>
      <c r="N97" s="707"/>
      <c r="O97" s="707">
        <f>VLOOKUP($D$11,調査票①!$A$3:$HK$1735,147,FALSE)</f>
        <v>2</v>
      </c>
      <c r="P97" s="707"/>
      <c r="Q97" s="707"/>
      <c r="R97" s="708">
        <f>VLOOKUP($D$11,調査票①!$A$3:$HK$1735,148,FALSE)</f>
        <v>0.33333333333333331</v>
      </c>
      <c r="S97" s="708"/>
      <c r="T97" s="708"/>
      <c r="U97" s="709" t="str">
        <f>VLOOKUP($D$11,調査票①!$A$3:$HK$1735,149,FALSE)&amp;""</f>
        <v>地域に根ざした歴史・文化を紹介する常設展示を主として行っている施設においては直営で運営すべきと考えている。</v>
      </c>
      <c r="V97" s="710"/>
      <c r="W97" s="710"/>
      <c r="X97" s="710"/>
      <c r="Y97" s="710"/>
      <c r="Z97" s="710"/>
      <c r="AA97" s="710"/>
      <c r="AB97" s="710"/>
      <c r="AC97" s="710"/>
      <c r="AD97" s="710"/>
      <c r="AE97" s="710"/>
      <c r="AF97" s="710"/>
      <c r="AG97" s="710"/>
      <c r="AH97" s="710"/>
      <c r="AI97" s="711"/>
      <c r="AJ97" s="701">
        <f>VLOOKUP($D$11,調査票①!$A$3:$HK$1735,150,FALSE)</f>
        <v>2</v>
      </c>
      <c r="AK97" s="701"/>
      <c r="AL97" s="701"/>
      <c r="AM97" s="716" t="str">
        <f>VLOOKUP($D$11,調査票①!$A$3:$HK$1735,151,FALSE)&amp;""</f>
        <v>施設の適切な管理及び円滑な運営を図るため、地域情報に精通する会計年度任用職員を配置している。</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0.32608695652173914</v>
      </c>
      <c r="BK97" s="723"/>
      <c r="BL97" s="723"/>
      <c r="BM97" s="723"/>
      <c r="BN97" s="724"/>
      <c r="BO97" s="728">
        <f>調査票①!ER1730</f>
        <v>0.28060740272065804</v>
      </c>
      <c r="BP97" s="729"/>
      <c r="BQ97" s="729"/>
      <c r="BR97" s="73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1" t="s">
        <v>12399</v>
      </c>
      <c r="E99" s="701"/>
      <c r="F99" s="701"/>
      <c r="G99" s="701"/>
      <c r="H99" s="701"/>
      <c r="I99" s="701"/>
      <c r="J99" s="701"/>
      <c r="K99" s="701"/>
      <c r="L99" s="707">
        <f>VLOOKUP($D$11,調査票①!$A$3:$HK$1735,152,FALSE)</f>
        <v>107</v>
      </c>
      <c r="M99" s="707"/>
      <c r="N99" s="707"/>
      <c r="O99" s="707">
        <f>VLOOKUP($D$11,調査票①!$A$3:$HK$1735,153,FALSE)</f>
        <v>34</v>
      </c>
      <c r="P99" s="707"/>
      <c r="Q99" s="707"/>
      <c r="R99" s="708">
        <f>VLOOKUP($D$11,調査票①!$A$3:$HK$1735,154,FALSE)</f>
        <v>0.31775700934579437</v>
      </c>
      <c r="S99" s="708"/>
      <c r="T99" s="708"/>
      <c r="U99" s="743" t="str">
        <f>VLOOKUP($D$11,調査票①!$A$3:$HK$1735,155,FALSE)&amp;""</f>
        <v>講座等のソフト事業を行っている施設については、事業推進のため直営で運営するべきと考えているため。</v>
      </c>
      <c r="V99" s="744"/>
      <c r="W99" s="744"/>
      <c r="X99" s="744"/>
      <c r="Y99" s="744"/>
      <c r="Z99" s="744"/>
      <c r="AA99" s="744"/>
      <c r="AB99" s="744"/>
      <c r="AC99" s="744"/>
      <c r="AD99" s="744"/>
      <c r="AE99" s="744"/>
      <c r="AF99" s="744"/>
      <c r="AG99" s="744"/>
      <c r="AH99" s="744"/>
      <c r="AI99" s="745"/>
      <c r="AJ99" s="715">
        <f>VLOOKUP($D$11,調査票①!$A$3:$HK$1735,156,FALSE)</f>
        <v>45</v>
      </c>
      <c r="AK99" s="715"/>
      <c r="AL99" s="715"/>
      <c r="AM99" s="716" t="str">
        <f>VLOOKUP($D$11,調査票①!$A$3:$HK$1735,157,FALSE)&amp;""</f>
        <v>公民館において、生涯学習活動の振興を図るため。
施設によっては、貸館業務などの採算が取れる事業を行うのみではなく、市の行政課題を解決するための講座を開催する必要があるため。</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0.31299212598425197</v>
      </c>
      <c r="BK99" s="723"/>
      <c r="BL99" s="723"/>
      <c r="BM99" s="723"/>
      <c r="BN99" s="724"/>
      <c r="BO99" s="728">
        <f>調査票①!EX1730</f>
        <v>0.22778763477548791</v>
      </c>
      <c r="BP99" s="729"/>
      <c r="BQ99" s="729"/>
      <c r="BR99" s="730"/>
      <c r="BS99" s="98"/>
      <c r="BT99" s="100"/>
      <c r="CB99" s="96"/>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8"/>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8"/>
      <c r="DW99" s="98"/>
      <c r="DX99" s="98"/>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8"/>
      <c r="BT100" s="100"/>
      <c r="CB100" s="96"/>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8"/>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8"/>
      <c r="DW100" s="98"/>
      <c r="DX100" s="98"/>
      <c r="DY100" s="701"/>
      <c r="DZ100" s="701"/>
      <c r="EA100" s="701"/>
      <c r="EB100" s="701"/>
      <c r="EC100" s="701"/>
      <c r="ED100" s="701"/>
      <c r="EE100" s="701"/>
      <c r="EF100" s="701"/>
      <c r="EG100" s="701"/>
      <c r="EH100" s="701"/>
      <c r="EI100" s="699"/>
      <c r="EJ100" s="699"/>
      <c r="EK100" s="699"/>
      <c r="EL100" s="699"/>
      <c r="EM100" s="699"/>
      <c r="EN100" s="699"/>
      <c r="EO100" s="699"/>
      <c r="EP100" s="699"/>
      <c r="EQ100" s="98"/>
      <c r="ER100" s="98"/>
      <c r="ES100" s="100"/>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399999999999999" customHeight="1">
      <c r="C101" s="96"/>
      <c r="D101" s="701" t="s">
        <v>12400</v>
      </c>
      <c r="E101" s="701"/>
      <c r="F101" s="701"/>
      <c r="G101" s="701"/>
      <c r="H101" s="701"/>
      <c r="I101" s="701"/>
      <c r="J101" s="701"/>
      <c r="K101" s="701"/>
      <c r="L101" s="707">
        <f>VLOOKUP($D$11,調査票①!$A$3:$HK$1735,158,FALSE)</f>
        <v>12</v>
      </c>
      <c r="M101" s="707"/>
      <c r="N101" s="707"/>
      <c r="O101" s="707">
        <f>VLOOKUP($D$11,調査票①!$A$3:$HK$1735,159,FALSE)</f>
        <v>1</v>
      </c>
      <c r="P101" s="707"/>
      <c r="Q101" s="707"/>
      <c r="R101" s="708">
        <f>VLOOKUP($D$11,調査票①!$A$3:$HK$1735,160,FALSE)</f>
        <v>8.3333333333333329E-2</v>
      </c>
      <c r="S101" s="708"/>
      <c r="T101" s="708"/>
      <c r="U101" s="737" t="str">
        <f>VLOOKUP($D$11,調査票①!$A$3:$HK$1735,161,FALSE)&amp;""</f>
        <v>　昨年度オープンした津市久居アルスプラザの指定管理者制度の導入状況を踏まえ、各文化ホールにおける同制度の導入時期や在り方を整理していくため。</v>
      </c>
      <c r="V101" s="738"/>
      <c r="W101" s="738"/>
      <c r="X101" s="738"/>
      <c r="Y101" s="738"/>
      <c r="Z101" s="738"/>
      <c r="AA101" s="738"/>
      <c r="AB101" s="738"/>
      <c r="AC101" s="738"/>
      <c r="AD101" s="738"/>
      <c r="AE101" s="738"/>
      <c r="AF101" s="738"/>
      <c r="AG101" s="738"/>
      <c r="AH101" s="738"/>
      <c r="AI101" s="739"/>
      <c r="AJ101" s="715">
        <f>VLOOKUP($D$11,調査票①!$A$3:$HK$1735,162,FALSE)</f>
        <v>9</v>
      </c>
      <c r="AK101" s="715"/>
      <c r="AL101" s="715"/>
      <c r="AM101" s="716" t="str">
        <f>VLOOKUP($D$11,調査票①!$A$3:$HK$1735,163,FALSE)&amp;""</f>
        <v>施設の適切な管理及び円滑な運営を図るため。</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0.66129032258064513</v>
      </c>
      <c r="BK101" s="723"/>
      <c r="BL101" s="723"/>
      <c r="BM101" s="723"/>
      <c r="BN101" s="724"/>
      <c r="BO101" s="728">
        <f>調査票①!FD1730</f>
        <v>0.51527494908350302</v>
      </c>
      <c r="BP101" s="729"/>
      <c r="BQ101" s="729"/>
      <c r="BR101" s="730"/>
      <c r="BS101" s="98"/>
      <c r="BT101" s="100"/>
      <c r="CB101" s="96"/>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8"/>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8"/>
      <c r="DW101" s="98"/>
      <c r="DX101" s="98"/>
      <c r="DY101" s="701"/>
      <c r="DZ101" s="701"/>
      <c r="EA101" s="701"/>
      <c r="EB101" s="701"/>
      <c r="EC101" s="701"/>
      <c r="ED101" s="701"/>
      <c r="EE101" s="701"/>
      <c r="EF101" s="701"/>
      <c r="EG101" s="701"/>
      <c r="EH101" s="701"/>
      <c r="EI101" s="699"/>
      <c r="EJ101" s="699"/>
      <c r="EK101" s="699"/>
      <c r="EL101" s="699"/>
      <c r="EM101" s="699"/>
      <c r="EN101" s="699"/>
      <c r="EO101" s="699"/>
      <c r="EP101" s="699"/>
      <c r="EQ101" s="98"/>
      <c r="ER101" s="98"/>
      <c r="ES101" s="100"/>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399999999999999" customHeight="1">
      <c r="C102" s="96"/>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8"/>
      <c r="BT102" s="100"/>
      <c r="CB102" s="96"/>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7"/>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8"/>
      <c r="DW102" s="98"/>
      <c r="DX102" s="98"/>
      <c r="DY102" s="701"/>
      <c r="DZ102" s="701"/>
      <c r="EA102" s="701"/>
      <c r="EB102" s="701"/>
      <c r="EC102" s="701"/>
      <c r="ED102" s="701"/>
      <c r="EE102" s="701"/>
      <c r="EF102" s="701"/>
      <c r="EG102" s="701"/>
      <c r="EH102" s="701"/>
      <c r="EI102" s="699"/>
      <c r="EJ102" s="699"/>
      <c r="EK102" s="699"/>
      <c r="EL102" s="699"/>
      <c r="EM102" s="699"/>
      <c r="EN102" s="699"/>
      <c r="EO102" s="699"/>
      <c r="EP102" s="699"/>
      <c r="EQ102" s="98"/>
      <c r="ER102" s="98"/>
      <c r="ES102" s="100"/>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399999999999999" customHeight="1">
      <c r="C103" s="96"/>
      <c r="D103" s="735" t="s">
        <v>12401</v>
      </c>
      <c r="E103" s="736"/>
      <c r="F103" s="736"/>
      <c r="G103" s="736"/>
      <c r="H103" s="736"/>
      <c r="I103" s="736"/>
      <c r="J103" s="736"/>
      <c r="K103" s="736"/>
      <c r="L103" s="707">
        <f>VLOOKUP($D$11,調査票①!$A$3:$HK$1735,164,FALSE)</f>
        <v>0</v>
      </c>
      <c r="M103" s="707"/>
      <c r="N103" s="707"/>
      <c r="O103" s="707">
        <f>VLOOKUP($D$11,調査票①!$A$3:$HK$1735,165,FALSE)</f>
        <v>0</v>
      </c>
      <c r="P103" s="707"/>
      <c r="Q103" s="707"/>
      <c r="R103" s="708" t="str">
        <f>VLOOKUP($D$11,調査票①!$A$3:$HK$1735,166,FALSE)</f>
        <v/>
      </c>
      <c r="S103" s="708"/>
      <c r="T103" s="708"/>
      <c r="U103" s="737" t="str">
        <f>VLOOKUP($D$11,調査票①!$A$3:$HK$1735,167,FALSE)&amp;""</f>
        <v>　</v>
      </c>
      <c r="V103" s="738"/>
      <c r="W103" s="738"/>
      <c r="X103" s="738"/>
      <c r="Y103" s="738"/>
      <c r="Z103" s="738"/>
      <c r="AA103" s="738"/>
      <c r="AB103" s="738"/>
      <c r="AC103" s="738"/>
      <c r="AD103" s="738"/>
      <c r="AE103" s="738"/>
      <c r="AF103" s="738"/>
      <c r="AG103" s="738"/>
      <c r="AH103" s="738"/>
      <c r="AI103" s="739"/>
      <c r="AJ103" s="715">
        <f>VLOOKUP($D$11,調査票①!$A$3:$HK$1735,168,FALSE)</f>
        <v>0</v>
      </c>
      <c r="AK103" s="715"/>
      <c r="AL103" s="715"/>
      <c r="AM103" s="716" t="str">
        <f>VLOOKUP($D$11,調査票①!$A$3:$HK$1735,169,FALSE)&amp;""</f>
        <v>　</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0.51724137931034486</v>
      </c>
      <c r="BK103" s="723"/>
      <c r="BL103" s="723"/>
      <c r="BM103" s="723"/>
      <c r="BN103" s="724"/>
      <c r="BO103" s="728">
        <f>調査票①!FJ1730</f>
        <v>0.50056497175141246</v>
      </c>
      <c r="BP103" s="729"/>
      <c r="BQ103" s="729"/>
      <c r="BR103" s="730"/>
      <c r="BS103" s="98"/>
      <c r="BT103" s="100"/>
      <c r="BX103" s="91"/>
      <c r="BY103" s="91"/>
      <c r="BZ103" s="91"/>
      <c r="CA103" s="91"/>
      <c r="CB103" s="229"/>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7"/>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8"/>
      <c r="DW103" s="98"/>
      <c r="DX103" s="98"/>
      <c r="DY103" s="701"/>
      <c r="DZ103" s="701"/>
      <c r="EA103" s="701"/>
      <c r="EB103" s="701"/>
      <c r="EC103" s="701"/>
      <c r="ED103" s="701"/>
      <c r="EE103" s="701"/>
      <c r="EF103" s="701"/>
      <c r="EG103" s="701"/>
      <c r="EH103" s="701"/>
      <c r="EI103" s="699"/>
      <c r="EJ103" s="699"/>
      <c r="EK103" s="699"/>
      <c r="EL103" s="699"/>
      <c r="EM103" s="699"/>
      <c r="EN103" s="699"/>
      <c r="EO103" s="699"/>
      <c r="EP103" s="699"/>
      <c r="EQ103" s="98"/>
      <c r="ER103" s="98"/>
      <c r="ES103" s="100"/>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399999999999999" customHeight="1">
      <c r="C104" s="96"/>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1" t="s">
        <v>12402</v>
      </c>
      <c r="E105" s="701"/>
      <c r="F105" s="701"/>
      <c r="G105" s="701"/>
      <c r="H105" s="701"/>
      <c r="I105" s="701"/>
      <c r="J105" s="701"/>
      <c r="K105" s="701"/>
      <c r="L105" s="707">
        <f>VLOOKUP($D$11,調査票①!$A$3:$HK$1735,170,FALSE)</f>
        <v>1</v>
      </c>
      <c r="M105" s="707"/>
      <c r="N105" s="707"/>
      <c r="O105" s="707">
        <f>VLOOKUP($D$11,調査票①!$A$3:$HK$1735,171,FALSE)</f>
        <v>1</v>
      </c>
      <c r="P105" s="707"/>
      <c r="Q105" s="707"/>
      <c r="R105" s="708">
        <f>VLOOKUP($D$11,調査票①!$A$3:$HK$1735,172,FALSE)</f>
        <v>1</v>
      </c>
      <c r="S105" s="708"/>
      <c r="T105" s="708"/>
      <c r="U105" s="709" t="str">
        <f>VLOOKUP($D$11,調査票①!$A$3:$HK$1735,173,FALSE)&amp;""</f>
        <v>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1</v>
      </c>
      <c r="BK105" s="723"/>
      <c r="BL105" s="723"/>
      <c r="BM105" s="723"/>
      <c r="BN105" s="724"/>
      <c r="BO105" s="728">
        <f>調査票①!FP1730</f>
        <v>0.7466666666666667</v>
      </c>
      <c r="BP105" s="729"/>
      <c r="BQ105" s="729"/>
      <c r="BR105" s="73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8"/>
      <c r="ER105" s="98"/>
      <c r="ES105" s="98"/>
      <c r="ET105" s="150"/>
    </row>
    <row r="106" spans="3:192" ht="20.399999999999999" customHeight="1">
      <c r="C106" s="96"/>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8"/>
      <c r="BT106" s="100"/>
      <c r="CB106" s="96"/>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0"/>
      <c r="CY106" s="110"/>
      <c r="CZ106" s="110"/>
      <c r="DA106" s="98"/>
      <c r="DB106" s="98"/>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8"/>
      <c r="ER106" s="98"/>
      <c r="ES106" s="100"/>
    </row>
    <row r="107" spans="3:192" ht="20.399999999999999" customHeight="1">
      <c r="C107" s="96"/>
      <c r="D107" s="701" t="s">
        <v>12404</v>
      </c>
      <c r="E107" s="701"/>
      <c r="F107" s="701"/>
      <c r="G107" s="701"/>
      <c r="H107" s="701"/>
      <c r="I107" s="701"/>
      <c r="J107" s="701"/>
      <c r="K107" s="701"/>
      <c r="L107" s="707">
        <f>VLOOKUP($D$11,調査票①!$A$3:$HK$1735,176,FALSE)</f>
        <v>3</v>
      </c>
      <c r="M107" s="707"/>
      <c r="N107" s="707"/>
      <c r="O107" s="707">
        <f>VLOOKUP($D$11,調査票①!$A$3:$HK$1735,177,FALSE)</f>
        <v>3</v>
      </c>
      <c r="P107" s="707"/>
      <c r="Q107" s="707"/>
      <c r="R107" s="708">
        <f>VLOOKUP($D$11,調査票①!$A$3:$HK$1735,178,FALSE)</f>
        <v>1</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0.84615384615384615</v>
      </c>
      <c r="BK107" s="723"/>
      <c r="BL107" s="723"/>
      <c r="BM107" s="723"/>
      <c r="BN107" s="724"/>
      <c r="BO107" s="728">
        <f>調査票①!FV1730</f>
        <v>0.4896030245746692</v>
      </c>
      <c r="BP107" s="729"/>
      <c r="BQ107" s="729"/>
      <c r="BR107" s="730"/>
      <c r="BS107" s="98"/>
      <c r="BT107" s="100"/>
      <c r="CB107" s="96"/>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30"/>
      <c r="CY107" s="230"/>
      <c r="CZ107" s="230"/>
      <c r="DA107" s="98"/>
      <c r="DB107" s="97"/>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8"/>
      <c r="ER107" s="98"/>
      <c r="ES107" s="100"/>
    </row>
    <row r="108" spans="3:192" ht="20.399999999999999" customHeight="1">
      <c r="C108" s="96"/>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8"/>
      <c r="BT108" s="100"/>
      <c r="CB108" s="96"/>
      <c r="CC108" s="693">
        <f>VLOOKUP($AK$11,導入率!A4:AX37,50,FALSE)</f>
        <v>0.93548387096774188</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30"/>
      <c r="CY108" s="230"/>
      <c r="CZ108" s="230"/>
      <c r="DA108" s="98"/>
      <c r="DB108" s="97"/>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8"/>
      <c r="ER108" s="98"/>
      <c r="ES108" s="100"/>
    </row>
    <row r="109" spans="3:192" ht="20.399999999999999" customHeight="1">
      <c r="C109" s="96"/>
      <c r="D109" s="701" t="s">
        <v>12407</v>
      </c>
      <c r="E109" s="701"/>
      <c r="F109" s="701"/>
      <c r="G109" s="701"/>
      <c r="H109" s="701"/>
      <c r="I109" s="701"/>
      <c r="J109" s="701"/>
      <c r="K109" s="701"/>
      <c r="L109" s="707">
        <f>VLOOKUP($D$11,調査票①!$A$3:$HK$1735,182,FALSE)</f>
        <v>14</v>
      </c>
      <c r="M109" s="707"/>
      <c r="N109" s="707"/>
      <c r="O109" s="707">
        <f>VLOOKUP($D$11,調査票①!$A$3:$HK$1735,183,FALSE)</f>
        <v>12</v>
      </c>
      <c r="P109" s="707"/>
      <c r="Q109" s="707"/>
      <c r="R109" s="708">
        <f>VLOOKUP($D$11,調査票①!$A$3:$HK$1735,184,FALSE)</f>
        <v>0.8571428571428571</v>
      </c>
      <c r="S109" s="708"/>
      <c r="T109" s="708"/>
      <c r="U109" s="709" t="str">
        <f>VLOOKUP($D$11,調査票①!$A$3:$HK$1735,185,FALSE)&amp;""</f>
        <v>指定管理者制度を使うことでコスト増が見込まれるため。</v>
      </c>
      <c r="V109" s="710"/>
      <c r="W109" s="710"/>
      <c r="X109" s="710"/>
      <c r="Y109" s="710"/>
      <c r="Z109" s="710"/>
      <c r="AA109" s="710"/>
      <c r="AB109" s="710"/>
      <c r="AC109" s="710"/>
      <c r="AD109" s="710"/>
      <c r="AE109" s="710"/>
      <c r="AF109" s="710"/>
      <c r="AG109" s="710"/>
      <c r="AH109" s="710"/>
      <c r="AI109" s="711"/>
      <c r="AJ109" s="715">
        <f>VLOOKUP($D$11,調査票①!$A$3:$HK$1735,186,FALSE)</f>
        <v>0</v>
      </c>
      <c r="AK109" s="715"/>
      <c r="AL109" s="715"/>
      <c r="AM109" s="716" t="str">
        <f>VLOOKUP($D$11,調査票①!$A$3:$HK$1735,187,FALSE)&amp;""</f>
        <v>　</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0.58771929824561409</v>
      </c>
      <c r="BK109" s="723"/>
      <c r="BL109" s="723"/>
      <c r="BM109" s="723"/>
      <c r="BN109" s="724"/>
      <c r="BO109" s="728">
        <f>調査票①!GB1730</f>
        <v>0.52994814947255497</v>
      </c>
      <c r="BP109" s="729"/>
      <c r="BQ109" s="729"/>
      <c r="BR109" s="730"/>
      <c r="BS109" s="98"/>
      <c r="BT109" s="100"/>
      <c r="CB109" s="96"/>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8"/>
      <c r="CY109" s="98"/>
      <c r="CZ109" s="98"/>
      <c r="DA109" s="98"/>
      <c r="DB109" s="98"/>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8"/>
      <c r="ER109" s="98"/>
      <c r="ES109" s="100"/>
    </row>
    <row r="110" spans="3:192" ht="20.399999999999999" customHeight="1">
      <c r="C110" s="96"/>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8"/>
      <c r="BT110" s="100"/>
      <c r="CB110" s="96"/>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8"/>
      <c r="CY110" s="98"/>
      <c r="CZ110" s="98"/>
      <c r="DA110" s="98"/>
      <c r="DB110" s="98"/>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8"/>
      <c r="ER110" s="98"/>
      <c r="ES110" s="100"/>
    </row>
    <row r="111" spans="3:192" ht="18.649999999999999" customHeight="1">
      <c r="C111" s="96"/>
      <c r="D111" s="701" t="s">
        <v>12409</v>
      </c>
      <c r="E111" s="701"/>
      <c r="F111" s="701"/>
      <c r="G111" s="701"/>
      <c r="H111" s="701"/>
      <c r="I111" s="701"/>
      <c r="J111" s="701"/>
      <c r="K111" s="701"/>
      <c r="L111" s="707">
        <f>VLOOKUP($D$11,調査票①!$A$3:$HK$1735,188,FALSE)</f>
        <v>5</v>
      </c>
      <c r="M111" s="707"/>
      <c r="N111" s="707"/>
      <c r="O111" s="707">
        <f>VLOOKUP($D$11,調査票①!$A$3:$HK$1735,189,FALSE)</f>
        <v>1</v>
      </c>
      <c r="P111" s="707"/>
      <c r="Q111" s="707"/>
      <c r="R111" s="708">
        <f>VLOOKUP($D$11,調査票①!$A$3:$HK$1735,190,FALSE)</f>
        <v>0.2</v>
      </c>
      <c r="S111" s="708"/>
      <c r="T111" s="708"/>
      <c r="U111" s="709" t="str">
        <f>VLOOKUP($D$11,調査票①!$A$3:$HK$1735,191,FALSE)&amp;""</f>
        <v>小規模施設であり、経費の節減が見込めないため。</v>
      </c>
      <c r="V111" s="710"/>
      <c r="W111" s="710"/>
      <c r="X111" s="710"/>
      <c r="Y111" s="710"/>
      <c r="Z111" s="710"/>
      <c r="AA111" s="710"/>
      <c r="AB111" s="710"/>
      <c r="AC111" s="710"/>
      <c r="AD111" s="710"/>
      <c r="AE111" s="710"/>
      <c r="AF111" s="710"/>
      <c r="AG111" s="710"/>
      <c r="AH111" s="710"/>
      <c r="AI111" s="711"/>
      <c r="AJ111" s="715">
        <f>VLOOKUP($D$11,調査票①!$A$3:$HK$1735,192,FALSE)</f>
        <v>4</v>
      </c>
      <c r="AK111" s="715"/>
      <c r="AL111" s="715"/>
      <c r="AM111" s="716" t="str">
        <f>VLOOKUP($D$11,調査票①!$A$3:$HK$1735,193,FALSE)&amp;""</f>
        <v>小規模な施設であるが、児童の遊べる場所であり、常駐職員が必要である。</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0.38624338624338622</v>
      </c>
      <c r="BK111" s="723"/>
      <c r="BL111" s="723"/>
      <c r="BM111" s="723"/>
      <c r="BN111" s="724"/>
      <c r="BO111" s="728">
        <f>調査票①!GH1730</f>
        <v>0.24473481936971561</v>
      </c>
      <c r="BP111" s="729"/>
      <c r="BQ111" s="729"/>
      <c r="BR111" s="730"/>
      <c r="BS111" s="98"/>
      <c r="BT111" s="100"/>
      <c r="CB111" s="96"/>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49999999999999" customHeight="1">
      <c r="C112" s="96"/>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5"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【別表】自治体コード!$A$2:$A$30</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0"/>
  <sheetViews>
    <sheetView workbookViewId="0">
      <selection activeCell="G19" sqref="G19"/>
    </sheetView>
  </sheetViews>
  <sheetFormatPr defaultRowHeight="13"/>
  <cols>
    <col min="1" max="1" width="10.26953125" customWidth="1"/>
    <col min="2" max="2" width="11.36328125" customWidth="1"/>
    <col min="3" max="3" width="13.08984375" customWidth="1"/>
  </cols>
  <sheetData>
    <row r="1" spans="1:3" ht="13" customHeight="1">
      <c r="A1" s="225" t="s">
        <v>0</v>
      </c>
      <c r="B1" s="221" t="s">
        <v>1</v>
      </c>
      <c r="C1" s="221" t="s">
        <v>2</v>
      </c>
    </row>
    <row r="2" spans="1:3">
      <c r="A2" s="168">
        <v>242012</v>
      </c>
      <c r="B2" s="53" t="s">
        <v>6618</v>
      </c>
      <c r="C2" s="223" t="s">
        <v>6619</v>
      </c>
    </row>
    <row r="3" spans="1:3">
      <c r="A3" s="167">
        <v>242021</v>
      </c>
      <c r="B3" s="166" t="s">
        <v>6618</v>
      </c>
      <c r="C3" s="157" t="s">
        <v>6634</v>
      </c>
    </row>
    <row r="4" spans="1:3">
      <c r="A4" s="167">
        <v>242039</v>
      </c>
      <c r="B4" s="166" t="s">
        <v>6618</v>
      </c>
      <c r="C4" s="157" t="s">
        <v>6645</v>
      </c>
    </row>
    <row r="5" spans="1:3">
      <c r="A5" s="167">
        <v>242047</v>
      </c>
      <c r="B5" s="166" t="s">
        <v>6618</v>
      </c>
      <c r="C5" s="157" t="s">
        <v>6648</v>
      </c>
    </row>
    <row r="6" spans="1:3">
      <c r="A6" s="167" t="s">
        <v>15982</v>
      </c>
      <c r="B6" s="166" t="s">
        <v>6618</v>
      </c>
      <c r="C6" s="157" t="s">
        <v>6663</v>
      </c>
    </row>
    <row r="7" spans="1:3">
      <c r="A7" s="167" t="s">
        <v>15984</v>
      </c>
      <c r="B7" s="166" t="s">
        <v>6618</v>
      </c>
      <c r="C7" s="157" t="s">
        <v>6673</v>
      </c>
    </row>
    <row r="8" spans="1:3">
      <c r="A8" s="167">
        <v>242080</v>
      </c>
      <c r="B8" s="166" t="s">
        <v>6618</v>
      </c>
      <c r="C8" s="157" t="s">
        <v>6683</v>
      </c>
    </row>
    <row r="9" spans="1:3">
      <c r="A9" s="167">
        <v>242098</v>
      </c>
      <c r="B9" s="166" t="s">
        <v>6618</v>
      </c>
      <c r="C9" s="157" t="s">
        <v>6696</v>
      </c>
    </row>
    <row r="10" spans="1:3">
      <c r="A10" s="167">
        <v>242101</v>
      </c>
      <c r="B10" s="166" t="s">
        <v>6618</v>
      </c>
      <c r="C10" s="157" t="s">
        <v>6702</v>
      </c>
    </row>
    <row r="11" spans="1:3">
      <c r="A11" s="167" t="s">
        <v>15995</v>
      </c>
      <c r="B11" s="166" t="s">
        <v>6618</v>
      </c>
      <c r="C11" s="157" t="s">
        <v>6704</v>
      </c>
    </row>
    <row r="12" spans="1:3">
      <c r="A12" s="167">
        <v>242128</v>
      </c>
      <c r="B12" s="166" t="s">
        <v>6618</v>
      </c>
      <c r="C12" s="157" t="s">
        <v>6713</v>
      </c>
    </row>
    <row r="13" spans="1:3">
      <c r="A13" s="167">
        <v>242144</v>
      </c>
      <c r="B13" s="166" t="s">
        <v>6618</v>
      </c>
      <c r="C13" s="157" t="s">
        <v>6715</v>
      </c>
    </row>
    <row r="14" spans="1:3">
      <c r="A14" s="167">
        <v>242152</v>
      </c>
      <c r="B14" s="166" t="s">
        <v>6716</v>
      </c>
      <c r="C14" s="157" t="s">
        <v>6717</v>
      </c>
    </row>
    <row r="15" spans="1:3">
      <c r="A15" s="167" t="s">
        <v>15997</v>
      </c>
      <c r="B15" s="166" t="s">
        <v>6618</v>
      </c>
      <c r="C15" s="157" t="s">
        <v>6724</v>
      </c>
    </row>
    <row r="16" spans="1:3">
      <c r="A16" s="167">
        <v>243035</v>
      </c>
      <c r="B16" s="166" t="s">
        <v>6618</v>
      </c>
      <c r="C16" s="157" t="s">
        <v>6730</v>
      </c>
    </row>
    <row r="17" spans="1:3">
      <c r="A17" s="167">
        <v>243248</v>
      </c>
      <c r="B17" s="166" t="s">
        <v>6618</v>
      </c>
      <c r="C17" s="157" t="s">
        <v>6733</v>
      </c>
    </row>
    <row r="18" spans="1:3">
      <c r="A18" s="167">
        <v>243418</v>
      </c>
      <c r="B18" s="166" t="s">
        <v>6618</v>
      </c>
      <c r="C18" s="157" t="s">
        <v>6740</v>
      </c>
    </row>
    <row r="19" spans="1:3">
      <c r="A19" s="167">
        <v>243434</v>
      </c>
      <c r="B19" s="166" t="s">
        <v>6618</v>
      </c>
      <c r="C19" s="157" t="s">
        <v>2368</v>
      </c>
    </row>
    <row r="20" spans="1:3">
      <c r="A20" s="167">
        <v>243442</v>
      </c>
      <c r="B20" s="166" t="s">
        <v>6618</v>
      </c>
      <c r="C20" s="157" t="s">
        <v>6751</v>
      </c>
    </row>
    <row r="21" spans="1:3">
      <c r="A21" s="167">
        <v>244414</v>
      </c>
      <c r="B21" s="166" t="s">
        <v>6618</v>
      </c>
      <c r="C21" s="157" t="s">
        <v>6753</v>
      </c>
    </row>
    <row r="22" spans="1:3">
      <c r="A22" s="167">
        <v>244422</v>
      </c>
      <c r="B22" s="166" t="s">
        <v>6618</v>
      </c>
      <c r="C22" s="157" t="s">
        <v>3437</v>
      </c>
    </row>
    <row r="23" spans="1:3">
      <c r="A23" s="167">
        <v>244431</v>
      </c>
      <c r="B23" s="166" t="s">
        <v>6618</v>
      </c>
      <c r="C23" s="157" t="s">
        <v>6758</v>
      </c>
    </row>
    <row r="24" spans="1:3">
      <c r="A24" s="170">
        <v>244619</v>
      </c>
      <c r="B24" s="222" t="s">
        <v>6618</v>
      </c>
      <c r="C24" s="553" t="s">
        <v>6761</v>
      </c>
    </row>
    <row r="25" spans="1:3">
      <c r="A25" s="170">
        <v>244708</v>
      </c>
      <c r="B25" s="222" t="s">
        <v>6618</v>
      </c>
      <c r="C25" s="553" t="s">
        <v>6766</v>
      </c>
    </row>
    <row r="26" spans="1:3">
      <c r="A26" s="170">
        <v>244716</v>
      </c>
      <c r="B26" s="222" t="s">
        <v>6618</v>
      </c>
      <c r="C26" s="553" t="s">
        <v>6772</v>
      </c>
    </row>
    <row r="27" spans="1:3">
      <c r="A27" s="170">
        <v>244724</v>
      </c>
      <c r="B27" s="222" t="s">
        <v>6618</v>
      </c>
      <c r="C27" s="553" t="s">
        <v>6783</v>
      </c>
    </row>
    <row r="28" spans="1:3">
      <c r="A28" s="170">
        <v>245437</v>
      </c>
      <c r="B28" s="222" t="s">
        <v>6618</v>
      </c>
      <c r="C28" s="553" t="s">
        <v>6788</v>
      </c>
    </row>
    <row r="29" spans="1:3">
      <c r="A29" s="170">
        <v>245615</v>
      </c>
      <c r="B29" s="222" t="s">
        <v>6618</v>
      </c>
      <c r="C29" s="553" t="s">
        <v>6800</v>
      </c>
    </row>
    <row r="30" spans="1:3">
      <c r="A30" s="170">
        <v>245623</v>
      </c>
      <c r="B30" s="222" t="s">
        <v>6618</v>
      </c>
      <c r="C30" s="553" t="s">
        <v>6803</v>
      </c>
    </row>
  </sheetData>
  <autoFilter ref="A1:C30" xr:uid="{968F43CE-8208-420B-829C-18A600992FD2}"/>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2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2022-03-30T05:27:22Z</dcterms:modified>
</cp:coreProperties>
</file>