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0F861A9C-028E-41D6-B75D-650C21E8114A}"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【別表】自治体コード!$A$1:$C$41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<sst xmlns="http://schemas.openxmlformats.org/spreadsheetml/2006/main" count="198368" uniqueCount="19621">
  <si>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</si>
  <si>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</si>
  <si>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</si>
  <si>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</si>
  <si>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</si>
  <si>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</si>
  <si>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</si>
  <si>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</si>
  <si>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</si>
  <si>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</si>
  <si>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</si>
  <si>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</si>
  <si>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</si>
  <si>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</si>
  <si>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</si>
  <si>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</si>
  <si>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</si>
  <si>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</si>
  <si>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</si>
  <si>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</si>
  <si>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</si>
  <si>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</si>
  <si>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</si>
  <si>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</si>
  <si>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</si>
  <si>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</si>
  <si>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</si>
  <si>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</si>
  <si>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</si>
  <si>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</si>
  <si>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</si>
  <si>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</si>
  <si>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</si>
  <si>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</si>
  <si>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</si>
  <si>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</si>
  <si>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</si>
  <si>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</si>
  <si>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</si>
  <si>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</si>
  <si>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</si>
  <si>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</si>
  <si>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</si>
  <si>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</si>
  <si>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</si>
  <si>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</si>
  <si>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</si>
  <si>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</si>
  <si>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</si>
  <si>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</si>
  <si>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</si>
  <si>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</si>
  <si>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</si>
  <si>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</si>
  <si>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</si>
  <si>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</si>
  <si>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</si>
  <si>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</si>
  <si>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</si>
  <si>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</si>
  <si>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</si>
  <si>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</si>
  <si>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</si>
  <si>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</si>
  <si>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</si>
  <si>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</si>
  <si>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</si>
  <si>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</si>
  <si>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</si>
  <si>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</si>
  <si>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</si>
  <si>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</si>
  <si>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</si>
  <si>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</si>
  <si>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</si>
  <si>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</si>
  <si>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</si>
  <si>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</si>
  <si>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</si>
  <si>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</si>
  <si>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</si>
  <si>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</si>
  <si>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</si>
  <si>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</si>
  <si>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</si>
  <si>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</si>
  <si>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</si>
  <si>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</si>
  <si>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</si>
  <si>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</si>
  <si>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</si>
  <si>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</si>
  <si>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</si>
  <si>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</si>
  <si>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</si>
  <si>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</si>
  <si>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</si>
  <si>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</si>
  <si>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</si>
  <si>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</si>
  <si>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</si>
  <si>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</si>
  <si>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</si>
  <si>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</si>
  <si>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</si>
  <si>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</si>
  <si>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</si>
  <si>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</si>
  <si>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</si>
  <si>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</si>
  <si>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</si>
  <si>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</si>
  <si>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</si>
  <si>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</si>
  <si>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</si>
  <si>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</si>
  <si>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</si>
  <si>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</si>
  <si>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</si>
  <si>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</si>
  <si>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</si>
  <si>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</si>
  <si>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</si>
  <si>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</si>
  <si>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</si>
  <si>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</si>
  <si>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</si>
  <si>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</si>
  <si>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</si>
  <si>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</si>
  <si>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</si>
  <si>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</si>
  <si>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</si>
  <si>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</si>
  <si>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</si>
  <si>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</si>
  <si>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</si>
  <si>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</si>
  <si>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</si>
  <si>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</si>
  <si>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</si>
  <si>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</si>
  <si>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</si>
  <si>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</si>
  <si>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</si>
  <si>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</si>
  <si>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</si>
  <si>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</si>
  <si>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</si>
  <si>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</si>
  <si>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</si>
  <si>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</si>
  <si>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</si>
  <si>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</si>
  <si>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</si>
  <si>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</si>
  <si>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</si>
  <si>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</si>
  <si>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</si>
  <si>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</si>
  <si>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</si>
  <si>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</si>
  <si>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</si>
  <si>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</si>
  <si>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</si>
  <si>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</si>
  <si>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</si>
  <si>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</si>
  <si>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</si>
  <si>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</si>
  <si>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</si>
  <si>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</si>
  <si>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</si>
  <si>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</si>
  <si>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</si>
  <si>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</si>
  <si>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</si>
  <si>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</si>
  <si>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</si>
  <si>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</si>
  <si>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</si>
  <si>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</si>
  <si>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</si>
  <si>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</si>
  <si>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</si>
  <si>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</si>
  <si>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</si>
  <si>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</si>
  <si>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</si>
  <si>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</si>
  <si>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</si>
  <si>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</si>
  <si>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</si>
  <si>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</si>
  <si>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</si>
  <si>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</si>
  <si>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</si>
  <si>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</si>
  <si>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</si>
  <si>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</si>
  <si>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</si>
  <si>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</si>
  <si>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</si>
  <si>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</si>
  <si>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</si>
  <si>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</si>
  <si>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</si>
  <si>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</si>
  <si>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</si>
  <si>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</si>
  <si>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</si>
  <si>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</si>
  <si>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</si>
  <si>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</si>
  <si>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</si>
  <si>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</si>
  <si>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</si>
  <si>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</si>
  <si>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</si>
  <si>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</si>
  <si>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</si>
  <si>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</si>
  <si>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</si>
  <si>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</si>
  <si>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</si>
  <si>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</si>
  <si>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</si>
  <si>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</si>
  <si>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</si>
  <si>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</si>
  <si>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</si>
  <si>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</si>
  <si>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</si>
  <si>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</si>
  <si>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</si>
  <si>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</si>
  <si>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</si>
  <si>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</si>
  <si>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</si>
  <si>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</si>
  <si>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</si>
  <si>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</si>
  <si>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</si>
  <si>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</si>
  <si>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</si>
  <si>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</si>
  <si>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</si>
  <si>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</si>
  <si>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</si>
  <si>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</si>
  <si>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</si>
  <si>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</si>
  <si>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</si>
  <si>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</si>
  <si>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</si>
  <si>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</si>
  <si>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</si>
  <si>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</si>
  <si>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</si>
  <si>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</si>
  <si>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</si>
  <si>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</si>
  <si>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</si>
  <si>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</si>
  <si>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</si>
  <si>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</si>
  <si>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</si>
  <si>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</si>
  <si>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</si>
  <si>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</si>
  <si>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</si>
  <si>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</si>
  <si>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</si>
  <si>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</si>
  <si>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</si>
  <si>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</si>
  <si>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</si>
  <si>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</si>
  <si>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</si>
  <si>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</si>
  <si>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</si>
  <si>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</si>
  <si>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</si>
  <si>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</si>
  <si>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</si>
  <si>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</si>
  <si>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</si>
  <si>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</si>
  <si>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</si>
  <si>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</si>
  <si>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</si>
  <si>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</si>
  <si>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</si>
  <si>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</si>
  <si>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</si>
  <si>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</si>
  <si>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</si>
  <si>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</si>
  <si>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</si>
  <si>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</si>
  <si>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</si>
  <si>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</si>
  <si>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</si>
  <si>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</si>
  <si>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</si>
  <si>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</si>
  <si>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</si>
  <si>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</si>
  <si>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</si>
  <si>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</si>
  <si>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</si>
  <si>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</si>
  <si>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</si>
  <si>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</si>
  <si>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</si>
  <si>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</si>
  <si>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</si>
  <si>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</si>
  <si>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</si>
  <si>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</si>
  <si>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</si>
  <si>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</si>
  <si>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</si>
  <si>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</si>
  <si>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</si>
  <si>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</si>
  <si>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</si>
  <si>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</si>
  <si>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</si>
  <si>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</si>
  <si>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</si>
  <si>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</si>
  <si>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</si>
  <si>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</si>
  <si>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</si>
  <si>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</si>
  <si>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</si>
  <si>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</si>
  <si>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</si>
  <si>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</si>
  <si>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</si>
  <si>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</si>
  <si>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</si>
  <si>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</si>
  <si>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</si>
  <si>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</si>
  <si>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</si>
  <si>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</si>
  <si>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</si>
  <si>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</si>
  <si>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</si>
  <si>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</si>
  <si>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</si>
  <si>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</si>
  <si>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</si>
  <si>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</si>
  <si>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</si>
  <si>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</si>
  <si>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</si>
  <si>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</si>
  <si>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</si>
  <si>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</si>
  <si>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</si>
  <si>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</si>
  <si>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</si>
  <si>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</si>
  <si>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</si>
  <si>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</si>
  <si>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</si>
  <si>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</si>
  <si>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</si>
  <si>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</si>
  <si>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</si>
  <si>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</si>
  <si>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</si>
  <si>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</si>
  <si>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</si>
  <si>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</si>
  <si>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</si>
  <si>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</si>
  <si>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</si>
  <si>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</si>
  <si>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</si>
  <si>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</si>
  <si>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</si>
  <si>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</si>
  <si>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</si>
  <si>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</si>
  <si>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</si>
  <si>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</si>
  <si>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</si>
  <si>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</si>
  <si>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</si>
  <si>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</si>
  <si>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</si>
  <si>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</si>
  <si>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</si>
  <si>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</si>
  <si>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</si>
  <si>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</si>
  <si>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</si>
  <si>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</si>
  <si>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</si>
  <si>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</si>
  <si>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</si>
  <si>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</si>
  <si>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</si>
  <si>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</si>
  <si>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</si>
  <si>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</si>
  <si>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</si>
  <si>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</si>
  <si>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</si>
  <si>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</si>
  <si>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</si>
  <si>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</si>
  <si>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</si>
  <si>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</si>
  <si>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</si>
  <si>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</si>
  <si>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</si>
  <si>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</si>
  <si>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</si>
  <si>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</si>
  <si>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</si>
  <si>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</si>
  <si>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</si>
  <si>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</si>
  <si>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</si>
  <si>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</si>
  <si>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</si>
  <si>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</si>
  <si>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</si>
  <si>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</si>
  <si>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</si>
  <si>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</si>
  <si>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</si>
  <si>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</si>
  <si>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</si>
  <si>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</si>
  <si>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</si>
  <si>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</si>
  <si>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</si>
  <si>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</si>
  <si>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</si>
  <si>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</si>
  <si>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</si>
  <si>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</si>
  <si>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</si>
  <si>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</si>
  <si>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</si>
  <si>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</si>
  <si>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</si>
  <si>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</si>
  <si>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</si>
  <si>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</si>
  <si>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</si>
  <si>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</si>
  <si>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</si>
  <si>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</si>
  <si>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</si>
  <si>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</si>
  <si>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</si>
  <si>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</si>
  <si>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</si>
  <si>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</si>
  <si>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</si>
  <si>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</si>
  <si>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</si>
  <si>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</si>
  <si>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</si>
  <si>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</si>
  <si>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</si>
  <si>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</si>
  <si>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</si>
  <si>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</si>
  <si>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</si>
  <si>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</si>
  <si>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</si>
  <si>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</si>
  <si>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</si>
  <si>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</si>
  <si>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</si>
  <si>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</si>
  <si>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</si>
  <si>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</si>
  <si>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</si>
  <si>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</si>
  <si>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</si>
  <si>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</si>
  <si>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</si>
  <si>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</si>
  <si>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</si>
  <si>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</si>
  <si>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</si>
  <si>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</si>
  <si>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</si>
  <si>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</si>
  <si>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</si>
  <si>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</si>
  <si>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</si>
  <si>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</si>
  <si>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</si>
  <si>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</si>
  <si>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</si>
  <si>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</si>
  <si>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</si>
  <si>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</si>
  <si>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</si>
  <si>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</si>
  <si>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</si>
  <si>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</si>
  <si>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</si>
  <si>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</si>
  <si>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</si>
  <si>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</si>
  <si>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</si>
  <si>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</si>
  <si>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</si>
  <si>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</si>
  <si>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</si>
  <si>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</si>
  <si>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</si>
  <si>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</si>
  <si>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</si>
  <si>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</si>
  <si>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</si>
  <si>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</si>
  <si>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</si>
  <si>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</si>
  <si>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</si>
  <si>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</si>
  <si>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</si>
  <si>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</si>
  <si>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</si>
  <si>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</si>
  <si>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</si>
  <si>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</si>
  <si>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</si>
  <si>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</si>
  <si>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</si>
  <si>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</si>
  <si>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</si>
  <si>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</si>
  <si>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</si>
  <si>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</si>
  <si>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</si>
  <si>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</si>
  <si>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</si>
  <si>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</si>
  <si>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</si>
  <si>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</si>
  <si>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</si>
  <si>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</si>
  <si>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</si>
  <si>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</si>
  <si>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</si>
  <si>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</si>
  <si>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</si>
  <si>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</si>
  <si>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</si>
  <si>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</si>
  <si>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</si>
  <si>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</si>
  <si>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</si>
  <si>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</si>
  <si>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</si>
  <si>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</si>
  <si>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</si>
  <si>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</si>
  <si>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</si>
  <si>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</si>
  <si>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</si>
  <si>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</si>
  <si>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</si>
  <si>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</si>
  <si>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</si>
  <si>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</si>
  <si>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</si>
  <si>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</si>
  <si>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</si>
  <si>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</si>
  <si>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</si>
  <si>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</si>
  <si>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</si>
  <si>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</si>
  <si>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</si>
  <si>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</si>
  <si>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</si>
  <si>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</si>
  <si>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</si>
  <si>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</si>
  <si>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</si>
  <si>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</si>
  <si>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</si>
  <si>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</si>
  <si>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</si>
  <si>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</si>
  <si>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</si>
  <si>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</si>
  <si>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</si>
  <si>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</si>
  <si>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</si>
  <si>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</si>
  <si>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</si>
  <si>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</si>
  <si>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</si>
  <si>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</si>
  <si>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</si>
  <si>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</si>
  <si>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</si>
  <si>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</si>
  <si>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</si>
  <si>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</si>
  <si>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</si>
  <si>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</si>
  <si>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</si>
  <si>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</si>
  <si>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</si>
  <si>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</si>
  <si>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</si>
  <si>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</si>
  <si>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</si>
  <si>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</si>
  <si>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</si>
  <si>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</si>
  <si>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</si>
  <si>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</si>
  <si>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</si>
  <si>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</si>
  <si>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</si>
  <si>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</si>
  <si>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</si>
  <si>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</si>
  <si>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</si>
  <si>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</si>
  <si>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</si>
  <si>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</si>
  <si>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</si>
  <si>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</si>
  <si>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</si>
  <si>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</si>
  <si>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</si>
  <si>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</si>
  <si>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</si>
  <si>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</si>
  <si>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</si>
  <si>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</si>
  <si>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</si>
  <si>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</si>
  <si>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</si>
  <si>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</si>
  <si>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</si>
  <si>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</si>
  <si>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</si>
  <si>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</si>
  <si>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</si>
  <si>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</si>
  <si>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</si>
  <si>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</si>
  <si>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</si>
  <si>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</si>
  <si>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</si>
  <si>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</si>
  <si>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</si>
  <si>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</si>
  <si>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</si>
  <si>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</si>
  <si>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</si>
  <si>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</si>
  <si>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</si>
  <si>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</si>
  <si>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</si>
  <si>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</si>
  <si>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</si>
  <si>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</si>
  <si>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</si>
  <si>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</si>
  <si>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</si>
  <si>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</si>
  <si>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</si>
  <si>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</si>
  <si>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</si>
  <si>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</si>
  <si>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</si>
  <si>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</si>
  <si>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</si>
  <si>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</si>
  <si>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</si>
  <si>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</si>
  <si>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</si>
  <si>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</si>
  <si>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</si>
  <si>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</si>
  <si>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</si>
  <si>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</si>
  <si>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</si>
  <si>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</si>
  <si>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</si>
  <si>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</si>
  <si>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</si>
  <si>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</si>
  <si>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</si>
  <si>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</si>
  <si>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</si>
  <si>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</si>
  <si>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</si>
  <si>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</si>
  <si>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</si>
  <si>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</si>
  <si>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</si>
  <si>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</si>
  <si>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</si>
  <si>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</si>
  <si>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</si>
  <si>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</si>
  <si>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</si>
  <si>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</si>
  <si>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</si>
  <si>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</si>
  <si>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</si>
  <si>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</si>
  <si>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</si>
  <si>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</si>
  <si>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</si>
  <si>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</si>
  <si>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</si>
  <si>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</si>
  <si>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</si>
  <si>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</si>
  <si>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</si>
  <si>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</si>
  <si>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</si>
  <si>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</si>
  <si>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</si>
  <si>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</si>
  <si>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</si>
  <si>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</si>
  <si>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</si>
  <si>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</si>
  <si>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</si>
  <si>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</si>
  <si>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</si>
  <si>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</si>
  <si>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</si>
  <si>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</si>
  <si>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</si>
  <si>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</si>
  <si>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</si>
  <si>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</si>
  <si>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</si>
  <si>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</si>
  <si>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</si>
  <si>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</si>
  <si>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</si>
  <si>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</si>
  <si>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</si>
  <si>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</si>
  <si>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</si>
  <si>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</si>
  <si>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</si>
  <si>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</si>
  <si>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</si>
  <si>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</si>
  <si>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</si>
  <si>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</si>
  <si>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</si>
  <si>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</si>
  <si>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</si>
  <si>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</si>
  <si>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</si>
  <si>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</si>
  <si>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</si>
  <si>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</si>
  <si>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</si>
  <si>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</si>
  <si>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</si>
  <si>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</si>
  <si>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</si>
  <si>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</si>
  <si>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</si>
  <si>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</si>
  <si>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</si>
  <si>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</si>
  <si>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</si>
  <si>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</si>
  <si>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</si>
  <si>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</si>
  <si>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</si>
  <si>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</si>
  <si>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</si>
  <si>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</si>
  <si>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</si>
  <si>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</si>
  <si>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</si>
  <si>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</si>
  <si>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</si>
  <si>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</si>
  <si>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</si>
  <si>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</si>
  <si>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</si>
  <si>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</si>
  <si>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</si>
  <si>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</si>
  <si>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</si>
  <si>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</si>
  <si>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</si>
  <si>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</si>
  <si>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</si>
  <si>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</si>
  <si>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</si>
  <si>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</si>
  <si>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</si>
  <si>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</si>
  <si>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</si>
  <si>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</si>
  <si>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</si>
  <si>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</si>
  <si>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</si>
  <si>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</si>
  <si>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</si>
  <si>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</si>
  <si>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</si>
  <si>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</si>
  <si>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</si>
  <si>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</si>
  <si>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</si>
  <si>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</si>
  <si>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</si>
  <si>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</si>
  <si>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</si>
  <si>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</si>
  <si>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</si>
  <si>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</si>
  <si>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</si>
  <si>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</si>
  <si>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</si>
  <si>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</si>
  <si>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</si>
  <si>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</si>
  <si>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</si>
  <si>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</si>
  <si>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</si>
  <si>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</si>
  <si>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</si>
  <si>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</si>
  <si>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</si>
  <si>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</si>
  <si>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</si>
  <si>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</si>
  <si>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</si>
  <si>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</si>
  <si>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</si>
  <si>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</si>
  <si>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</si>
  <si>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</si>
  <si>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</si>
  <si>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</si>
  <si>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</si>
  <si>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</si>
  <si>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</si>
  <si>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</si>
  <si>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</si>
  <si>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</si>
  <si>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</si>
  <si>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</si>
  <si>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</si>
  <si>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</si>
  <si>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</si>
  <si>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</si>
  <si>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</si>
  <si>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</si>
  <si>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</si>
  <si>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</si>
  <si>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</si>
  <si>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</si>
  <si>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</si>
  <si>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</si>
  <si>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</si>
  <si>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</si>
  <si>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</si>
  <si>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</si>
  <si>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</si>
  <si>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</si>
  <si>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</si>
  <si>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</si>
  <si>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</si>
  <si>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</si>
  <si>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</si>
  <si>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</si>
  <si>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</si>
  <si>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</si>
  <si>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</si>
  <si>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</si>
  <si>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</si>
  <si>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</si>
  <si>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</si>
  <si>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</si>
  <si>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</si>
  <si>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</si>
  <si>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</si>
  <si>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</si>
  <si>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</si>
  <si>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</si>
  <si>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</si>
  <si>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</si>
  <si>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</si>
  <si>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</si>
  <si>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</si>
  <si>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</si>
  <si>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</si>
  <si>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</si>
  <si>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</si>
  <si>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</si>
  <si>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</si>
  <si>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</si>
  <si>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</si>
  <si>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</si>
  <si>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</si>
  <si>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</si>
  <si>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</si>
  <si>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</si>
  <si>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</si>
  <si>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</si>
  <si>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</si>
  <si>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</si>
  <si>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</si>
  <si>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</si>
  <si>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</si>
  <si>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</si>
  <si>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</si>
  <si>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</si>
  <si>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</si>
  <si>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</si>
  <si>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</si>
  <si>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</si>
  <si>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</si>
  <si>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</si>
  <si>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</si>
  <si>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</si>
  <si>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</si>
  <si>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</si>
  <si>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</si>
  <si>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</si>
  <si>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</si>
  <si>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</si>
  <si>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</si>
  <si>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</si>
  <si>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</si>
  <si>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</si>
  <si>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</si>
  <si>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</si>
  <si>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</si>
  <si>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</si>
  <si>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</si>
  <si>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</si>
  <si>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</si>
  <si>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</si>
  <si>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</si>
  <si>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</si>
  <si>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</si>
  <si>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</si>
  <si>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</si>
  <si>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</si>
  <si>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</si>
  <si>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</si>
  <si>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</si>
  <si>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</si>
  <si>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</si>
  <si>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</si>
  <si>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</si>
  <si>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</si>
  <si>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</si>
  <si>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</si>
  <si>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</si>
  <si>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</si>
  <si>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</si>
  <si>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</si>
  <si>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</si>
  <si>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</si>
  <si>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</si>
  <si>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</si>
  <si>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</si>
  <si>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</si>
  <si>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</si>
  <si>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</si>
  <si>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</si>
  <si>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</si>
  <si>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</si>
  <si>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</si>
  <si>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</si>
  <si>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</si>
  <si>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</si>
  <si>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</si>
  <si>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</si>
  <si>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</si>
  <si>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</si>
  <si>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</si>
  <si>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</si>
  <si>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</si>
  <si>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</si>
  <si>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</si>
  <si>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</si>
  <si>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</si>
  <si>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</si>
  <si>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</si>
  <si>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</si>
  <si>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</si>
  <si>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</si>
  <si>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</si>
  <si>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</si>
  <si>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</si>
  <si>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</si>
  <si>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</si>
  <si>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</si>
  <si>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</si>
  <si>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</si>
  <si>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</si>
  <si>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</si>
  <si>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</si>
  <si>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</si>
  <si>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</si>
  <si>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</si>
  <si>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</si>
  <si>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</si>
  <si>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</si>
  <si>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</si>
  <si>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</si>
  <si>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</si>
  <si>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</si>
  <si>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</si>
  <si>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</si>
  <si>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</si>
  <si>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</si>
  <si>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</si>
  <si>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</si>
  <si>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</si>
  <si>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</si>
  <si>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</si>
  <si>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</si>
  <si>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</si>
  <si>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</si>
  <si>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</si>
  <si>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</si>
  <si>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</si>
  <si>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</si>
  <si>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</si>
  <si>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</si>
  <si>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</si>
  <si>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</si>
  <si>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</si>
  <si>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</si>
  <si>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</si>
  <si>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</si>
  <si>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</si>
  <si>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</si>
  <si>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</si>
  <si>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</si>
  <si>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</si>
  <si>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</si>
  <si>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</si>
  <si>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</si>
  <si>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</si>
  <si>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</si>
  <si>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</si>
  <si>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</si>
  <si>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</si>
  <si>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</si>
  <si>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</si>
  <si>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</si>
  <si>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</si>
  <si>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</si>
  <si>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</si>
  <si>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</si>
  <si>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</si>
  <si>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</si>
  <si>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</si>
  <si>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</si>
  <si>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</si>
  <si>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</si>
  <si>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</si>
  <si>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</si>
  <si>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</si>
  <si>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</si>
  <si>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</si>
  <si>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</si>
  <si>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</si>
  <si>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</si>
  <si>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</si>
  <si>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</si>
  <si>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</si>
  <si>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</si>
  <si>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</si>
  <si>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</si>
  <si>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</si>
  <si>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</si>
  <si>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</si>
  <si>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</si>
  <si>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</si>
  <si>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</si>
  <si>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</si>
  <si>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</si>
  <si>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</si>
  <si>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</si>
  <si>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</si>
  <si>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</si>
  <si>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</si>
  <si>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</si>
  <si>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</si>
  <si>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</si>
  <si>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</si>
  <si>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</si>
  <si>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</si>
  <si>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</si>
  <si>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</si>
  <si>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</si>
  <si>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</si>
  <si>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</si>
  <si>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</si>
  <si>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</si>
  <si>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</si>
  <si>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</si>
  <si>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</si>
  <si>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</si>
  <si>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</si>
  <si>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</si>
  <si>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</si>
  <si>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</si>
  <si>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</si>
  <si>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</si>
  <si>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</si>
  <si>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</si>
  <si>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</si>
  <si>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</si>
  <si>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</si>
  <si>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</si>
  <si>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</si>
  <si>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</si>
  <si>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</si>
  <si>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</si>
  <si>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</si>
  <si>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</si>
  <si>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</si>
  <si>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</si>
  <si>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</si>
  <si>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</si>
  <si>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</si>
  <si>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</si>
  <si>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</si>
  <si>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</si>
  <si>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</si>
  <si>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</si>
  <si>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</si>
  <si>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</si>
  <si>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</si>
  <si>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</si>
  <si>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</si>
  <si>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</si>
  <si>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</si>
  <si>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</si>
  <si>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</si>
  <si>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</si>
  <si>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</si>
  <si>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</si>
  <si>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</si>
  <si>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</si>
  <si>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</si>
  <si>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</si>
  <si>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</si>
  <si>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</si>
  <si>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</si>
  <si>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</si>
  <si>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</si>
  <si>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</si>
  <si>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</si>
  <si>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</si>
  <si>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</si>
  <si>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</si>
  <si>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</si>
  <si>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</si>
  <si>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</si>
  <si>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</si>
  <si>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</si>
  <si>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</si>
  <si>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</si>
  <si>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</si>
  <si>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</si>
  <si>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</si>
  <si>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</si>
  <si>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</si>
  <si>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</si>
  <si>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</si>
  <si>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</si>
  <si>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</si>
  <si>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</si>
  <si>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</si>
  <si>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</si>
  <si>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</si>
  <si>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</si>
  <si>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</si>
  <si>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</si>
  <si>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</si>
  <si>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</si>
  <si>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</si>
  <si>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</si>
  <si>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</si>
  <si>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</si>
  <si>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</si>
  <si>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</si>
  <si>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</si>
  <si>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</si>
  <si>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</si>
  <si>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</si>
  <si>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</si>
  <si>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</si>
  <si>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</si>
  <si>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</si>
  <si>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</si>
  <si>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</si>
  <si>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</si>
  <si>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</si>
  <si>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</si>
  <si>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</si>
  <si>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</si>
  <si>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</si>
  <si>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</si>
  <si>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</si>
  <si>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</si>
  <si>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</si>
  <si>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</si>
  <si>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</si>
  <si>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</si>
  <si>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</si>
  <si>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</si>
  <si>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</si>
  <si>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</si>
  <si>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</si>
  <si>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</si>
  <si>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</si>
  <si>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</si>
  <si>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</si>
  <si>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</si>
  <si>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</si>
  <si>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</si>
  <si>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</si>
  <si>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</si>
  <si>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</si>
  <si>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</si>
  <si>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</si>
  <si>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</si>
  <si>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</si>
  <si>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</si>
  <si>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</si>
  <si>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</si>
  <si>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</si>
  <si>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</si>
  <si>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</si>
  <si>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</si>
  <si>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</si>
  <si>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</si>
  <si>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</si>
  <si>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</si>
  <si>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</si>
  <si>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</si>
  <si>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</si>
  <si>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</si>
  <si>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</si>
  <si>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</si>
  <si>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</si>
  <si>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</si>
  <si>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</si>
  <si>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</si>
  <si>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</si>
  <si>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</si>
  <si>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</si>
  <si>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</si>
  <si>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</si>
  <si>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</si>
  <si>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</si>
  <si>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</si>
  <si>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</si>
  <si>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</si>
  <si>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</si>
  <si>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</si>
  <si>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</si>
  <si>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</si>
  <si>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</si>
  <si>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</si>
  <si>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</si>
  <si>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</si>
  <si>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</si>
  <si>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</si>
  <si>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</si>
  <si>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</si>
  <si>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</si>
  <si>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</si>
  <si>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</si>
  <si>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</si>
  <si>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</si>
  <si>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</si>
  <si>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</si>
  <si>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</si>
  <si>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</si>
  <si>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</si>
  <si>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</si>
  <si>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</si>
  <si>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</si>
  <si>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</si>
  <si>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</si>
  <si>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</si>
  <si>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</si>
  <si>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</si>
  <si>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</si>
  <si>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</si>
  <si>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</si>
  <si>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</si>
  <si>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</si>
  <si>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</si>
  <si>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</si>
  <si>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</si>
  <si>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</si>
  <si>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</si>
  <si>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</si>
  <si>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</si>
  <si>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</si>
  <si>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</si>
  <si>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</si>
  <si>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</si>
  <si>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</si>
  <si>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</si>
  <si>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</si>
  <si>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</si>
  <si>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</si>
  <si>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</si>
  <si>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</si>
  <si>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</si>
  <si>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</si>
  <si>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</si>
  <si>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</si>
  <si>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</si>
  <si>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</si>
  <si>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</si>
  <si>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</si>
  <si>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</si>
  <si>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</si>
  <si>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</si>
  <si>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</si>
  <si>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</si>
  <si>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</si>
  <si>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</si>
  <si>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</si>
  <si>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</si>
  <si>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</si>
  <si>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</si>
  <si>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</si>
  <si>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</si>
  <si>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</si>
  <si>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</si>
  <si>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</si>
  <si>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</si>
  <si>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</si>
  <si>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</si>
  <si>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</si>
  <si>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</si>
  <si>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</si>
  <si>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</si>
  <si>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</si>
  <si>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</si>
  <si>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</si>
  <si>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</si>
  <si>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</si>
  <si>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</si>
  <si>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</si>
  <si>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</si>
  <si>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</si>
  <si>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</si>
  <si>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</si>
  <si>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</si>
  <si>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</si>
  <si>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</si>
  <si>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</si>
  <si>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</si>
  <si>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</si>
  <si>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</si>
  <si>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</si>
  <si>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</si>
  <si>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</si>
  <si>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</si>
  <si>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</si>
  <si>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</si>
  <si>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</si>
  <si>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</si>
  <si>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</si>
  <si>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</si>
  <si>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</si>
  <si>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</si>
  <si>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</si>
  <si>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</si>
  <si>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</si>
  <si>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</si>
  <si>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</si>
  <si>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</si>
  <si>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</si>
  <si>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</si>
  <si>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</si>
  <si>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</si>
  <si>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</si>
  <si>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</si>
  <si>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</si>
  <si>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</si>
  <si>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</si>
  <si>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</si>
  <si>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</si>
  <si>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</si>
  <si>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</si>
  <si>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</si>
  <si>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</si>
  <si>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</si>
  <si>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</si>
  <si>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</si>
  <si>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</si>
  <si>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</si>
  <si>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</si>
  <si>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</si>
  <si>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</si>
  <si>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</si>
  <si>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</si>
  <si>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</si>
  <si>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</si>
  <si>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</si>
  <si>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</si>
  <si>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</si>
  <si>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</si>
  <si>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</si>
  <si>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</si>
  <si>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</si>
  <si>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</si>
  <si>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</si>
  <si>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</si>
  <si>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</si>
  <si>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</si>
  <si>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</si>
  <si>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</si>
  <si>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</si>
  <si>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</si>
  <si>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</si>
  <si>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</si>
  <si>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</si>
  <si>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</si>
  <si>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</si>
  <si>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</si>
  <si>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</si>
  <si>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</si>
  <si>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</si>
  <si>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</si>
  <si>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</si>
  <si>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</si>
  <si>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</si>
  <si>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</si>
  <si>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</si>
  <si>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</si>
  <si>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</si>
  <si>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</si>
  <si>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</si>
  <si>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</si>
  <si>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</si>
  <si>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</si>
  <si>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</si>
  <si>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</si>
  <si>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</si>
  <si>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</si>
  <si>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</si>
  <si>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</si>
  <si>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</si>
  <si>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</si>
  <si>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</si>
  <si>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</si>
  <si>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</si>
  <si>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</si>
  <si>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</si>
  <si>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</si>
  <si>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</si>
  <si>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</si>
  <si>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</si>
  <si>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</si>
  <si>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</si>
  <si>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</si>
  <si>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</si>
  <si>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</si>
  <si>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</si>
  <si>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</si>
  <si>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</si>
  <si>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</si>
  <si>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</si>
  <si>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</si>
  <si>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</si>
  <si>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</si>
  <si>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</si>
  <si>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</si>
  <si>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</si>
  <si>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</si>
  <si>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</si>
  <si>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</si>
  <si>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</si>
  <si>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</si>
  <si>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</si>
  <si>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</si>
  <si>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</si>
  <si>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</si>
  <si>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</si>
  <si>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</si>
  <si>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</si>
  <si>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</si>
  <si>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</si>
  <si>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</si>
  <si>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</si>
  <si>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</si>
  <si>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</si>
  <si>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</si>
  <si>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</si>
  <si>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</si>
  <si>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</si>
  <si>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</si>
  <si>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</si>
  <si>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</si>
  <si>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</si>
  <si>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</si>
  <si>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</si>
  <si>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</si>
  <si>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</si>
  <si>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</si>
  <si>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</si>
  <si>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</si>
  <si>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</si>
  <si>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</si>
  <si>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</si>
  <si>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</si>
  <si>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</si>
  <si>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</si>
  <si>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</si>
  <si>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</si>
  <si>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</si>
  <si>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</si>
  <si>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</si>
  <si>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</si>
  <si>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</si>
  <si>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</si>
  <si>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</si>
  <si>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</si>
  <si>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</si>
  <si>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</si>
  <si>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</si>
  <si>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</si>
  <si>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</si>
  <si>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</si>
  <si>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</si>
  <si>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</si>
  <si>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</si>
  <si>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</si>
  <si>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</si>
  <si>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</si>
  <si>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</si>
  <si>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</si>
  <si>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</si>
  <si>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</si>
  <si>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</si>
  <si>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</si>
  <si>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</si>
  <si>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</si>
  <si>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</si>
  <si>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</si>
  <si>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</si>
  <si>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</si>
  <si>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</si>
  <si>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</si>
  <si>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</si>
  <si>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</si>
  <si>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</si>
  <si>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</si>
  <si>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</si>
  <si>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</si>
  <si>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</si>
  <si>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</si>
  <si>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</si>
  <si>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</si>
  <si>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</si>
  <si>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</si>
  <si>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</si>
  <si>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</si>
  <si>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</si>
  <si>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</si>
  <si>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</si>
  <si>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</si>
  <si>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</si>
  <si>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</si>
  <si>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</si>
  <si>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</si>
  <si>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</si>
  <si>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</si>
  <si>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</si>
  <si>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</si>
  <si>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</si>
  <si>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</si>
  <si>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</si>
  <si>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</si>
  <si>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</si>
  <si>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</si>
  <si>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</si>
  <si>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</si>
  <si>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</si>
  <si>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</si>
  <si>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</si>
  <si>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</si>
  <si>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</si>
  <si>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</si>
  <si>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</si>
  <si>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</si>
  <si>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</si>
  <si>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</si>
  <si>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</si>
  <si>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</si>
  <si>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</si>
  <si>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</si>
  <si>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</si>
  <si>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</si>
  <si>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</si>
  <si>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</si>
  <si>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</si>
  <si>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</si>
  <si>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</si>
  <si>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</si>
  <si>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</si>
  <si>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</si>
  <si>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</si>
  <si>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</si>
  <si>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</si>
  <si>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</si>
  <si>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</si>
  <si>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</si>
  <si>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</si>
  <si>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</si>
  <si>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</si>
  <si>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</si>
  <si>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</si>
  <si>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</si>
  <si>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</si>
  <si>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</si>
  <si>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</si>
  <si>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</si>
  <si>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</si>
  <si>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</si>
  <si>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</si>
  <si>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</si>
  <si>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</si>
  <si>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</si>
  <si>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</si>
  <si>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</si>
  <si>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</si>
  <si>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</si>
  <si>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</si>
  <si>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</si>
  <si>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</si>
  <si>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</si>
  <si>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</si>
  <si>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</si>
  <si>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</si>
  <si>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</si>
  <si>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</si>
  <si>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</si>
  <si>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</si>
  <si>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</si>
  <si>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</si>
  <si>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</si>
  <si>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</si>
  <si>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</si>
  <si>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</si>
  <si>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</si>
  <si>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</si>
  <si>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</si>
  <si>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</si>
  <si>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</si>
  <si>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</si>
  <si>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</si>
  <si>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</si>
  <si>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</si>
  <si>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</si>
  <si>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</si>
  <si>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</si>
  <si>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</si>
  <si>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</si>
  <si>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</si>
  <si>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</si>
  <si>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</si>
  <si>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</si>
  <si>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</si>
  <si>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</si>
  <si>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</si>
  <si>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</si>
  <si>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</si>
  <si>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</si>
  <si>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</si>
  <si>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</si>
  <si>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</si>
  <si>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</si>
  <si>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</si>
  <si>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</si>
  <si>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</si>
  <si>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</si>
  <si>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</si>
  <si>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</si>
  <si>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</si>
  <si>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</si>
  <si>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</si>
  <si>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</si>
  <si>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</si>
  <si>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</si>
  <si>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</si>
  <si>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</si>
  <si>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</si>
  <si>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</si>
  <si>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</si>
  <si>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</si>
  <si>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</si>
  <si>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</si>
  <si>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</si>
  <si>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</si>
  <si>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</si>
  <si>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</si>
  <si>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</si>
  <si>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</si>
  <si>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</si>
  <si>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</si>
  <si>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</si>
  <si>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</si>
  <si>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</si>
  <si>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</si>
  <si>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</si>
  <si>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</si>
  <si>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</si>
  <si>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</si>
  <si>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</si>
  <si>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</si>
  <si>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</si>
  <si>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</si>
  <si>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</si>
  <si>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</si>
  <si>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</si>
  <si>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</si>
  <si>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</si>
  <si>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</si>
  <si>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</si>
  <si>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</si>
  <si>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</si>
  <si>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</si>
  <si>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</si>
  <si>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</si>
  <si>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</si>
  <si>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</si>
  <si>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</si>
  <si>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</si>
  <si>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</si>
  <si>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</si>
  <si>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</si>
  <si>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</si>
  <si>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</si>
  <si>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</si>
  <si>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</si>
  <si>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</si>
  <si>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</si>
  <si>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</si>
  <si>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</si>
  <si>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</si>
  <si>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</si>
  <si>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</si>
  <si>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</si>
  <si>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</si>
  <si>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</si>
  <si>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</si>
  <si>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</si>
  <si>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</si>
  <si>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</si>
  <si>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</si>
  <si>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</si>
  <si>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</si>
  <si>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</si>
  <si>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</si>
  <si>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</si>
  <si>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</si>
  <si>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</si>
  <si>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</si>
  <si>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</si>
  <si>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</si>
  <si>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</si>
  <si>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</si>
  <si>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</si>
  <si>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</si>
  <si>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</si>
  <si>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</si>
  <si>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</si>
  <si>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</si>
  <si>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</si>
  <si>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</si>
  <si>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</si>
  <si>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</si>
  <si>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</si>
  <si>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</si>
  <si>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</si>
  <si>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</si>
  <si>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</si>
  <si>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</si>
  <si>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</si>
  <si>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</si>
  <si>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</si>
  <si>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</si>
  <si>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</si>
  <si>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</si>
  <si>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</si>
  <si>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</si>
  <si>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</si>
  <si>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</si>
  <si>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</si>
  <si>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</si>
  <si>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</si>
  <si>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</si>
  <si>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</si>
  <si>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</si>
  <si>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</si>
  <si>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</si>
  <si>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</si>
  <si>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</si>
  <si>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</si>
  <si>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</si>
  <si>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</si>
  <si>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</si>
  <si>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</si>
  <si>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</si>
  <si>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</si>
  <si>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</si>
  <si>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</si>
  <si>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</si>
  <si>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</si>
  <si>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</si>
  <si>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</si>
  <si>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</si>
  <si>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</si>
  <si>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</si>
  <si>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</si>
  <si>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</si>
  <si>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</si>
  <si>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</si>
  <si>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</si>
  <si>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</si>
  <si>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</si>
  <si>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</si>
  <si>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</si>
  <si>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</si>
  <si>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</si>
  <si>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</si>
  <si>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</si>
  <si>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</si>
  <si>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</si>
  <si>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</si>
  <si>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</si>
  <si>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</si>
  <si>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</si>
  <si>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</si>
  <si>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</si>
  <si>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</si>
  <si>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</si>
  <si>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</si>
  <si>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</si>
  <si>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</si>
  <si>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</si>
  <si>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</si>
  <si>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</si>
  <si>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</si>
  <si>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</si>
  <si>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</si>
  <si>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</si>
  <si>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</si>
  <si>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</si>
  <si>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</si>
  <si>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</si>
  <si>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</si>
  <si>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</si>
  <si>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</si>
  <si>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</si>
  <si>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</si>
  <si>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</si>
  <si>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</si>
  <si>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</si>
  <si>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</si>
  <si>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</si>
  <si>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</si>
  <si>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</si>
  <si>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</si>
  <si>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</si>
  <si>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</si>
  <si>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</si>
  <si>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</si>
  <si>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</si>
  <si>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</si>
  <si>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</si>
  <si>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</si>
  <si>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</si>
  <si>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</si>
  <si>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</si>
  <si>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</si>
  <si>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</si>
  <si>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</si>
  <si>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</si>
  <si>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</si>
  <si>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</si>
  <si>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</si>
  <si>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</si>
  <si>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</si>
  <si>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</si>
  <si>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</si>
  <si>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</si>
  <si>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</si>
  <si>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</si>
  <si>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</si>
  <si>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</si>
  <si>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</si>
  <si>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</si>
  <si>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</si>
  <si>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</si>
  <si>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</si>
  <si>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</si>
  <si>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</si>
  <si>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</si>
  <si>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</si>
  <si>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</si>
  <si>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</si>
  <si>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</si>
  <si>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</si>
  <si>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</si>
  <si>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</si>
  <si>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</si>
  <si>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</si>
  <si>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</si>
  <si>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</si>
  <si>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</si>
  <si>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</si>
  <si>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</si>
  <si>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</si>
  <si>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</si>
  <si>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</si>
  <si>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</si>
  <si>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</si>
  <si>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</si>
  <si>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</si>
  <si>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</si>
  <si>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</si>
  <si>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</si>
  <si>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</si>
  <si>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</si>
  <si>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</si>
  <si>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</si>
  <si>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</si>
  <si>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</si>
  <si>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</si>
  <si>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</si>
  <si>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</si>
  <si>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</si>
  <si>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</si>
  <si>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</si>
  <si>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</si>
  <si>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</si>
  <si>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</si>
  <si>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</si>
  <si>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</si>
  <si>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</si>
  <si>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</si>
  <si>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</si>
  <si>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</si>
  <si>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</si>
  <si>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</si>
  <si>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</si>
  <si>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</si>
  <si>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</si>
  <si>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</si>
  <si>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</si>
  <si>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</si>
  <si>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</si>
  <si>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</si>
  <si>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</si>
  <si>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</si>
  <si>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</si>
  <si>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</si>
  <si>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</si>
  <si>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</si>
  <si>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</si>
  <si>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</si>
  <si>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</si>
  <si>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</si>
  <si>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</si>
  <si>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</si>
  <si>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</si>
  <si>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</si>
  <si>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</si>
  <si>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</si>
  <si>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</si>
  <si>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</si>
  <si>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</si>
  <si>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</si>
  <si>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</si>
  <si>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</si>
  <si>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</si>
  <si>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</si>
  <si>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</si>
  <si>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</si>
  <si>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</si>
  <si>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</si>
  <si>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</si>
  <si>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</si>
  <si>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</si>
  <si>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</si>
  <si>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</si>
  <si>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</si>
  <si>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</si>
  <si>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</si>
  <si>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</si>
  <si>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</si>
  <si>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</si>
  <si>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</si>
  <si>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</si>
  <si>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</si>
  <si>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</si>
  <si>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</si>
  <si>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</si>
  <si>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</si>
  <si>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</si>
  <si>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</si>
  <si>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</si>
  <si>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</si>
  <si>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</si>
  <si>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</si>
  <si>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</si>
  <si>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</si>
  <si>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</si>
  <si>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</si>
  <si>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</si>
  <si>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</si>
  <si>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</si>
  <si>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</si>
  <si>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</si>
  <si>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</si>
  <si>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</si>
  <si>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</si>
  <si>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</si>
  <si>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</si>
  <si>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</si>
  <si>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</si>
  <si>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</si>
  <si>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</si>
  <si>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</si>
  <si>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</si>
  <si>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</si>
  <si>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</si>
  <si>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</si>
  <si>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</si>
  <si>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</si>
  <si>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</si>
  <si>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</si>
  <si>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</si>
  <si>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</si>
  <si>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</si>
  <si>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</si>
  <si>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</si>
  <si>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</si>
  <si>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</si>
  <si>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</si>
  <si>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</si>
  <si>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</si>
  <si>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</si>
  <si>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</si>
  <si>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</si>
  <si>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</si>
  <si>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</si>
  <si>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</si>
  <si>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</si>
  <si>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</si>
  <si>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</si>
  <si>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</si>
  <si>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</si>
  <si>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</si>
  <si>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</si>
  <si>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</si>
  <si>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</si>
  <si>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</si>
  <si>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</si>
  <si>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</si>
  <si>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</si>
  <si>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</si>
  <si>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</si>
  <si>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</si>
  <si>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</si>
  <si>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</si>
  <si>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</si>
  <si>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</si>
  <si>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</si>
  <si>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</si>
  <si>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</si>
  <si>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</si>
  <si>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</si>
  <si>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</si>
  <si>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</si>
  <si>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</si>
  <si>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</si>
  <si>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</si>
  <si>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</si>
  <si>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</si>
  <si>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</si>
  <si>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</si>
  <si>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</si>
  <si>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</si>
  <si>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</si>
  <si>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</si>
  <si>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</si>
  <si>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</si>
  <si>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</si>
  <si>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</si>
  <si>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</si>
  <si>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</si>
  <si>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</si>
  <si>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</si>
  <si>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</si>
  <si>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</si>
  <si>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</si>
  <si>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</si>
  <si>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</si>
  <si>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</si>
  <si>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</si>
  <si>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</si>
  <si>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</si>
  <si>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</si>
  <si>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</si>
  <si>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</si>
  <si>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</si>
  <si>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</si>
  <si>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</si>
  <si>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</si>
  <si>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</si>
  <si>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</si>
  <si>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</si>
  <si>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</si>
  <si>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</si>
  <si>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</si>
  <si>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</si>
  <si>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</si>
  <si>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</si>
  <si>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</si>
  <si>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</si>
  <si>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</si>
  <si>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</si>
  <si>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</si>
  <si>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</si>
  <si>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</si>
  <si>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</si>
  <si>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</si>
  <si>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</si>
  <si>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</si>
  <si>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</si>
  <si>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</si>
  <si>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</si>
  <si>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</si>
  <si>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</si>
  <si>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</si>
  <si>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</si>
  <si>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</si>
  <si>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</si>
  <si>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</si>
  <si>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</si>
  <si>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</si>
  <si>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</si>
  <si>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</si>
  <si>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</si>
  <si>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</si>
  <si>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</si>
  <si>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</si>
  <si>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</si>
  <si>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</si>
  <si>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</si>
  <si>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</si>
  <si>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</si>
  <si>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</si>
  <si>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</si>
  <si>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</si>
  <si>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</si>
  <si>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</si>
  <si>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</si>
  <si>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</si>
  <si>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</si>
  <si>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</si>
  <si>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</si>
  <si>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</si>
  <si>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</si>
  <si>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</si>
  <si>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</si>
  <si>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</si>
  <si>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</si>
  <si>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</si>
  <si>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</si>
  <si>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</si>
  <si>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</si>
  <si>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</si>
  <si>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</si>
  <si>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</si>
  <si>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</si>
  <si>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</si>
  <si>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</si>
  <si>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</si>
  <si>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</si>
  <si>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</si>
  <si>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</si>
  <si>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</si>
  <si>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</si>
  <si>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</si>
  <si>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</si>
  <si>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</si>
  <si>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</si>
  <si>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</si>
  <si>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</si>
  <si>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</si>
  <si>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</si>
  <si>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</si>
  <si>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</si>
  <si>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</si>
  <si>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</si>
  <si>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</si>
  <si>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</si>
  <si>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</si>
  <si>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</si>
  <si>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</si>
  <si>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</si>
  <si>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</si>
  <si>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</si>
  <si>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</si>
  <si>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</si>
  <si>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</si>
  <si>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</si>
  <si>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</si>
  <si>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</si>
  <si>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</si>
  <si>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</si>
  <si>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</si>
  <si>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</si>
  <si>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</si>
  <si>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</si>
  <si>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</si>
  <si>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</si>
  <si>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</si>
  <si>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</si>
  <si>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</si>
  <si>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</si>
  <si>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</si>
  <si>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</si>
  <si>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</si>
  <si>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</si>
  <si>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</si>
  <si>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</si>
  <si>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</si>
  <si>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</si>
  <si>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</si>
  <si>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</si>
  <si>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</si>
  <si>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</si>
  <si>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</si>
  <si>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</si>
  <si>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</si>
  <si>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</si>
  <si>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</si>
  <si>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</si>
  <si>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</si>
  <si>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</si>
  <si>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</si>
  <si>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</si>
  <si>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</si>
  <si>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</si>
  <si>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</si>
  <si>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</si>
  <si>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</si>
  <si>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</si>
  <si>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</si>
  <si>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</si>
  <si>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</si>
  <si>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</si>
  <si>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</si>
  <si>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</si>
  <si>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</si>
  <si>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</si>
  <si>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</si>
  <si>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</si>
  <si>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</si>
  <si>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</si>
  <si>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</si>
  <si>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</si>
  <si>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</si>
  <si>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</si>
  <si>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</si>
  <si>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</si>
  <si>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</si>
  <si>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</si>
  <si>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</si>
  <si>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</si>
  <si>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</si>
  <si>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</si>
  <si>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</si>
  <si>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</si>
  <si>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</si>
  <si>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</si>
  <si>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</si>
  <si>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</si>
  <si>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</si>
  <si>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</si>
  <si>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</si>
  <si>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</si>
  <si>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</si>
  <si>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</si>
  <si>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</si>
  <si>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</si>
  <si>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</si>
  <si>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</si>
  <si>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</si>
  <si>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</si>
  <si>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</si>
  <si>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</si>
  <si>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</si>
  <si>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</si>
  <si>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</si>
  <si>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</si>
  <si>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</si>
  <si>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</si>
  <si>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</si>
  <si>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</si>
  <si>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</si>
  <si>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</si>
  <si>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</si>
  <si>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</si>
  <si>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</si>
  <si>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</si>
  <si>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</si>
  <si>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</si>
  <si>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</si>
  <si>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</si>
  <si>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</si>
  <si>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</si>
  <si>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</si>
  <si>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</si>
  <si>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</si>
  <si>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</si>
  <si>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</si>
  <si>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</si>
  <si>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</si>
  <si>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</si>
  <si>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</si>
  <si>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</si>
  <si>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</si>
  <si>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</si>
  <si>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</si>
  <si>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</si>
  <si>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</si>
  <si>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</si>
  <si>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</si>
  <si>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</si>
  <si>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</si>
  <si>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</si>
  <si>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</si>
  <si>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</si>
  <si>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</si>
  <si>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</si>
  <si>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</si>
  <si>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</si>
  <si>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</si>
  <si>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</si>
  <si>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</si>
  <si>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</si>
  <si>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</si>
  <si>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</si>
  <si>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</si>
  <si>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</si>
  <si>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</si>
  <si>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</si>
  <si>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</si>
  <si>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</si>
  <si>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</si>
  <si>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</si>
  <si>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</si>
  <si>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</si>
  <si>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</si>
  <si>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</si>
  <si>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</si>
  <si>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</si>
  <si>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</si>
  <si>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</si>
  <si>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</si>
  <si>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</si>
  <si>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</si>
  <si>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</si>
  <si>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</si>
  <si>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</si>
  <si>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</si>
  <si>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</si>
  <si>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</si>
  <si>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</si>
  <si>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</si>
  <si>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</si>
  <si>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</si>
  <si>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</si>
  <si>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</si>
  <si>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</si>
  <si>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</si>
  <si>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</si>
  <si>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</si>
  <si>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</si>
  <si>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</si>
  <si>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</si>
  <si>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</si>
  <si>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</si>
  <si>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</si>
  <si>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</si>
  <si>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</si>
  <si>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</si>
  <si>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</si>
  <si>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</si>
  <si>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</si>
  <si>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</si>
  <si>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</si>
  <si>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</si>
  <si>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</si>
  <si>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</si>
  <si>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</si>
  <si>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</si>
  <si>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</si>
  <si>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</si>
  <si>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</si>
  <si>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</si>
  <si>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</si>
  <si>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</si>
  <si>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</si>
  <si>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</si>
  <si>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</si>
  <si>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</si>
  <si>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</si>
  <si>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</si>
  <si>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</si>
  <si>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</si>
  <si>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</si>
  <si>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</si>
  <si>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</si>
  <si>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</si>
  <si>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</si>
  <si>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</si>
  <si>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</si>
  <si>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</si>
  <si>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</si>
  <si>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</si>
  <si>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</si>
  <si>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</si>
  <si>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</si>
  <si>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</si>
  <si>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</si>
  <si>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</si>
  <si>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</si>
  <si>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</si>
  <si>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</si>
  <si>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</si>
  <si>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</si>
  <si>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</si>
  <si>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</si>
  <si>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</si>
  <si>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</si>
  <si>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</si>
  <si>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</si>
  <si>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</si>
  <si>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</si>
  <si>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</si>
  <si>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</si>
  <si>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</si>
  <si>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</si>
  <si>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</si>
  <si>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</si>
  <si>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</si>
  <si>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</si>
  <si>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</si>
  <si>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</si>
  <si>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</si>
  <si>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</si>
  <si>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</si>
  <si>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</si>
  <si>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</si>
  <si>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</si>
  <si>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</si>
  <si>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</si>
  <si>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</si>
  <si>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</si>
  <si>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</si>
  <si>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</si>
  <si>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</si>
  <si>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</si>
  <si>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</si>
  <si>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</si>
  <si>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</si>
  <si>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</si>
  <si>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</si>
  <si>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</si>
  <si>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</si>
  <si>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</si>
  <si>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</si>
  <si>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</si>
  <si>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</si>
  <si>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</si>
  <si>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</si>
  <si>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</si>
  <si>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</si>
  <si>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</si>
  <si>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</si>
  <si>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</si>
  <si>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</si>
  <si>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</si>
  <si>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</si>
  <si>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</si>
  <si>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</si>
  <si>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</si>
  <si>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</si>
  <si>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</si>
  <si>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</si>
  <si>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</si>
  <si>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</si>
  <si>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</si>
  <si>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</si>
  <si>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</si>
  <si>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</si>
  <si>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</si>
  <si>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</si>
  <si>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</si>
  <si>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</si>
  <si>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</si>
  <si>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</si>
  <si>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</si>
  <si>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</si>
  <si>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</si>
  <si>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</si>
  <si>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</si>
  <si>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</si>
  <si>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</si>
  <si>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</si>
  <si>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</si>
  <si>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</si>
  <si>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</si>
  <si>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</si>
  <si>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</si>
  <si>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</si>
  <si>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</si>
  <si>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</si>
  <si>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</si>
  <si>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</si>
  <si>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</si>
  <si>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</si>
  <si>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</si>
  <si>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</si>
  <si>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</si>
  <si>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</si>
  <si>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</si>
  <si>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</si>
  <si>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</si>
  <si>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</si>
  <si>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</si>
  <si>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</si>
  <si>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</si>
  <si>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</si>
  <si>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</si>
  <si>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</si>
  <si>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</si>
  <si>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</si>
  <si>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</si>
  <si>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</si>
  <si>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</si>
  <si>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</si>
  <si>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</si>
  <si>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</si>
  <si>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</si>
  <si>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</si>
  <si>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</si>
  <si>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</si>
  <si>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</si>
  <si>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</si>
  <si>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</si>
  <si>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</si>
  <si>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</si>
  <si>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</si>
  <si>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</si>
  <si>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</si>
  <si>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</si>
  <si>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</si>
  <si>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</si>
  <si>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</si>
  <si>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</si>
  <si>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</si>
  <si>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</si>
  <si>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</si>
  <si>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</si>
  <si>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</si>
  <si>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</si>
  <si>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</si>
  <si>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</si>
  <si>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</si>
  <si>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</si>
  <si>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</si>
  <si>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</si>
  <si>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</si>
  <si>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</si>
  <si>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</si>
  <si>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</si>
  <si>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</si>
  <si>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</si>
  <si>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</si>
  <si>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</si>
  <si>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</si>
  <si>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</si>
  <si>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</si>
  <si>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</si>
  <si>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</si>
  <si>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</si>
  <si>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</si>
  <si>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</si>
  <si>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</si>
  <si>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</si>
  <si>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</si>
  <si>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</si>
  <si>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</si>
  <si>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</si>
  <si>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</si>
  <si>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</si>
  <si>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</si>
  <si>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</si>
  <si>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</si>
  <si>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</si>
  <si>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</si>
  <si>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</si>
  <si>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</si>
  <si>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</si>
  <si>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</si>
  <si>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</si>
  <si>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</si>
  <si>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</si>
  <si>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</si>
  <si>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</si>
  <si>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</si>
  <si>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</si>
  <si>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</si>
  <si>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</si>
  <si>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</si>
  <si>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</si>
  <si>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</si>
  <si>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</si>
  <si>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</si>
  <si>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</si>
  <si>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</si>
  <si>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</si>
  <si>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</si>
  <si>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</si>
  <si>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</si>
  <si>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</si>
  <si>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</si>
  <si>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</si>
  <si>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</si>
  <si>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</si>
  <si>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</si>
  <si>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</si>
  <si>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</si>
  <si>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</si>
  <si>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</si>
  <si>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</si>
  <si>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</si>
  <si>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</si>
  <si>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</si>
  <si>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</si>
  <si>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</si>
  <si>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</si>
  <si>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</si>
  <si>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</si>
  <si>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</si>
  <si>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</si>
  <si>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</si>
  <si>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</si>
  <si>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</si>
  <si>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</si>
  <si>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</si>
  <si>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</si>
  <si>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</si>
  <si>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</si>
  <si>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</si>
  <si>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</si>
  <si>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</si>
  <si>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</si>
  <si>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</si>
  <si>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</si>
  <si>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</si>
  <si>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</si>
  <si>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</si>
  <si>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</si>
  <si>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</si>
  <si>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</si>
  <si>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</si>
  <si>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</si>
  <si>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</si>
  <si>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</si>
  <si>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</si>
  <si>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</si>
  <si>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</si>
  <si>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</si>
  <si>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</si>
  <si>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</si>
  <si>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</si>
  <si>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</si>
  <si>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</si>
  <si>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</si>
  <si>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</si>
  <si>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</si>
  <si>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</si>
  <si>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</si>
  <si>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</si>
  <si>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</si>
  <si>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</si>
  <si>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</si>
  <si>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</si>
  <si>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</si>
  <si>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</si>
  <si>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</si>
  <si>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</si>
  <si>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</si>
  <si>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</si>
  <si>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</si>
  <si>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</si>
  <si>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</si>
  <si>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</si>
  <si>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</si>
  <si>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</si>
  <si>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</si>
  <si>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</si>
  <si>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</si>
  <si>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</si>
  <si>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</si>
  <si>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</si>
  <si>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</si>
  <si>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</si>
  <si>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</si>
  <si>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</si>
  <si>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</si>
  <si>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</si>
  <si>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</si>
  <si>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</si>
  <si>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</si>
  <si>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</si>
  <si>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</si>
  <si>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</si>
  <si>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</si>
  <si>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</si>
  <si>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</si>
  <si>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</si>
  <si>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</si>
  <si>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</si>
  <si>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</si>
  <si>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</si>
  <si>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</si>
  <si>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</si>
  <si>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</si>
  <si>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</si>
  <si>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</si>
  <si>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</si>
  <si>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</si>
  <si>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</si>
  <si>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</si>
  <si>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</si>
  <si>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</si>
  <si>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</si>
  <si>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</si>
  <si>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</si>
  <si>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</si>
  <si>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</si>
  <si>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</si>
  <si>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</si>
  <si>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</si>
  <si>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</si>
  <si>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</si>
  <si>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</si>
  <si>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</si>
  <si>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</si>
  <si>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</si>
  <si>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</si>
  <si>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</si>
  <si>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</si>
  <si>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</si>
  <si>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</si>
  <si>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</si>
  <si>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</si>
  <si>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</si>
  <si>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</si>
  <si>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</si>
  <si>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</si>
  <si>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</si>
  <si>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</si>
  <si>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</si>
  <si>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</si>
  <si>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</si>
  <si>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</si>
  <si>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</si>
  <si>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</si>
  <si>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</si>
  <si>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</si>
  <si>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</si>
  <si>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</si>
  <si>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</si>
  <si>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</si>
  <si>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</si>
  <si>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</si>
  <si>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</si>
  <si>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</si>
  <si>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</si>
  <si>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</si>
  <si>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</si>
  <si>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</si>
  <si>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</si>
  <si>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</si>
  <si>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</si>
  <si>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</si>
  <si>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</si>
  <si>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</si>
  <si>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</si>
  <si>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</si>
  <si>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</si>
  <si>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</si>
  <si>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</si>
  <si>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</si>
  <si>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</si>
  <si>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</si>
  <si>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</si>
  <si>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</si>
  <si>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</si>
  <si>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</si>
  <si>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</si>
  <si>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</si>
  <si>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</si>
  <si>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</si>
  <si>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</si>
  <si>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</si>
  <si>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</si>
  <si>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</si>
  <si>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</si>
  <si>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</si>
  <si>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</si>
  <si>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</si>
  <si>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</si>
  <si>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</si>
  <si>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</si>
  <si>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</si>
  <si>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</si>
  <si>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</si>
  <si>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</si>
  <si>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</si>
  <si>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</si>
  <si>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</si>
  <si>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</si>
  <si>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</si>
  <si>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</si>
  <si>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</si>
  <si>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</si>
  <si>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</si>
  <si>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</si>
  <si>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</si>
  <si>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</si>
  <si>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</si>
  <si>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</si>
  <si>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</si>
  <si>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</si>
  <si>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</si>
  <si>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</si>
  <si>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</si>
  <si>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</si>
  <si>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</si>
  <si>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</si>
  <si>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</si>
  <si>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</si>
  <si>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</si>
  <si>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</si>
  <si>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</si>
  <si>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</si>
  <si>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</si>
  <si>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</si>
  <si>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</si>
  <si>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</si>
  <si>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</si>
  <si>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</si>
  <si>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</si>
  <si>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</si>
  <si>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</si>
  <si>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</si>
  <si>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</si>
  <si>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</si>
  <si>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</si>
  <si>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</si>
  <si>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</si>
  <si>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</si>
  <si>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</si>
  <si>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</si>
  <si>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</si>
  <si>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</si>
  <si>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</si>
  <si>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</si>
  <si>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</si>
  <si>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</si>
  <si>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</si>
  <si>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</si>
  <si>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</si>
  <si>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</si>
  <si>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</si>
  <si>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</si>
  <si>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</si>
  <si>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</si>
  <si>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</si>
  <si>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</si>
  <si>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</si>
  <si>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</si>
  <si>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</si>
  <si>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</si>
  <si>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</si>
  <si>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</si>
  <si>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</si>
  <si>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</si>
  <si>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</si>
  <si>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</si>
  <si>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</si>
  <si>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</si>
  <si>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</si>
  <si>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</si>
  <si>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</si>
  <si>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</si>
  <si>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</si>
  <si>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</si>
  <si>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</si>
  <si>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</si>
  <si>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</si>
  <si>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</si>
  <si>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</si>
  <si>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</si>
  <si>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</si>
  <si>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</si>
  <si>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</si>
  <si>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</si>
  <si>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</si>
  <si>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</si>
  <si>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</si>
  <si>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</si>
  <si>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</si>
  <si>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</si>
  <si>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</si>
  <si>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</si>
  <si>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</si>
  <si>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</si>
  <si>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</si>
  <si>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</si>
  <si>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</si>
  <si>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</si>
  <si>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</si>
  <si>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</si>
  <si>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</si>
  <si>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</si>
  <si>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</si>
  <si>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</si>
  <si>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</si>
  <si>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</si>
  <si>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</si>
  <si>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</si>
  <si>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</si>
  <si>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</si>
  <si>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</si>
  <si>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</si>
  <si>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</si>
  <si>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</si>
  <si>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</si>
  <si>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</si>
  <si>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</si>
  <si>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</si>
  <si>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</si>
  <si>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</si>
  <si>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</si>
  <si>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</si>
  <si>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</si>
  <si>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</si>
  <si>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</si>
  <si>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</si>
  <si>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</si>
  <si>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</si>
  <si>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</si>
  <si>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</si>
  <si>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</si>
  <si>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</si>
  <si>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</si>
  <si>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</si>
  <si>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</si>
  <si>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</si>
  <si>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</si>
  <si>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</si>
  <si>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</si>
  <si>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</si>
  <si>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</si>
  <si>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</si>
  <si>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</si>
  <si>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</si>
  <si>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</si>
  <si>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</si>
  <si>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</si>
  <si>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</si>
  <si>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</si>
  <si>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</si>
  <si>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</si>
  <si>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</si>
  <si>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</si>
  <si>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</si>
  <si>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</si>
  <si>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</si>
  <si>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</si>
  <si>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</si>
  <si>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</si>
  <si>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</si>
  <si>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</si>
  <si>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</si>
  <si>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</si>
  <si>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</si>
  <si>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</si>
  <si>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</si>
  <si>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</si>
  <si>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</si>
  <si>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</si>
  <si>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</si>
  <si>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</si>
  <si>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</si>
  <si>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</si>
  <si>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</si>
  <si>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</si>
  <si>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</si>
  <si>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</si>
  <si>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</si>
  <si>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</si>
  <si>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</si>
  <si>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</si>
  <si>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</si>
  <si>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</si>
  <si>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</si>
  <si>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</si>
  <si>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</si>
  <si>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</si>
  <si>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</si>
  <si>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</si>
  <si>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</si>
  <si>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</si>
  <si>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</si>
  <si>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</si>
  <si>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</si>
  <si>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</si>
  <si>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</si>
  <si>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</si>
  <si>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</si>
  <si>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</si>
  <si>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</si>
  <si>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</si>
  <si>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</si>
  <si>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</si>
  <si>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</si>
  <si>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</si>
  <si>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</si>
  <si>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</si>
  <si>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</si>
  <si>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</si>
  <si>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</si>
  <si>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</si>
  <si>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</si>
  <si>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</si>
  <si>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</si>
  <si>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</si>
  <si>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</si>
  <si>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</si>
  <si>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</si>
  <si>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</si>
  <si>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</si>
  <si>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</si>
  <si>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</si>
  <si>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</si>
  <si>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</si>
  <si>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</si>
  <si>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</si>
  <si>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</si>
  <si>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</si>
  <si>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</si>
  <si>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</si>
  <si>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</si>
  <si>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</si>
  <si>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</si>
  <si>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</si>
  <si>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</si>
  <si>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</si>
  <si>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</si>
  <si>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</si>
  <si>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</si>
  <si>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</si>
  <si>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</si>
  <si>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</si>
  <si>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</si>
  <si>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</si>
  <si>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</si>
  <si>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</si>
  <si>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</si>
  <si>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</si>
  <si>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</si>
  <si>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</si>
  <si>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</si>
  <si>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</si>
  <si>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</si>
  <si>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</si>
  <si>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</si>
  <si>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</si>
  <si>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</si>
  <si>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</si>
  <si>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</si>
  <si>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</si>
  <si>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</si>
  <si>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</si>
  <si>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</si>
  <si>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</si>
  <si>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</si>
  <si>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</si>
  <si>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</si>
  <si>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</si>
  <si>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</si>
  <si>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</si>
  <si>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</si>
  <si>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</si>
  <si>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</si>
  <si>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</si>
  <si>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</si>
  <si>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</si>
  <si>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</si>
  <si>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</si>
  <si>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</si>
  <si>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</si>
  <si>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</si>
  <si>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</si>
  <si>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</si>
  <si>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</si>
  <si>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</si>
  <si>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</si>
  <si>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</si>
  <si>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</si>
  <si>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</si>
  <si>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</si>
  <si>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</si>
  <si>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</si>
  <si>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</si>
  <si>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</si>
  <si>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</si>
  <si>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</si>
  <si>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</si>
  <si>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</si>
  <si>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</si>
  <si>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</si>
  <si>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</si>
  <si>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</si>
  <si>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</si>
  <si>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</si>
  <si>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</si>
  <si>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</si>
  <si>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</si>
  <si>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</si>
  <si>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</si>
  <si>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</si>
  <si>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</si>
  <si>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</si>
  <si>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</si>
  <si>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</si>
  <si>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</si>
  <si>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</si>
  <si>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</si>
  <si>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</si>
  <si>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</si>
  <si>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</si>
  <si>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</si>
  <si>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</si>
  <si>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</si>
  <si>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</si>
  <si>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</si>
  <si>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</si>
  <si>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</si>
  <si>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</si>
  <si>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</si>
  <si>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</si>
  <si>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</si>
  <si>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</si>
  <si>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</si>
  <si>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</si>
  <si>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</si>
  <si>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</si>
  <si>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</si>
  <si>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</si>
  <si>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</si>
  <si>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</si>
  <si>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</si>
  <si>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</si>
  <si>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</si>
  <si>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</si>
  <si>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</si>
  <si>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</si>
  <si>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</si>
  <si>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</si>
  <si>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</si>
  <si>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</si>
  <si>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</si>
  <si>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</si>
  <si>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</si>
  <si>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</si>
  <si>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</si>
  <si>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</si>
  <si>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</si>
  <si>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</si>
  <si>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</si>
  <si>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</si>
  <si>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</si>
  <si>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</si>
  <si>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</si>
  <si>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</si>
  <si>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</si>
  <si>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</si>
  <si>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</si>
  <si>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</si>
  <si>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</si>
  <si>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</si>
  <si>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</si>
  <si>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</si>
  <si>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</si>
  <si>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</si>
  <si>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</si>
  <si>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</si>
  <si>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</si>
  <si>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</si>
  <si>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</si>
  <si>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</si>
  <si>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</si>
  <si>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</si>
  <si>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</si>
  <si>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</si>
  <si>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</si>
  <si>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</si>
  <si>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</si>
  <si>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</si>
  <si>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</si>
  <si>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</si>
  <si>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</si>
  <si>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</si>
  <si>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</si>
  <si>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</si>
  <si>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</si>
  <si>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</si>
  <si>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</si>
  <si>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</si>
  <si>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</si>
  <si>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</si>
  <si>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</si>
  <si>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</si>
  <si>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</si>
  <si>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</si>
  <si>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</si>
  <si>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</si>
  <si>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</si>
  <si>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</si>
  <si>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</si>
  <si>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</si>
  <si>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</si>
  <si>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</si>
  <si>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</si>
  <si>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</si>
  <si>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</si>
  <si>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</si>
  <si>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</si>
  <si>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</si>
  <si>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</si>
  <si>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</si>
  <si>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</si>
  <si>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</si>
  <si>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</si>
  <si>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</si>
  <si>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</si>
  <si>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</si>
  <si>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</si>
  <si>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</si>
  <si>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</si>
  <si>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</si>
  <si>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</si>
  <si>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</si>
  <si>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</si>
  <si>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</si>
  <si>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</si>
  <si>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</si>
  <si>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</si>
  <si>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</si>
  <si>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</si>
  <si>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</si>
  <si>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</si>
  <si>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</si>
  <si>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</si>
  <si>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</si>
  <si>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</si>
  <si>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</si>
  <si>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</si>
  <si>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</si>
  <si>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</si>
  <si>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</si>
  <si>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</si>
  <si>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</si>
  <si>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</si>
  <si>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</si>
  <si>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</si>
  <si>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</si>
  <si>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</si>
  <si>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</si>
  <si>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</si>
  <si>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</si>
  <si>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</si>
  <si>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</si>
  <si>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</si>
  <si>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</si>
  <si>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</si>
  <si>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</si>
  <si>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</si>
  <si>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</si>
  <si>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</si>
  <si>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</si>
  <si>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</si>
  <si>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</si>
  <si>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</si>
  <si>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</si>
  <si>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</si>
  <si>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</si>
  <si>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</si>
  <si>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</si>
  <si>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</si>
  <si>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</si>
  <si>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</si>
  <si>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</si>
  <si>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</si>
  <si>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</si>
  <si>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</si>
  <si>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</si>
  <si>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</si>
  <si>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</si>
  <si>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</si>
  <si>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</si>
  <si>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</si>
  <si>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</si>
  <si>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</si>
  <si>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</si>
  <si>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</si>
  <si>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</si>
  <si>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</si>
  <si>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</si>
  <si>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</si>
  <si>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</si>
  <si>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</si>
  <si>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</si>
  <si>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</si>
  <si>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</si>
  <si>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</si>
  <si>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</si>
  <si>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</si>
  <si>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</si>
  <si>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</si>
  <si>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</si>
  <si>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</si>
  <si>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</si>
  <si>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</si>
  <si>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</si>
  <si>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</si>
  <si>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</si>
  <si>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</si>
  <si>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</si>
  <si>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</si>
  <si>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</si>
  <si>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</si>
  <si>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</si>
  <si>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</si>
  <si>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</si>
  <si>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</si>
  <si>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</si>
  <si>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</si>
  <si>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</si>
  <si>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</si>
  <si>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</si>
  <si>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</si>
  <si>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</si>
  <si>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</si>
  <si>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</si>
  <si>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</si>
  <si>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</si>
  <si>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</si>
  <si>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</si>
  <si>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</si>
  <si>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</si>
  <si>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</si>
  <si>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</si>
  <si>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</si>
  <si>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</si>
  <si>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</si>
  <si>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</si>
  <si>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</si>
  <si>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</si>
  <si>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</si>
  <si>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</si>
  <si>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</si>
  <si>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</si>
  <si>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</si>
  <si>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</si>
  <si>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</si>
  <si>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</si>
  <si>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</si>
  <si>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</si>
  <si>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</si>
  <si>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</si>
  <si>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</si>
  <si>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</si>
  <si>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</si>
  <si>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</si>
  <si>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</si>
  <si>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</si>
  <si>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</si>
  <si>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</si>
  <si>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</si>
  <si>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</si>
  <si>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</si>
  <si>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</si>
  <si>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</si>
  <si>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</si>
  <si>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</si>
  <si>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</si>
  <si>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</si>
  <si>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</si>
  <si>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</si>
  <si>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</si>
  <si>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</si>
  <si>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</si>
  <si>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</si>
  <si>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</si>
  <si>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</si>
  <si>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</si>
  <si>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</si>
  <si>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</si>
  <si>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</si>
  <si>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</si>
  <si>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</si>
  <si>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</si>
  <si>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</si>
  <si>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</si>
  <si>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</si>
  <si>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</si>
  <si>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</si>
  <si>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</si>
  <si>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</si>
  <si>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</si>
  <si>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</si>
  <si>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</si>
  <si>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</si>
  <si>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</si>
  <si>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</si>
  <si>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</si>
  <si>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</si>
  <si>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</si>
  <si>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</si>
  <si>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</si>
  <si>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</si>
  <si>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</si>
  <si>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</si>
  <si>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</si>
  <si>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</si>
  <si>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</si>
  <si>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</si>
  <si>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</si>
  <si>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</si>
  <si>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</si>
  <si>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</si>
  <si>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</si>
  <si>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</si>
  <si>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</si>
  <si>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</si>
  <si>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</si>
  <si>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</si>
  <si>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</si>
  <si>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</si>
  <si>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</si>
  <si>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</si>
  <si>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</si>
  <si>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</si>
  <si>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</si>
  <si>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</si>
  <si>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</si>
  <si>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</si>
  <si>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</si>
  <si>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</si>
  <si>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</si>
  <si>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</si>
  <si>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</si>
  <si>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</si>
  <si>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</si>
  <si>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</si>
  <si>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</si>
  <si>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</si>
  <si>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</si>
  <si>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</si>
  <si>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</si>
  <si>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</si>
  <si>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</si>
  <si>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</si>
  <si>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</si>
  <si>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</si>
  <si>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</si>
  <si>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</si>
  <si>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</si>
  <si>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</si>
  <si>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</si>
  <si>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</si>
  <si>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</si>
  <si>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</si>
  <si>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</si>
  <si>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</si>
  <si>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</si>
  <si>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</si>
  <si>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</si>
  <si>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</si>
  <si>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</si>
  <si>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</si>
  <si>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</si>
  <si>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</si>
  <si>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</si>
  <si>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</si>
  <si>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</si>
  <si>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</si>
  <si>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</si>
  <si>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</si>
  <si>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</si>
  <si>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</si>
  <si>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</si>
  <si>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</si>
  <si>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</si>
  <si>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</si>
  <si>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</si>
  <si>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</si>
  <si>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</si>
  <si>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</si>
  <si>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</si>
  <si>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</si>
  <si>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</si>
  <si>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</si>
  <si>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</si>
  <si>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</si>
  <si>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</si>
  <si>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</si>
  <si>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</si>
  <si>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</si>
  <si>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</si>
  <si>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</si>
  <si>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</si>
  <si>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</si>
  <si>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</si>
  <si>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</si>
  <si>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</si>
  <si>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</si>
  <si>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</si>
  <si>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</si>
  <si>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</si>
  <si>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</si>
  <si>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</si>
  <si>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</si>
  <si>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</si>
  <si>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</si>
  <si>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</si>
  <si>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</si>
  <si>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</si>
  <si>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</si>
  <si>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</si>
  <si>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</si>
  <si>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</si>
  <si>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</si>
  <si>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</si>
  <si>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</si>
  <si>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</si>
  <si>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</si>
  <si>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</si>
  <si>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</si>
  <si>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</si>
  <si>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</si>
  <si>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</si>
  <si>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</si>
  <si>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</si>
  <si>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</si>
  <si>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</si>
  <si>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</si>
  <si>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</si>
  <si>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</si>
  <si>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</si>
  <si>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</si>
  <si>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</si>
  <si>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</si>
  <si>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</si>
  <si>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</si>
  <si>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</si>
  <si>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</si>
  <si>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</si>
  <si>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</si>
  <si>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</si>
  <si>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</si>
  <si>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</si>
  <si>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</si>
  <si>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</si>
  <si>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</si>
  <si>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</si>
  <si>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</si>
  <si>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</si>
  <si>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</si>
  <si>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</si>
  <si>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</si>
  <si>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</si>
  <si>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</si>
  <si>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</si>
  <si>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</si>
  <si>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</si>
  <si>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</si>
  <si>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</si>
  <si>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</si>
  <si>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</si>
  <si>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</si>
  <si>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</si>
  <si>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</si>
  <si>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</si>
  <si>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</si>
  <si>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</si>
  <si>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</si>
  <si>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</si>
  <si>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</si>
  <si>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</si>
  <si>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</si>
  <si>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</si>
  <si>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</si>
  <si>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</si>
  <si>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</si>
  <si>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</si>
  <si>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</si>
  <si>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</si>
  <si>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</si>
  <si>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</si>
  <si>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</si>
  <si>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</si>
  <si>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</si>
  <si>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</si>
  <si>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</si>
  <si>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</si>
  <si>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</si>
  <si>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</si>
  <si>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</si>
  <si>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</si>
  <si>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</si>
  <si>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</si>
  <si>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</si>
  <si>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</si>
  <si>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</si>
  <si>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</si>
  <si>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</si>
  <si>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</si>
  <si>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</si>
  <si>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</si>
  <si>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</si>
  <si>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</si>
  <si>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</si>
  <si>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</si>
  <si>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</si>
  <si>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</si>
  <si>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</si>
  <si>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</si>
  <si>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</si>
  <si>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</si>
  <si>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</si>
  <si>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</si>
  <si>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</si>
  <si>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</si>
  <si>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</si>
  <si>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</si>
  <si>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</si>
  <si>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</si>
  <si>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</si>
  <si>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</si>
  <si>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</si>
  <si>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</si>
  <si>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</si>
  <si>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</si>
  <si>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</si>
  <si>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</si>
  <si>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</si>
  <si>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</si>
  <si>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</si>
  <si>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</si>
  <si>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</si>
  <si>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</si>
  <si>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</si>
  <si>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</si>
  <si>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</si>
  <si>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</si>
  <si>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</si>
  <si>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</si>
  <si>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</si>
  <si>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</si>
  <si>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</si>
  <si>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</si>
  <si>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</si>
  <si>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</si>
  <si>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</si>
  <si>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</si>
  <si>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</si>
  <si>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</si>
  <si>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</si>
  <si>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</si>
  <si>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</si>
  <si>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</si>
  <si>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</si>
  <si>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</si>
  <si>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</si>
  <si>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</si>
  <si>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</si>
  <si>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</si>
  <si>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</si>
  <si>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</si>
  <si>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</si>
  <si>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</si>
  <si>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</si>
  <si>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</si>
  <si>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</si>
  <si>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</si>
  <si>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</si>
  <si>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</si>
  <si>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</si>
  <si>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</si>
  <si>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</si>
  <si>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</si>
  <si>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</si>
  <si>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</si>
  <si>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</si>
  <si>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</si>
  <si>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</si>
  <si>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</si>
  <si>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</si>
  <si>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</si>
  <si>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</si>
  <si>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</si>
  <si>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</si>
  <si>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</si>
  <si>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</si>
  <si>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</si>
  <si>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</si>
  <si>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</si>
  <si>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</si>
  <si>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</si>
  <si>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</si>
  <si>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</si>
  <si>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</si>
  <si>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</si>
  <si>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</si>
  <si>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</si>
  <si>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</si>
  <si>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</si>
  <si>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</si>
  <si>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</si>
  <si>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</si>
  <si>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</si>
  <si>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</si>
  <si>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</si>
  <si>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</si>
  <si>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</si>
  <si>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</si>
  <si>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</si>
  <si>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</si>
  <si>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</si>
  <si>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</si>
  <si>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</si>
  <si>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</si>
  <si>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</si>
  <si>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</si>
  <si>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</si>
  <si>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</si>
  <si>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</si>
  <si>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</si>
  <si>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</si>
  <si>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</si>
  <si>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</si>
  <si>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</si>
  <si>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</si>
  <si>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</si>
  <si>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</si>
  <si>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</si>
  <si>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</si>
  <si>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</si>
  <si>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</si>
  <si>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</si>
  <si>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</si>
  <si>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</si>
  <si>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</si>
  <si>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</si>
  <si>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</si>
  <si>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</si>
  <si>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</si>
  <si>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</si>
  <si>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</si>
  <si>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</si>
  <si>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</si>
  <si>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</si>
  <si>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</si>
  <si>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</si>
  <si>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</si>
  <si>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</si>
  <si>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</si>
  <si>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</si>
  <si>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</si>
  <si>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</si>
  <si>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</si>
  <si>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</si>
  <si>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</si>
  <si>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</si>
  <si>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</si>
  <si>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</si>
  <si>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</si>
  <si>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</si>
  <si>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</si>
  <si>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</si>
  <si>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</si>
  <si>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</si>
  <si>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</si>
  <si>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</si>
  <si>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</si>
  <si>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</si>
  <si>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</si>
  <si>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</si>
  <si>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</si>
  <si>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</si>
  <si>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</si>
  <si>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</si>
  <si>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</si>
  <si>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</si>
  <si>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</si>
  <si>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</si>
  <si>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</si>
  <si>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</si>
  <si>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</si>
  <si>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</si>
  <si>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</si>
  <si>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</si>
  <si>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</si>
  <si>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</si>
  <si>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</si>
  <si>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</si>
  <si>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</si>
  <si>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</si>
  <si>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</si>
  <si>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</si>
  <si>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</si>
  <si>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</si>
  <si>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</si>
  <si>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</si>
  <si>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</si>
  <si>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</si>
  <si>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</si>
  <si>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</si>
  <si>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</si>
  <si>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</si>
  <si>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</si>
  <si>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</si>
  <si>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</si>
  <si>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</si>
  <si>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</si>
  <si>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</si>
  <si>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</si>
  <si>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</si>
  <si>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</si>
  <si>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</si>
  <si>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</si>
  <si>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</si>
  <si>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</si>
  <si>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</si>
  <si>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</si>
  <si>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</si>
  <si>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</si>
  <si>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</si>
  <si>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</si>
  <si>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</si>
  <si>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</si>
  <si>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</si>
  <si>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</si>
  <si>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</si>
  <si>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</si>
  <si>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</si>
  <si>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</si>
  <si>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</si>
  <si>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</si>
  <si>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</si>
  <si>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</si>
  <si>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</si>
  <si>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</si>
  <si>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</si>
  <si>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</si>
  <si>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</si>
  <si>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</si>
  <si>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</si>
  <si>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</si>
  <si>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</si>
  <si>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</si>
  <si>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</si>
  <si>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</si>
  <si>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</si>
  <si>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</si>
  <si>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</si>
  <si>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</si>
  <si>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</si>
  <si>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</si>
  <si>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</si>
  <si>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</si>
  <si>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</si>
  <si>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</si>
  <si>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</si>
  <si>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</si>
  <si>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</si>
  <si>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</si>
  <si>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</si>
  <si>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</si>
  <si>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</si>
  <si>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</si>
  <si>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</si>
  <si>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</si>
  <si>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</si>
  <si>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</si>
  <si>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</si>
  <si>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</si>
  <si>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</si>
  <si>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</si>
  <si>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</si>
  <si>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</si>
  <si>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</si>
  <si>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</si>
  <si>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</si>
  <si>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</si>
  <si>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</si>
  <si>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</si>
  <si>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</si>
  <si>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</si>
  <si>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</si>
  <si>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</si>
  <si>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</si>
  <si>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</si>
  <si>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</si>
  <si>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</si>
  <si>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</si>
  <si>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</si>
  <si>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</si>
  <si>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</si>
  <si>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</si>
  <si>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</si>
  <si>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</si>
  <si>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</si>
  <si>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</si>
  <si>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</si>
  <si>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</si>
  <si>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</si>
  <si>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</si>
  <si>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</si>
  <si>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</si>
  <si>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</si>
  <si>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</si>
  <si>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</si>
  <si>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</si>
  <si>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</si>
  <si>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</si>
  <si>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</si>
  <si>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</si>
  <si>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</si>
  <si>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</si>
  <si>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</si>
  <si>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</si>
  <si>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</si>
  <si>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</si>
  <si>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</si>
  <si>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</si>
  <si>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</si>
  <si>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</si>
  <si>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</si>
  <si>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</si>
  <si>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</si>
  <si>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</si>
  <si>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</si>
  <si>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</si>
  <si>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</si>
  <si>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</si>
  <si>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</si>
  <si>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</si>
  <si>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</si>
  <si>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</si>
  <si>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</si>
  <si>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</si>
  <si>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</si>
  <si>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</si>
  <si>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</si>
  <si>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</si>
  <si>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</si>
  <si>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</si>
  <si>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</si>
  <si>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</si>
  <si>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</si>
  <si>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</si>
  <si>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</si>
  <si>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</si>
  <si>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</si>
  <si>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</si>
  <si>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</si>
  <si>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</si>
  <si>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</si>
  <si>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</si>
  <si>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</si>
  <si>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</si>
  <si>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</si>
  <si>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</si>
  <si>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</si>
  <si>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</si>
  <si>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</si>
  <si>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</si>
  <si>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</si>
  <si>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</si>
  <si>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</si>
  <si>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</si>
  <si>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</si>
  <si>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</si>
  <si>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</si>
  <si>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</si>
  <si>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</si>
  <si>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</si>
  <si>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</si>
  <si>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</si>
  <si>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</si>
  <si>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</si>
  <si>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</si>
  <si>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</si>
  <si>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</si>
  <si>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</si>
  <si>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</si>
  <si>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</si>
  <si>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</si>
  <si>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</si>
  <si>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</si>
  <si>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</si>
  <si>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</si>
  <si>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</si>
  <si>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</si>
  <si>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</si>
  <si>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</si>
  <si>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</si>
  <si>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</si>
  <si>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</si>
  <si>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</si>
  <si>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</si>
  <si>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</si>
  <si>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</si>
  <si>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</si>
  <si>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</si>
  <si>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</si>
  <si>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</si>
  <si>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</si>
  <si>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</si>
  <si>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</si>
  <si>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</si>
  <si>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</si>
  <si>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</si>
  <si>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</si>
  <si>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</si>
  <si>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</si>
  <si>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</si>
  <si>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</si>
  <si>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</si>
  <si>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</si>
  <si>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</si>
  <si>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</si>
  <si>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</si>
  <si>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</si>
  <si>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</si>
  <si>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</si>
  <si>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</si>
  <si>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</si>
  <si>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</si>
  <si>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</si>
  <si>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</si>
  <si>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</si>
  <si>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</si>
  <si>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</si>
  <si>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</si>
  <si>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</si>
  <si>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</si>
  <si>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</si>
  <si>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</si>
  <si>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</si>
  <si>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</si>
  <si>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</si>
  <si>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</si>
  <si>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</si>
  <si>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</si>
  <si>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</si>
  <si>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</si>
  <si>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</si>
  <si>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</si>
  <si>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</si>
  <si>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</si>
  <si>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</si>
  <si>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</si>
  <si>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</si>
  <si>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</si>
  <si>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</si>
  <si>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</si>
  <si>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</si>
  <si>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</si>
  <si>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</si>
  <si>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</si>
  <si>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</si>
  <si>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</si>
  <si>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</si>
  <si>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</si>
  <si>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</si>
  <si>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</si>
  <si>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</si>
  <si>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</si>
  <si>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</si>
  <si>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</si>
  <si>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</si>
  <si>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</si>
  <si>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</si>
  <si>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</si>
  <si>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</si>
  <si>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</si>
  <si>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</si>
  <si>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</si>
  <si>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</si>
  <si>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</si>
  <si>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</si>
  <si>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</si>
  <si>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</si>
  <si>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</si>
  <si>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</si>
  <si>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</si>
  <si>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</si>
  <si>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</si>
  <si>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</si>
  <si>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</si>
  <si>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</si>
  <si>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</si>
  <si>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</si>
  <si>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</si>
  <si>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</si>
  <si>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</si>
  <si>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</si>
  <si>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</si>
  <si>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</si>
  <si>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</si>
  <si>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</si>
  <si>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</si>
  <si>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</si>
  <si>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</si>
  <si>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</si>
  <si>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</si>
  <si>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</si>
  <si>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</si>
  <si>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</si>
  <si>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</si>
  <si>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</si>
  <si>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</si>
  <si>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</si>
  <si>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</si>
  <si>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</si>
  <si>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</si>
  <si>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</si>
  <si>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</si>
  <si>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</si>
  <si>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</si>
  <si>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</si>
  <si>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</si>
  <si>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</si>
  <si>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</si>
  <si>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</si>
  <si>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</si>
  <si>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</si>
  <si>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</si>
  <si>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</si>
  <si>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</si>
  <si>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</si>
  <si>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</si>
  <si>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</si>
  <si>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</si>
  <si>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</si>
  <si>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</si>
  <si>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</si>
  <si>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</si>
  <si>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</si>
  <si>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</si>
  <si>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</si>
  <si>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</si>
  <si>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</si>
  <si>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</si>
  <si>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</si>
  <si>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</si>
  <si>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</si>
  <si>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</si>
  <si>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</si>
  <si>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</si>
  <si>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</si>
  <si>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</si>
  <si>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</si>
  <si>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</si>
  <si>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</si>
  <si>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</si>
  <si>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</si>
  <si>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</si>
  <si>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</si>
  <si>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</si>
  <si>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</si>
  <si>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</si>
  <si>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</si>
  <si>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</si>
  <si>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</si>
  <si>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</si>
  <si>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</si>
  <si>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</si>
  <si>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</si>
  <si>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</si>
  <si>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</si>
  <si>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</si>
  <si>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</si>
  <si>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</si>
  <si>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</si>
  <si>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</si>
  <si>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</si>
  <si>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</si>
  <si>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</si>
  <si>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</si>
  <si>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</si>
  <si>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</si>
  <si>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</si>
  <si>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</si>
  <si>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</si>
  <si>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</si>
  <si>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</si>
  <si>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</si>
  <si>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</si>
  <si>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</si>
  <si>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</si>
  <si>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</si>
  <si>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</si>
  <si>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</si>
  <si>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</si>
  <si>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</si>
  <si>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</si>
  <si>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</si>
  <si>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</si>
  <si>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</si>
  <si>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</si>
  <si>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</si>
  <si>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</si>
  <si>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</si>
  <si>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</si>
  <si>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</si>
  <si>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</si>
  <si>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</si>
  <si>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</si>
  <si>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</si>
  <si>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</si>
  <si>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</si>
  <si>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</si>
  <si>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</si>
  <si>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</si>
  <si>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</si>
  <si>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</si>
  <si>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</si>
  <si>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</si>
  <si>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</si>
  <si>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</si>
  <si>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</si>
  <si>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</si>
  <si>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</si>
  <si>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</si>
  <si>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</si>
  <si>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</si>
  <si>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</si>
  <si>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</si>
  <si>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</si>
  <si>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</si>
  <si>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</si>
  <si>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</si>
  <si>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</si>
  <si>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</si>
  <si>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</si>
  <si>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</si>
  <si>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</si>
  <si>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</si>
  <si>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</si>
  <si>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</si>
  <si>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</si>
  <si>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</si>
  <si>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</si>
  <si>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</si>
  <si>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</si>
  <si>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</si>
  <si>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</si>
  <si>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</si>
  <si>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</si>
  <si>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</si>
  <si>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</si>
  <si>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</si>
  <si>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</si>
  <si>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</si>
  <si>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</si>
  <si>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</si>
  <si>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</si>
  <si>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</si>
  <si>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</si>
  <si>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</si>
  <si>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</si>
  <si>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</si>
  <si>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</si>
  <si>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</si>
  <si>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</si>
  <si>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</si>
  <si>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</si>
  <si>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</si>
  <si>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</si>
  <si>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</si>
  <si>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</si>
  <si>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</si>
  <si>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</si>
  <si>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</si>
  <si>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</si>
  <si>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</si>
  <si>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</si>
  <si>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</si>
  <si>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</si>
  <si>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</si>
  <si>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</si>
  <si>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</si>
  <si>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</si>
  <si>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</si>
  <si>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</si>
  <si>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</si>
  <si>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</si>
  <si>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</si>
  <si>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</si>
  <si>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</si>
  <si>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</si>
  <si>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</si>
  <si>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</si>
  <si>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</si>
  <si>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</si>
  <si>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</si>
  <si>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</si>
  <si>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</si>
  <si>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</si>
  <si>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</si>
  <si>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</si>
  <si>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</si>
  <si>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</si>
  <si>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</si>
  <si>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</si>
  <si>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</si>
  <si>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</si>
  <si>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</si>
  <si>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</si>
  <si>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</si>
  <si>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</si>
  <si>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</si>
  <si>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</si>
  <si>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</si>
  <si>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</si>
  <si>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</si>
  <si>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</si>
  <si>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</si>
  <si>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</si>
  <si>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</si>
  <si>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</si>
  <si>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</si>
  <si>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</si>
  <si>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</si>
  <si>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</si>
  <si>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</si>
  <si>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</si>
  <si>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</si>
  <si>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</si>
  <si>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</si>
  <si>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</si>
  <si>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</si>
  <si>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</si>
  <si>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</si>
  <si>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</si>
  <si>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</si>
  <si>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</si>
  <si>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</si>
  <si>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</si>
  <si>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</si>
  <si>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</si>
  <si>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</si>
  <si>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</si>
  <si>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</si>
  <si>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</si>
  <si>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</si>
  <si>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</si>
  <si>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</si>
  <si>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</si>
  <si>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</si>
  <si>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</si>
  <si>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</si>
  <si>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</si>
  <si>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</si>
  <si>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</si>
  <si>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</si>
  <si>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</si>
  <si>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</si>
  <si>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</si>
  <si>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</si>
  <si>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</si>
  <si>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</si>
  <si>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</si>
  <si>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</si>
  <si>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</si>
  <si>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</si>
  <si>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</si>
  <si>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</si>
  <si>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</si>
  <si>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</si>
  <si>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</si>
  <si>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</si>
  <si>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</si>
  <si>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</si>
  <si>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</si>
  <si>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</si>
  <si>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</si>
  <si>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</si>
  <si>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</si>
  <si>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</si>
  <si>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</si>
  <si>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</si>
  <si>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</si>
  <si>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</si>
  <si>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</si>
  <si>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</si>
  <si>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</si>
  <si>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</si>
  <si>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</si>
  <si>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</si>
  <si>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</si>
  <si>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</si>
  <si>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</si>
  <si>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</si>
  <si>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</si>
  <si>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</si>
  <si>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</si>
  <si>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</si>
  <si>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</si>
  <si>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</si>
  <si>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</si>
  <si>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</si>
  <si>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</si>
  <si>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</si>
  <si>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</si>
  <si>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</si>
  <si>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</si>
  <si>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</si>
  <si>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</si>
  <si>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</si>
  <si>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</si>
  <si>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</si>
  <si>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</si>
  <si>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</si>
  <si>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</si>
  <si>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</si>
  <si>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</si>
  <si>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</si>
  <si>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</si>
  <si>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</si>
  <si>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</si>
  <si>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</si>
  <si>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</si>
  <si>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</si>
  <si>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</si>
  <si>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</si>
  <si>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</si>
  <si>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</si>
  <si>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</si>
  <si>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</si>
  <si>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</si>
  <si>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</si>
  <si>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</si>
  <si>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</si>
  <si>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</si>
  <si>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</si>
  <si>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</si>
  <si>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</si>
  <si>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</si>
  <si>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</si>
  <si>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</si>
  <si>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</si>
  <si>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</si>
  <si>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</si>
  <si>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</si>
  <si>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</si>
  <si>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</si>
  <si>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</si>
  <si>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</si>
  <si>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</si>
  <si>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</si>
  <si>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</si>
  <si>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</si>
  <si>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</si>
  <si>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</si>
  <si>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</si>
  <si>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</si>
  <si>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</si>
  <si>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</si>
  <si>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</si>
  <si>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</si>
  <si>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</si>
  <si>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</si>
  <si>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</si>
  <si>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</si>
  <si>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</si>
  <si>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</si>
  <si>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</si>
  <si>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</si>
  <si>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</si>
  <si>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</si>
  <si>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</si>
  <si>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</si>
  <si>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</si>
  <si>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</si>
  <si>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</si>
  <si>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</si>
  <si>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</si>
  <si>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</si>
  <si>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</si>
  <si>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</si>
  <si>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</si>
  <si>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</si>
  <si>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</si>
  <si>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</si>
  <si>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</si>
  <si>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</si>
  <si>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</si>
  <si>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</si>
  <si>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</si>
  <si>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</si>
  <si>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</si>
  <si>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</si>
  <si>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</si>
  <si>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</si>
  <si>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</si>
  <si>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</si>
  <si>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</si>
  <si>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</si>
  <si>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</si>
  <si>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</si>
  <si>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</si>
  <si>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</si>
  <si>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</si>
  <si>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</si>
  <si>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</si>
  <si>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</si>
  <si>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</si>
  <si>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</si>
  <si>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</si>
  <si>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</si>
  <si>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</si>
  <si>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</si>
  <si>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</si>
  <si>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</si>
  <si>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</si>
  <si>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</si>
  <si>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</si>
  <si>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</si>
  <si>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</si>
  <si>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</si>
  <si>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</si>
  <si>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</si>
  <si>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</si>
  <si>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</si>
  <si>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</si>
  <si>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</si>
  <si>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</si>
  <si>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</si>
  <si>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</si>
  <si>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</si>
  <si>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</si>
  <si>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</si>
  <si>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</si>
  <si>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</si>
  <si>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</si>
  <si>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</si>
  <si>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</si>
  <si>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</si>
  <si>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</si>
  <si>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</si>
  <si>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</si>
  <si>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</si>
  <si>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</si>
  <si>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</si>
  <si>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</si>
  <si>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</si>
  <si>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</si>
  <si>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</si>
  <si>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</si>
  <si>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</si>
  <si>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</si>
  <si>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</si>
  <si>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</si>
  <si>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</si>
  <si>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</si>
  <si>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</si>
  <si>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</si>
  <si>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</si>
  <si>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</si>
  <si>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</si>
  <si>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</si>
  <si>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</si>
  <si>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</si>
  <si>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</si>
  <si>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</si>
  <si>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</si>
  <si>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</si>
  <si>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</si>
  <si>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</si>
  <si>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</si>
  <si>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</si>
  <si>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</si>
  <si>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</si>
  <si>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</si>
  <si>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</si>
  <si>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</si>
  <si>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</si>
  <si>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</si>
  <si>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</si>
  <si>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</si>
  <si>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</si>
  <si>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</si>
  <si>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</si>
  <si>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</si>
  <si>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</si>
  <si>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</si>
  <si>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</si>
  <si>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</si>
  <si>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</si>
  <si>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</si>
  <si>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</si>
  <si>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</si>
  <si>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</si>
  <si>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</si>
  <si>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</si>
  <si>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</si>
  <si>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</si>
  <si>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</si>
  <si>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</si>
  <si>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</si>
  <si>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</si>
  <si>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</si>
  <si>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</si>
  <si>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</si>
  <si>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</si>
  <si>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</si>
  <si>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</si>
  <si>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</si>
  <si>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</si>
  <si>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</si>
  <si>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</si>
  <si>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</si>
  <si>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</si>
  <si>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</si>
  <si>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</si>
  <si>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</si>
  <si>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</si>
  <si>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</si>
  <si>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</si>
  <si>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</si>
  <si>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</si>
  <si>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</si>
  <si>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</si>
  <si>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</si>
  <si>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</si>
  <si>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</si>
  <si>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</si>
  <si>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</si>
  <si>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</si>
  <si>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</si>
  <si>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</si>
  <si>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</si>
  <si>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</si>
  <si>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</si>
  <si>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</si>
  <si>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</si>
  <si>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</si>
  <si>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</si>
  <si>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</si>
  <si>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</si>
  <si>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</si>
  <si>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</si>
  <si>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</si>
  <si>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</si>
  <si>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</si>
  <si>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</si>
  <si>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</si>
  <si>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</si>
  <si>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</si>
  <si>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</si>
  <si>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</si>
  <si>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</si>
  <si>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</si>
  <si>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</si>
  <si>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</si>
  <si>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</si>
  <si>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</si>
  <si>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</si>
  <si>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</si>
  <si>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</si>
  <si>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</si>
  <si>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</si>
  <si>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</si>
  <si>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</si>
  <si>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</si>
  <si>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</si>
  <si>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</si>
  <si>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</si>
  <si>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</si>
  <si>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</si>
  <si>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</si>
  <si>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</si>
  <si>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</si>
  <si>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</si>
  <si>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</si>
  <si>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</si>
  <si>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</si>
  <si>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</si>
  <si>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</si>
  <si>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</si>
  <si>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</si>
  <si>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</si>
  <si>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</si>
  <si>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</si>
  <si>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</si>
  <si>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</si>
  <si>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</si>
  <si>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</si>
  <si>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</si>
  <si>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</si>
  <si>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</si>
  <si>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</si>
  <si>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</si>
  <si>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</si>
  <si>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</si>
  <si>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</si>
  <si>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</si>
  <si>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</si>
  <si>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</si>
  <si>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</si>
  <si>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</si>
  <si>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</si>
  <si>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</si>
  <si>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</si>
  <si>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</si>
  <si>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</si>
  <si>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</si>
  <si>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</si>
  <si>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</si>
  <si>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</si>
  <si>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</si>
  <si>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</si>
  <si>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</si>
  <si>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</si>
  <si>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</si>
  <si>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</si>
  <si>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</si>
  <si>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</si>
  <si>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</si>
  <si>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</si>
  <si>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</si>
  <si>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</si>
  <si>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</si>
  <si>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</si>
  <si>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</si>
  <si>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</si>
  <si>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</si>
  <si>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</si>
  <si>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</si>
  <si>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</si>
  <si>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</si>
  <si>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</si>
  <si>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</si>
  <si>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</si>
  <si>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</si>
  <si>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</si>
  <si>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</si>
  <si>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</si>
  <si>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</si>
  <si>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</si>
  <si>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</si>
  <si>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</si>
  <si>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</si>
  <si>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</si>
  <si>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</si>
  <si>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</si>
  <si>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</si>
  <si>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</si>
  <si>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</si>
  <si>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</si>
  <si>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</si>
  <si>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</si>
  <si>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</si>
  <si>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</si>
  <si>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</si>
  <si>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</si>
  <si>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</si>
  <si>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</si>
  <si>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</si>
  <si>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</si>
  <si>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</si>
  <si>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</si>
  <si>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</si>
  <si>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</si>
  <si>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</si>
  <si>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</si>
  <si>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</si>
  <si>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</si>
  <si>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</si>
  <si>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</si>
  <si>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</si>
  <si>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</si>
  <si>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</si>
  <si>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</si>
  <si>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</si>
  <si>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</si>
  <si>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</si>
  <si>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</si>
  <si>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</si>
  <si>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</si>
  <si>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</si>
  <si>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</si>
  <si>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</si>
  <si>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</si>
  <si>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</si>
  <si>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</si>
  <si>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</si>
  <si>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</si>
  <si>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</si>
  <si>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</si>
  <si>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</si>
  <si>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</si>
  <si>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</si>
  <si>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</si>
  <si>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</si>
  <si>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</si>
  <si>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</si>
  <si>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</si>
  <si>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</si>
  <si>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</si>
  <si>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</si>
  <si>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</si>
  <si>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</si>
  <si>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</si>
  <si>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</si>
  <si>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</si>
  <si>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</si>
  <si>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</si>
  <si>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</si>
  <si>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</si>
  <si>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</si>
  <si>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</si>
  <si>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</si>
  <si>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</si>
  <si>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</si>
  <si>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</si>
  <si>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</si>
  <si>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</si>
  <si>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</si>
  <si>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</si>
  <si>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</si>
  <si>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</si>
  <si>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</si>
  <si>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</si>
  <si>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</si>
  <si>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</si>
  <si>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</si>
  <si>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</si>
  <si>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</si>
  <si>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</si>
  <si>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</si>
  <si>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</si>
  <si>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</si>
  <si>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</si>
  <si>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</si>
  <si>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</si>
  <si>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</si>
  <si>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</si>
  <si>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</si>
  <si>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</si>
  <si>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</si>
  <si>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</si>
  <si>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</si>
  <si>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</si>
  <si>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</si>
  <si>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</si>
  <si>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</si>
  <si>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</si>
  <si>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</si>
  <si>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</si>
  <si>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</si>
  <si>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</si>
  <si>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</si>
  <si>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</si>
  <si>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</si>
  <si>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</si>
  <si>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</si>
  <si>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</si>
  <si>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</si>
  <si>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</si>
  <si>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</si>
  <si>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</si>
  <si>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</si>
  <si>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</si>
  <si>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</si>
  <si>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</si>
  <si>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</si>
  <si>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</si>
  <si>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</si>
  <si>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</si>
  <si>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</si>
  <si>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</si>
  <si>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</si>
  <si>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</si>
  <si>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</si>
  <si>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</si>
  <si>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</si>
  <si>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</si>
  <si>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</si>
  <si>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</si>
  <si>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</si>
  <si>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</si>
  <si>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</si>
  <si>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</si>
  <si>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</si>
  <si>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</si>
  <si>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</si>
  <si>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</si>
  <si>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</si>
  <si>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</si>
  <si>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</si>
  <si>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</si>
  <si>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</si>
  <si>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</si>
  <si>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</si>
  <si>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</si>
  <si>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</si>
  <si>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</si>
  <si>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</si>
  <si>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</si>
  <si>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</si>
  <si>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</si>
  <si>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</si>
  <si>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</si>
  <si>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</si>
  <si>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</si>
  <si>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</si>
  <si>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</si>
  <si>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</si>
  <si>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</si>
  <si>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</si>
  <si>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</si>
  <si>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</si>
  <si>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</si>
  <si>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</si>
  <si>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</si>
  <si>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</si>
  <si>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</si>
  <si>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</si>
  <si>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</si>
  <si>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</si>
  <si>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</si>
  <si>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</si>
  <si>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</si>
  <si>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</si>
  <si>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</si>
  <si>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</si>
  <si>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</si>
  <si>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</si>
  <si>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</si>
  <si>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</si>
  <si>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</si>
  <si>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</si>
  <si>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</si>
  <si>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</si>
  <si>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</si>
  <si>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</si>
  <si>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</si>
  <si>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</si>
  <si>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</si>
  <si>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</si>
  <si>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</si>
  <si>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</si>
  <si>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</si>
  <si>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</si>
  <si>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</si>
  <si>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</si>
  <si>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</si>
  <si>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</si>
  <si>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</si>
  <si>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</si>
  <si>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</si>
  <si>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</si>
  <si>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</si>
  <si>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</si>
  <si>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</si>
  <si>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</si>
  <si>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</si>
  <si>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</si>
  <si>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</si>
  <si>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</si>
  <si>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</si>
  <si>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</si>
  <si>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</si>
  <si>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</si>
  <si>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</si>
  <si>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</si>
  <si>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</si>
  <si>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</si>
  <si>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</si>
  <si>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</si>
  <si>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</si>
  <si>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</si>
  <si>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</si>
  <si>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</si>
  <si>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</si>
  <si>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</si>
  <si>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</si>
  <si>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</si>
  <si>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</si>
  <si>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</si>
  <si>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</si>
  <si>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</si>
  <si>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</si>
  <si>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</si>
  <si>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</si>
  <si>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</si>
  <si>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</si>
  <si>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</si>
  <si>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</si>
  <si>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</si>
  <si>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</si>
  <si>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</si>
  <si>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</si>
  <si>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</si>
  <si>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</si>
  <si>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</si>
  <si>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</si>
  <si>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</si>
  <si>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</si>
  <si>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</si>
  <si>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</si>
  <si>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</si>
  <si>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</si>
  <si>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</si>
  <si>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</si>
  <si>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</si>
  <si>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</si>
  <si>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</si>
  <si>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</si>
  <si>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</si>
  <si>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</si>
  <si>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</si>
  <si>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</si>
  <si>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</si>
  <si>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</si>
  <si>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</si>
  <si>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</si>
  <si>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</si>
  <si>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</si>
  <si>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</si>
  <si>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</si>
  <si>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</si>
  <si>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</si>
  <si>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</si>
  <si>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</si>
  <si>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</si>
  <si>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</si>
  <si>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</si>
  <si>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</si>
  <si>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</si>
  <si>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</si>
  <si>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</si>
  <si>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</si>
  <si>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</si>
  <si>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</si>
  <si>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</si>
  <si>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</si>
  <si>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</si>
  <si>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</si>
  <si>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</si>
  <si>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</si>
  <si>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</si>
  <si>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</si>
  <si>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</si>
  <si>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</si>
  <si>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</si>
  <si>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</si>
  <si>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</si>
  <si>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</si>
  <si>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</si>
  <si>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</si>
  <si>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</si>
  <si>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</si>
  <si>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</si>
  <si>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</si>
  <si>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</si>
  <si>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</si>
  <si>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</si>
  <si>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</si>
  <si>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</si>
  <si>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</si>
  <si>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</si>
  <si>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</si>
  <si>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</si>
  <si>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</si>
  <si>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</si>
  <si>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</si>
  <si>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</si>
  <si>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</si>
  <si>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</si>
  <si>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</si>
  <si>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</si>
  <si>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</si>
  <si>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</si>
  <si>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</si>
  <si>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</si>
  <si>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</si>
  <si>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</si>
  <si>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</si>
  <si>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</si>
  <si>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</si>
  <si>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</si>
  <si>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</si>
  <si>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</si>
  <si>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</si>
  <si>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</si>
  <si>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</si>
  <si>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</si>
  <si>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</si>
  <si>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</si>
  <si>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</si>
  <si>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</si>
  <si>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</si>
  <si>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</si>
  <si>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</si>
  <si>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</si>
  <si>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</si>
  <si>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</si>
  <si>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</si>
  <si>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</si>
  <si>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</si>
  <si>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</si>
  <si>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</si>
  <si>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</si>
  <si>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</si>
  <si>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</si>
  <si>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</si>
  <si>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</si>
  <si>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</si>
  <si>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</si>
  <si>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</si>
  <si>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</si>
  <si>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</si>
  <si>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</si>
  <si>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</si>
  <si>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</si>
  <si>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</si>
  <si>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</si>
  <si>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</si>
  <si>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</si>
  <si>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</si>
  <si>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</si>
  <si>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</si>
  <si>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</si>
  <si>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</si>
  <si>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</si>
  <si>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</si>
  <si>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</si>
  <si>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</si>
  <si>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</si>
  <si>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</si>
  <si>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</si>
  <si>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</si>
  <si>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</si>
  <si>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</si>
  <si>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</si>
  <si>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</si>
  <si>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</si>
  <si>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</si>
  <si>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</si>
  <si>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</si>
  <si>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</si>
  <si>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</si>
  <si>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</si>
  <si>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</si>
  <si>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</si>
  <si>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</si>
  <si>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</si>
  <si>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</si>
  <si>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</si>
  <si>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</si>
  <si>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</si>
  <si>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</si>
  <si>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</si>
  <si>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</si>
  <si>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</si>
  <si>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</si>
  <si>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</si>
  <si>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</si>
  <si>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</si>
  <si>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</si>
  <si>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</si>
  <si>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</si>
  <si>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</si>
  <si>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</si>
  <si>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</si>
  <si>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</si>
  <si>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</si>
  <si>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</si>
  <si>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</si>
  <si>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</si>
  <si>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</si>
  <si>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</si>
  <si>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</si>
  <si>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</si>
  <si>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</si>
  <si>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</si>
  <si>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</si>
  <si>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</si>
  <si>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</si>
  <si>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</si>
  <si>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</si>
  <si>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</si>
  <si>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</si>
  <si>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</si>
  <si>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</si>
  <si>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</si>
  <si>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</si>
  <si>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</si>
  <si>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</si>
  <si>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</si>
  <si>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</si>
  <si>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</si>
  <si>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</si>
  <si>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</si>
  <si>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</si>
  <si>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</si>
  <si>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</si>
  <si>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</si>
  <si>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</si>
  <si>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</si>
  <si>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</si>
  <si>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</si>
  <si>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</si>
  <si>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</si>
  <si>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</si>
  <si>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</si>
  <si>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</si>
  <si>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</si>
  <si>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</si>
  <si>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</si>
  <si>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</si>
  <si>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</si>
  <si>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</si>
  <si>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</si>
  <si>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</si>
  <si>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</si>
  <si>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</si>
  <si>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</si>
  <si>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</si>
  <si>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</si>
  <si>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</si>
  <si>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</si>
  <si>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</si>
  <si>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</si>
  <si>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</si>
  <si>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</si>
  <si>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</si>
  <si>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</si>
  <si>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</si>
  <si>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</si>
  <si>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</si>
  <si>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</si>
  <si>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</si>
  <si>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</si>
  <si>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</si>
  <si>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</si>
  <si>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</si>
  <si>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</si>
  <si>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</si>
  <si>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</si>
  <si>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</si>
  <si>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</si>
  <si>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</si>
  <si>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</si>
  <si>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</si>
  <si>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</si>
  <si>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</si>
  <si>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</si>
  <si>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</si>
  <si>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</si>
  <si>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</si>
  <si>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</si>
  <si>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</si>
  <si>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</si>
  <si>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</si>
  <si>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</si>
  <si>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</si>
  <si>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</si>
  <si>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</si>
  <si>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</si>
  <si>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</si>
  <si>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</si>
  <si>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</si>
  <si>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</si>
  <si>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</si>
  <si>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</si>
  <si>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</si>
  <si>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</si>
  <si>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</si>
  <si>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</si>
  <si>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</si>
  <si>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</si>
  <si>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</si>
  <si>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</si>
  <si>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</si>
  <si>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</si>
  <si>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</si>
  <si>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</si>
  <si>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</si>
  <si>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</si>
  <si>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</si>
  <si>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</si>
  <si>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</si>
  <si>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</si>
  <si>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</si>
  <si>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</si>
  <si>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</si>
  <si>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</si>
  <si>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</si>
  <si>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</si>
  <si>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</si>
  <si>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</si>
  <si>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</si>
  <si>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</si>
  <si>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</si>
  <si>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</si>
  <si>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</si>
  <si>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</si>
  <si>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</si>
  <si>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</si>
  <si>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</si>
  <si>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</si>
  <si>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</si>
  <si>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</si>
  <si>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</si>
  <si>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</si>
  <si>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</si>
  <si>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</si>
  <si>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</si>
  <si>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</si>
  <si>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</si>
  <si>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</si>
  <si>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</si>
  <si>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</si>
  <si>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</si>
  <si>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</si>
  <si>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</si>
  <si>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</si>
  <si>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</si>
  <si>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</si>
  <si>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</si>
  <si>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</si>
  <si>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</si>
  <si>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</si>
  <si>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</si>
  <si>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</si>
  <si>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</si>
  <si>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</si>
  <si>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</si>
  <si>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</si>
  <si>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</si>
  <si>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</si>
  <si>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</si>
  <si>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</si>
  <si>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</si>
  <si>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</si>
  <si>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</si>
  <si>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</si>
  <si>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</si>
  <si>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</si>
  <si>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</si>
  <si>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</si>
  <si>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</si>
  <si>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</si>
  <si>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</si>
  <si>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</si>
  <si>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</si>
  <si>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</si>
  <si>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</si>
  <si>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</si>
  <si>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</si>
  <si>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</si>
  <si>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</si>
  <si>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</si>
  <si>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</si>
  <si>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</si>
  <si>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</si>
  <si>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</si>
  <si>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</si>
  <si>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</si>
  <si>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</si>
  <si>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</si>
  <si>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</si>
  <si>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</si>
  <si>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</si>
  <si>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</si>
  <si>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</si>
  <si>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</si>
  <si>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</si>
  <si>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</si>
  <si>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</si>
  <si>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</si>
  <si>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</si>
  <si>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</si>
  <si>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</si>
  <si>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</si>
  <si>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</si>
  <si>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</si>
  <si>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</si>
  <si>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</si>
  <si>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</si>
  <si>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</si>
  <si>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</si>
  <si>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</si>
  <si>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</si>
  <si>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</si>
  <si>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</si>
  <si>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</si>
  <si>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</si>
  <si>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</si>
  <si>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</si>
  <si>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</si>
  <si>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</si>
  <si>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</si>
  <si>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</si>
  <si>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</si>
  <si>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</si>
  <si>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</si>
  <si>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</si>
  <si>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</si>
  <si>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</si>
  <si>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</si>
  <si>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</si>
  <si>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</si>
  <si>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</si>
  <si>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</si>
  <si>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</si>
  <si>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</si>
  <si>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</si>
  <si>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</si>
  <si>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</si>
  <si>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</si>
  <si>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</si>
  <si>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</si>
  <si>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</si>
  <si>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</si>
  <si>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</si>
  <si>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</si>
  <si>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</si>
  <si>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</si>
  <si>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</si>
  <si>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</si>
  <si>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</si>
  <si>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</si>
  <si>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</si>
  <si>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</si>
  <si>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</si>
  <si>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</si>
  <si>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</si>
  <si>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</si>
  <si>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</si>
  <si>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</si>
  <si>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</si>
  <si>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</si>
  <si>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</si>
  <si>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</si>
  <si>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</si>
  <si>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</si>
  <si>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</si>
  <si>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</si>
  <si>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</si>
  <si>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</si>
  <si>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</si>
  <si>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</si>
  <si>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</si>
  <si>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</si>
  <si>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</si>
  <si>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</si>
  <si>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</si>
  <si>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</si>
  <si>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</si>
  <si>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</si>
  <si>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</si>
  <si>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</si>
  <si>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</si>
  <si>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</si>
  <si>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</si>
  <si>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</si>
  <si>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</si>
  <si>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</si>
  <si>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</si>
  <si>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</si>
  <si>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</si>
  <si>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</si>
  <si>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</si>
  <si>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</si>
  <si>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</si>
  <si>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</si>
  <si>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</si>
  <si>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</si>
  <si>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</si>
  <si>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</si>
  <si>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</si>
  <si>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</si>
  <si>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</si>
  <si>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</si>
  <si>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</si>
  <si>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</si>
  <si>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</si>
  <si>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</si>
  <si>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</si>
  <si>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</si>
  <si>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</si>
  <si>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</si>
  <si>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</si>
  <si>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</si>
  <si>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</si>
  <si>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</si>
  <si>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</si>
  <si>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</si>
  <si>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</si>
  <si>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</si>
  <si>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</si>
  <si>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</si>
  <si>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</si>
  <si>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</si>
  <si>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</si>
  <si>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</si>
  <si>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</si>
  <si>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</si>
  <si>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</si>
  <si>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</si>
  <si>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</si>
  <si>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</si>
  <si>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</si>
  <si>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</si>
  <si>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</si>
  <si>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</si>
  <si>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</si>
  <si>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</si>
  <si>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</si>
  <si>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</si>
  <si>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</si>
  <si>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</si>
  <si>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</si>
  <si>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</si>
  <si>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</si>
  <si>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</si>
  <si>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</si>
  <si>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</si>
  <si>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</si>
  <si>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</si>
  <si>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</si>
  <si>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</si>
  <si>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</si>
  <si>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</si>
  <si>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</si>
  <si>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</si>
  <si>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</si>
  <si>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</si>
  <si>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</si>
  <si>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</si>
  <si>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</si>
  <si>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</si>
  <si>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</si>
  <si>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</si>
  <si>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</si>
  <si>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</si>
  <si>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</si>
  <si>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</si>
  <si>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</si>
  <si>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</si>
  <si>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</si>
  <si>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</si>
  <si>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</si>
  <si>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</si>
  <si>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</si>
  <si>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</si>
  <si>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</si>
  <si>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</si>
  <si>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</si>
  <si>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</si>
  <si>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</si>
  <si>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</si>
  <si>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</si>
  <si>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</si>
  <si>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</si>
  <si>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</si>
  <si>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</si>
  <si>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</si>
  <si>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</si>
  <si>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</si>
  <si>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</si>
  <si>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</si>
  <si>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</si>
  <si>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</si>
  <si>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</si>
  <si>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</si>
  <si>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</si>
  <si>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</si>
  <si>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</si>
  <si>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</si>
  <si>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</si>
  <si>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</si>
  <si>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</si>
  <si>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</si>
  <si>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</si>
  <si>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</si>
  <si>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</si>
  <si>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</si>
  <si>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</si>
  <si>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</si>
  <si>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</si>
  <si>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</si>
  <si>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</si>
  <si>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</si>
  <si>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</si>
  <si>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</si>
  <si>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</si>
  <si>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</si>
  <si>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</si>
  <si>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</si>
  <si>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</si>
  <si>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</si>
  <si>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</si>
  <si>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</si>
  <si>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</si>
  <si>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</si>
  <si>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</si>
  <si>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</si>
  <si>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</si>
  <si>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</si>
  <si>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</si>
  <si>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</si>
  <si>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</si>
  <si>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</si>
  <si>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</si>
  <si>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</si>
  <si>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</si>
  <si>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</si>
  <si>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</si>
  <si>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</si>
  <si>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</si>
  <si>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</si>
  <si>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</si>
  <si>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</si>
  <si>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</si>
  <si>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</si>
  <si>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</si>
  <si>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</si>
  <si>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</si>
  <si>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</si>
  <si>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</si>
  <si>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</si>
  <si>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</si>
  <si>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</si>
  <si>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</si>
  <si>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</si>
  <si>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</si>
  <si>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</si>
  <si>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</si>
  <si>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</si>
  <si>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</si>
  <si>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</si>
  <si>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</si>
  <si>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</si>
  <si>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</si>
  <si>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</si>
  <si>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</si>
  <si>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</si>
  <si>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</si>
  <si>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</si>
  <si>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</si>
  <si>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</si>
  <si>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</si>
  <si>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</si>
  <si>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</si>
  <si>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</si>
  <si>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</si>
  <si>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</si>
  <si>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</si>
  <si>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</si>
  <si>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</si>
  <si>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</si>
  <si>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</si>
  <si>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</si>
  <si>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</si>
  <si>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</si>
  <si>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</si>
  <si>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</si>
  <si>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</si>
  <si>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</si>
  <si>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</si>
  <si>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</si>
  <si>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</si>
  <si>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</si>
  <si>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</si>
  <si>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</si>
  <si>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</si>
  <si>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</si>
  <si>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</si>
  <si>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</si>
  <si>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</si>
  <si>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</si>
  <si>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</si>
  <si>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</si>
  <si>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</si>
  <si>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</si>
  <si>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</si>
  <si>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</si>
  <si>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</si>
  <si>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</si>
  <si>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</si>
  <si>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</si>
  <si>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</si>
  <si>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</si>
  <si>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</si>
  <si>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</si>
  <si>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</si>
  <si>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</si>
  <si>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</si>
  <si>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</si>
  <si>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</si>
  <si>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</si>
  <si>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</si>
  <si>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</si>
  <si>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</si>
  <si>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</si>
  <si>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</si>
  <si>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</si>
  <si>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</si>
  <si>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</si>
  <si>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</si>
  <si>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</si>
  <si>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</si>
  <si>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</si>
  <si>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</si>
  <si>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</si>
  <si>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</si>
  <si>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</si>
  <si>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</si>
  <si>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</si>
  <si>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</si>
  <si>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</si>
  <si>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</si>
  <si>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</si>
  <si>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</si>
  <si>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</si>
  <si>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</si>
  <si>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</si>
  <si>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</si>
  <si>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</si>
  <si>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</si>
  <si>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</si>
  <si>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</si>
  <si>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</si>
  <si>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</si>
  <si>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</si>
  <si>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</si>
  <si>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</si>
  <si>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</si>
  <si>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</si>
  <si>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</si>
  <si>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</si>
  <si>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</si>
  <si>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</si>
  <si>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</si>
  <si>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</si>
  <si>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</si>
  <si>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</si>
  <si>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</si>
  <si>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</si>
  <si>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</si>
  <si>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</si>
  <si>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</si>
  <si>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</si>
  <si>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</si>
  <si>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</si>
  <si>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</si>
  <si>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</si>
  <si>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</si>
  <si>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</si>
  <si>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</si>
  <si>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</si>
  <si>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</si>
  <si>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</si>
  <si>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</si>
  <si>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</si>
  <si>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</si>
  <si>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</si>
  <si>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</si>
  <si>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</si>
  <si>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</si>
  <si>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</si>
  <si>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</si>
  <si>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</si>
  <si>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</si>
  <si>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</si>
  <si>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</si>
  <si>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</si>
  <si>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</si>
  <si>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</si>
  <si>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</si>
  <si>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</si>
  <si>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</si>
  <si>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</si>
  <si>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</si>
  <si>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</si>
  <si>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</si>
  <si>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</si>
  <si>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</si>
  <si>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</si>
  <si>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</si>
  <si>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</si>
  <si>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</si>
  <si>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</si>
  <si>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</si>
  <si>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</si>
  <si>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</si>
  <si>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</si>
  <si>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</si>
  <si>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</si>
  <si>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</si>
  <si>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</si>
  <si>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</si>
  <si>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</si>
  <si>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</si>
  <si>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</si>
  <si>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</si>
  <si>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</si>
  <si>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</si>
  <si>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</si>
  <si>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</si>
  <si>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</si>
  <si>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</si>
  <si>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</si>
  <si>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</si>
  <si>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</si>
  <si>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</si>
  <si>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</si>
  <si>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</si>
  <si>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</si>
  <si>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</si>
  <si>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</si>
  <si>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</si>
  <si>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</si>
  <si>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</si>
  <si>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</si>
  <si>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</si>
  <si>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</si>
  <si>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</si>
  <si>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</si>
  <si>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</si>
  <si>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</si>
  <si>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</si>
  <si>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</si>
  <si>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</si>
  <si>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</si>
  <si>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</si>
  <si>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</si>
  <si>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</si>
  <si>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</si>
  <si>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</si>
  <si>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</si>
  <si>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</si>
  <si>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</si>
  <si>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</si>
  <si>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</si>
  <si>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</si>
  <si>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</si>
  <si>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</si>
  <si>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</si>
  <si>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</si>
  <si>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</si>
  <si>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</si>
  <si>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</si>
  <si>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</si>
  <si>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</si>
  <si>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</si>
  <si>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</si>
  <si>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</si>
  <si>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</si>
  <si>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</si>
  <si>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</si>
  <si>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</si>
  <si>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</si>
  <si>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</si>
  <si>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</si>
  <si>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</si>
  <si>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</si>
  <si>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</si>
  <si>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</si>
  <si>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</si>
  <si>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</si>
  <si>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</si>
  <si>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</si>
  <si>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</si>
  <si>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</si>
  <si>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</si>
  <si>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</si>
  <si>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</si>
  <si>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</si>
  <si>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</si>
  <si>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</si>
  <si>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</si>
  <si>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</si>
  <si>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</si>
  <si>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</si>
  <si>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</si>
  <si>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</si>
  <si>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</si>
  <si>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</si>
  <si>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</si>
  <si>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</si>
  <si>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</si>
  <si>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</si>
  <si>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</si>
  <si>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</si>
  <si>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</si>
  <si>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</si>
  <si>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</si>
  <si>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</si>
  <si>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</si>
  <si>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</si>
  <si>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</si>
  <si>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</si>
  <si>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</si>
  <si>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</si>
  <si>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</si>
  <si>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</si>
  <si>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</si>
  <si>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</si>
  <si>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</si>
  <si>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</si>
  <si>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</si>
  <si>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</si>
  <si>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</si>
  <si>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</si>
  <si>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</si>
  <si>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</si>
  <si>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</si>
  <si>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</si>
  <si>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</si>
  <si>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</si>
  <si>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</si>
  <si>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</si>
  <si>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</si>
  <si>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</si>
  <si>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</si>
  <si>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</si>
  <si>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</si>
  <si>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</si>
  <si>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</si>
  <si>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</si>
  <si>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</si>
  <si>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</si>
  <si>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</si>
  <si>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</si>
  <si>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</si>
  <si>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</si>
  <si>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</si>
  <si>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</si>
  <si>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</si>
  <si>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</si>
  <si>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</si>
  <si>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</si>
  <si>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</si>
  <si>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</si>
  <si>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</si>
  <si>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</si>
  <si>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</si>
  <si>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</si>
  <si>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</si>
  <si>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</si>
  <si>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</si>
  <si>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</si>
  <si>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</si>
  <si>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</si>
  <si>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</si>
  <si>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</si>
  <si>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</si>
  <si>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</si>
  <si>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</si>
  <si>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</si>
  <si>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</si>
  <si>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</si>
  <si>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</si>
  <si>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</si>
  <si>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</si>
  <si>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</si>
  <si>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</si>
  <si>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</si>
  <si>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</si>
  <si>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</si>
  <si>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</si>
  <si>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</si>
  <si>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</si>
  <si>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</si>
  <si>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</si>
  <si>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</si>
  <si>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</si>
  <si>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</si>
  <si>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</si>
  <si>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</si>
  <si>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</si>
  <si>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</si>
  <si>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</si>
  <si>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</si>
  <si>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</si>
  <si>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</si>
  <si>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</si>
  <si>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</si>
  <si>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</si>
  <si>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</si>
  <si>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</si>
  <si>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</si>
  <si>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</si>
  <si>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</si>
  <si>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</si>
  <si>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</si>
  <si>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</si>
  <si>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</si>
  <si>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</si>
  <si>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</si>
  <si>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</si>
  <si>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</si>
  <si>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</si>
  <si>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</si>
  <si>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</si>
  <si>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</si>
  <si>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</si>
  <si>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</si>
  <si>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</si>
  <si>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</si>
  <si>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</si>
  <si>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</si>
  <si>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</si>
  <si>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</si>
  <si>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</si>
  <si>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</si>
  <si>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</si>
  <si>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</si>
  <si>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</si>
  <si>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</si>
  <si>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</si>
  <si>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</si>
  <si>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</si>
  <si>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</si>
  <si>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</si>
  <si>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</si>
  <si>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</si>
  <si>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</si>
  <si>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</si>
  <si>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</si>
  <si>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</si>
  <si>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</si>
  <si>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</si>
  <si>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</si>
  <si>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</si>
  <si>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</si>
  <si>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</si>
  <si>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</si>
  <si>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</si>
  <si>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</si>
  <si>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</si>
  <si>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</si>
  <si>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</si>
  <si>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</si>
  <si>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</si>
  <si>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</si>
  <si>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</si>
  <si>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</si>
  <si>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</si>
  <si>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</si>
  <si>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</si>
  <si>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</si>
  <si>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</si>
  <si>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</si>
  <si>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</si>
  <si>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</si>
  <si>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</si>
  <si>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</si>
  <si>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</si>
  <si>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</si>
  <si>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</si>
  <si>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</si>
  <si>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</si>
  <si>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</si>
  <si>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</si>
  <si>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</si>
  <si>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</si>
  <si>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</si>
  <si>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</si>
  <si>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</si>
  <si>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</si>
  <si>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</si>
  <si>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</si>
  <si>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</si>
  <si>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</si>
  <si>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</si>
  <si>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</si>
  <si>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</si>
  <si>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</si>
  <si>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</si>
  <si>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</si>
  <si>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</si>
  <si>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</si>
  <si>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</si>
  <si>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</si>
  <si>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</si>
  <si>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</si>
  <si>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</si>
  <si>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</si>
  <si>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</si>
  <si>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</si>
  <si>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</si>
  <si>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</si>
  <si>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</si>
  <si>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</si>
  <si>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</si>
  <si>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</si>
  <si>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</si>
  <si>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</si>
  <si>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</si>
  <si>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</si>
  <si>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</si>
  <si>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</si>
  <si>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</si>
  <si>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</si>
  <si>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</si>
  <si>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</si>
  <si>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</si>
  <si>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</si>
  <si>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</si>
  <si>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</si>
  <si>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</si>
  <si>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</si>
  <si>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</si>
  <si>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</si>
  <si>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</si>
  <si>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</si>
  <si>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</si>
  <si>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</si>
  <si>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</si>
  <si>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</si>
  <si>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</si>
  <si>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</si>
  <si>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</si>
  <si>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</si>
  <si>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</si>
  <si>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</si>
  <si>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</si>
  <si>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</si>
  <si>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</si>
  <si>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</si>
  <si>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</si>
  <si>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</si>
  <si>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</si>
  <si>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</si>
  <si>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</si>
  <si>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</si>
  <si>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</si>
  <si>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</si>
  <si>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</si>
  <si>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</si>
  <si>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</si>
  <si>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</si>
  <si>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</si>
  <si>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</si>
  <si>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</si>
  <si>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</si>
  <si>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</si>
  <si>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</si>
  <si>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</si>
  <si>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</si>
  <si>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</si>
  <si>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</si>
  <si>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</si>
  <si>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</si>
  <si>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</si>
  <si>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</si>
  <si>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</si>
  <si>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</si>
  <si>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</si>
  <si>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</si>
  <si>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</si>
  <si>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</si>
  <si>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</si>
  <si>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</si>
  <si>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</si>
  <si>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</si>
  <si>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</si>
  <si>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</si>
  <si>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</si>
  <si>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</si>
  <si>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</si>
  <si>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</si>
  <si>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</si>
  <si>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</si>
  <si>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</si>
  <si>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</si>
  <si>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</si>
  <si>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</si>
  <si>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</si>
  <si>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</si>
  <si>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</si>
  <si>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</si>
  <si>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</si>
  <si>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</si>
  <si>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</si>
  <si>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</si>
  <si>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</si>
  <si>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</si>
  <si>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</si>
  <si>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</si>
  <si>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</si>
  <si>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</si>
  <si>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</si>
  <si>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</si>
  <si>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</si>
  <si>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</si>
  <si>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</si>
  <si>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</si>
  <si>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</si>
  <si>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</si>
  <si>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</si>
  <si>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</si>
  <si>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</si>
  <si>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</si>
  <si>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</si>
  <si>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</si>
  <si>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</si>
  <si>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</si>
  <si>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</si>
  <si>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</si>
  <si>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</si>
  <si>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</si>
  <si>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</si>
  <si>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</si>
  <si>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</si>
  <si>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</si>
  <si>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</si>
  <si>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</si>
  <si>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</si>
  <si>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</si>
  <si>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</si>
  <si>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</si>
  <si>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</si>
  <si>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</si>
  <si>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</si>
  <si>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</si>
  <si>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</si>
  <si>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</si>
  <si>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</si>
  <si>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</si>
  <si>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</si>
  <si>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</si>
  <si>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</si>
  <si>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</si>
  <si>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</si>
  <si>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</si>
  <si>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</si>
  <si>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</si>
  <si>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</si>
  <si>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</si>
  <si>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</si>
  <si>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</si>
  <si>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</si>
  <si>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</si>
  <si>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</si>
  <si>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</si>
  <si>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</si>
  <si>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</si>
  <si>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</si>
  <si>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</si>
  <si>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</si>
  <si>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</si>
  <si>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</si>
  <si>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</si>
  <si>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</si>
  <si>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</si>
  <si>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</si>
  <si>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</si>
  <si>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</si>
  <si>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</si>
  <si>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</si>
  <si>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</si>
  <si>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</si>
  <si>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</si>
  <si>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</si>
  <si>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</si>
  <si>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</si>
  <si>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</si>
  <si>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</si>
  <si>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</si>
  <si>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</si>
  <si>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</si>
  <si>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</si>
  <si>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</si>
  <si>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</si>
  <si>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</si>
  <si>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</si>
  <si>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</si>
  <si>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</si>
  <si>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</si>
  <si>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</si>
  <si>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</si>
  <si>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</si>
  <si>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</si>
  <si>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</si>
  <si>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</si>
  <si>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</si>
  <si>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</si>
  <si>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</si>
  <si>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</si>
  <si>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</si>
  <si>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</si>
  <si>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</si>
  <si>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</si>
  <si>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</si>
  <si>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</si>
  <si>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</si>
  <si>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</si>
  <si>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</si>
  <si>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</si>
  <si>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</si>
  <si>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</si>
  <si>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</si>
  <si>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</si>
  <si>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</si>
  <si>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</si>
  <si>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</si>
  <si>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</si>
  <si>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</si>
  <si>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</si>
  <si>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</si>
  <si>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</si>
  <si>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</si>
  <si>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</si>
  <si>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</si>
  <si>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</si>
  <si>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</si>
  <si>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</si>
  <si>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</si>
  <si>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</si>
  <si>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</si>
  <si>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</si>
  <si>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</si>
  <si>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</si>
  <si>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</si>
  <si>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</si>
  <si>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</si>
  <si>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</si>
  <si>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</si>
  <si>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</si>
  <si>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</si>
  <si>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</si>
  <si>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</si>
  <si>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</si>
  <si>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</si>
  <si>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</si>
  <si>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</si>
  <si>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</si>
  <si>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</si>
  <si>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</si>
  <si>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</si>
  <si>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</si>
  <si>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</si>
  <si>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</si>
  <si>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</si>
  <si>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</si>
  <si>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</si>
  <si>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</si>
  <si>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</si>
  <si>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</si>
  <si>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</si>
  <si>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</si>
  <si>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</si>
  <si>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</si>
  <si>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</si>
  <si>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</si>
  <si>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</si>
  <si>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</si>
  <si>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</si>
  <si>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</si>
  <si>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</si>
  <si>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</si>
  <si>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</si>
  <si>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</si>
  <si>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</si>
  <si>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</si>
  <si>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</si>
  <si>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</si>
  <si>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</si>
  <si>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</si>
  <si>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</si>
  <si>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</si>
  <si>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</si>
  <si>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</si>
  <si>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</si>
  <si>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</si>
  <si>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</si>
  <si>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</si>
  <si>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</si>
  <si>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</si>
  <si>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</si>
  <si>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</si>
  <si>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</si>
  <si>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</si>
  <si>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</si>
  <si>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</si>
  <si>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</si>
  <si>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</si>
  <si>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</si>
  <si>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</si>
  <si>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</si>
  <si>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</si>
  <si>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</si>
  <si>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</si>
  <si>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</si>
  <si>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</si>
  <si>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</si>
  <si>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</si>
  <si>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</si>
  <si>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</si>
  <si>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</si>
  <si>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</si>
  <si>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</si>
  <si>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</si>
  <si>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</si>
  <si>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</si>
  <si>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</si>
  <si>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</si>
  <si>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</si>
  <si>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</si>
  <si>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</si>
  <si>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</si>
  <si>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</si>
  <si>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</si>
  <si>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</si>
  <si>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</si>
  <si>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</si>
  <si>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</si>
  <si>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</si>
  <si>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</si>
  <si>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</si>
  <si>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</si>
  <si>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</si>
  <si>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</si>
  <si>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</si>
  <si>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</si>
  <si>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</si>
  <si>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</si>
  <si>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</si>
  <si>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</si>
  <si>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</si>
  <si>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</si>
  <si>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</si>
  <si>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</si>
  <si>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</si>
  <si>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</si>
  <si>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</si>
  <si>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</si>
  <si>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</si>
  <si>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</si>
  <si>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</si>
  <si>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</si>
  <si>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</si>
  <si>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</si>
  <si>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</si>
  <si>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</si>
  <si>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</si>
  <si>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</si>
  <si>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</si>
  <si>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</si>
  <si>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</si>
  <si>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</si>
  <si>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</si>
  <si>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</si>
  <si>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</si>
  <si>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</si>
  <si>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</si>
  <si>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</si>
  <si>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</si>
  <si>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</si>
  <si>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</si>
  <si>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</si>
  <si>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</si>
  <si>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</si>
  <si>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</si>
  <si>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</si>
  <si>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</si>
  <si>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</si>
  <si>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</si>
  <si>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</si>
  <si>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</si>
  <si>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</si>
  <si>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</si>
  <si>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</si>
  <si>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</si>
  <si>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</si>
  <si>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</si>
  <si>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</si>
  <si>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</si>
  <si>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</si>
  <si>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</si>
  <si>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</si>
  <si>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</si>
  <si>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</si>
  <si>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</si>
  <si>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</si>
  <si>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</si>
  <si>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</si>
  <si>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</si>
  <si>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</si>
  <si>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</si>
  <si>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</si>
  <si>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</si>
  <si>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</si>
  <si>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</si>
  <si>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</si>
  <si>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</si>
  <si>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</si>
  <si>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</si>
  <si>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</si>
  <si>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</si>
  <si>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</si>
  <si>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</si>
  <si>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</si>
  <si>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</si>
  <si>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</si>
  <si>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</si>
  <si>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</si>
  <si>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</si>
  <si>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</si>
  <si>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</si>
  <si>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</si>
  <si>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</si>
  <si>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</si>
  <si>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</si>
  <si>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</si>
  <si>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</si>
  <si>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</si>
  <si>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</si>
  <si>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</si>
  <si>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</si>
  <si>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</si>
  <si>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</si>
  <si>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</si>
  <si>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</si>
  <si>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</si>
  <si>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</si>
  <si>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</si>
  <si>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</si>
  <si>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</si>
  <si>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</si>
  <si>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</si>
  <si>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</si>
  <si>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</si>
  <si>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</si>
  <si>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</si>
  <si>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</si>
  <si>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</si>
  <si>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</si>
  <si>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</si>
  <si>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</si>
  <si>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</si>
  <si>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</si>
  <si>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</si>
  <si>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</si>
  <si>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</si>
  <si>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</si>
  <si>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</si>
  <si>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</si>
  <si>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</si>
  <si>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</si>
  <si>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</si>
  <si>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</si>
  <si>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</si>
  <si>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</si>
  <si>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</si>
  <si>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</si>
  <si>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</si>
  <si>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</si>
  <si>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</si>
  <si>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</si>
  <si>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</si>
  <si>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</si>
  <si>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</si>
  <si>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</si>
  <si>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</si>
  <si>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</si>
  <si>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</si>
  <si>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</si>
  <si>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</si>
  <si>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</si>
  <si>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</si>
  <si>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</si>
  <si>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</si>
  <si>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</si>
  <si>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</si>
  <si>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</si>
  <si>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</si>
  <si>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</si>
  <si>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</si>
  <si>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</si>
  <si>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</si>
  <si>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</si>
  <si>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</si>
  <si>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</si>
  <si>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</si>
  <si>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</si>
  <si>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</si>
  <si>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</si>
  <si>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</si>
  <si>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</si>
  <si>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</si>
  <si>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</si>
  <si>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</si>
  <si>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</si>
  <si>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</si>
  <si>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</si>
  <si>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</si>
  <si>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</si>
  <si>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</si>
  <si>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</si>
  <si>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</si>
  <si>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</si>
  <si>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</si>
  <si>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</si>
  <si>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</si>
  <si>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</si>
  <si>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</si>
  <si>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</si>
  <si>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</si>
  <si>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</si>
  <si>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</si>
  <si>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</si>
  <si>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</si>
  <si>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</si>
  <si>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</si>
  <si>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</si>
  <si>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</si>
  <si>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</si>
  <si>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</si>
  <si>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</si>
  <si>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</si>
  <si>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</si>
  <si>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</si>
  <si>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</si>
  <si>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</si>
  <si>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</si>
  <si>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</si>
  <si>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</si>
  <si>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</si>
  <si>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</si>
  <si>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</si>
  <si>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</si>
  <si>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</si>
  <si>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</si>
  <si>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</si>
  <si>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</si>
  <si>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</si>
  <si>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</si>
  <si>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</si>
  <si>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</si>
  <si>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</si>
  <si>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</si>
  <si>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</si>
  <si>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</si>
  <si>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</si>
  <si>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</si>
  <si>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</si>
  <si>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</si>
  <si>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</si>
  <si>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</si>
  <si>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</si>
  <si>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</si>
  <si>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</si>
  <si>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</si>
  <si>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</si>
  <si>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</si>
  <si>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</si>
  <si>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</si>
  <si>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</si>
  <si>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</si>
  <si>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</si>
  <si>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</si>
  <si>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</si>
  <si>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</si>
  <si>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</si>
  <si>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</si>
  <si>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</si>
  <si>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</si>
  <si>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</si>
  <si>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</si>
  <si>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</si>
  <si>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</si>
  <si>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</si>
  <si>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</si>
  <si>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</si>
  <si>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</si>
  <si>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</si>
  <si>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</si>
  <si>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</si>
  <si>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</si>
  <si>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</si>
  <si>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</si>
  <si>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</si>
  <si>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</si>
  <si>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</si>
  <si>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</si>
  <si>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</si>
  <si>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</si>
  <si>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</si>
  <si>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</si>
  <si>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</si>
  <si>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</si>
  <si>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</si>
  <si>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</si>
  <si>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</si>
  <si>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</si>
  <si>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</si>
  <si>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</si>
  <si>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</si>
  <si>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</si>
  <si>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</si>
  <si>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</si>
  <si>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</si>
  <si>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</si>
  <si>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</si>
  <si>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</si>
  <si>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</si>
  <si>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</si>
  <si>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</si>
  <si>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</si>
  <si>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</si>
  <si>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</si>
  <si>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</si>
  <si>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</si>
  <si>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</si>
  <si>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</si>
  <si>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</si>
  <si>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</si>
  <si>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</si>
  <si>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</si>
  <si>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</si>
  <si>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</si>
  <si>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</si>
  <si>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</si>
  <si>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</si>
  <si>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</si>
  <si>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</si>
  <si>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</si>
  <si>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</si>
  <si>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</si>
  <si>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</si>
  <si>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</si>
  <si>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</si>
  <si>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</si>
  <si>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</si>
  <si>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</si>
  <si>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</si>
  <si>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</si>
  <si>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</si>
  <si>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</si>
  <si>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</si>
  <si>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</si>
  <si>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</si>
  <si>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</si>
  <si>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</si>
  <si>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</si>
  <si>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</si>
  <si>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</si>
  <si>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</si>
  <si>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</si>
  <si>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</si>
  <si>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</si>
  <si>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</si>
  <si>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</si>
  <si>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</si>
  <si>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</si>
  <si>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</si>
  <si>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</si>
  <si>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</si>
  <si>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</si>
  <si>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</si>
  <si>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</si>
  <si>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</si>
  <si>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</si>
  <si>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</si>
  <si>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</si>
  <si>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</si>
  <si>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</si>
  <si>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</si>
  <si>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</si>
  <si>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</si>
  <si>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</si>
  <si>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</si>
  <si>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</si>
  <si>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</si>
  <si>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</si>
  <si>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</si>
  <si>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</si>
  <si>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</si>
  <si>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</si>
  <si>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</si>
  <si>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</si>
  <si>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</si>
  <si>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</si>
  <si>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</si>
  <si>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</si>
  <si>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</si>
  <si>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</si>
  <si>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</si>
  <si>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</si>
  <si>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</si>
  <si>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</si>
  <si>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</si>
  <si>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</si>
  <si>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</si>
  <si>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</si>
  <si>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</si>
  <si>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</si>
  <si>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</si>
  <si>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</si>
  <si>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</si>
  <si>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</si>
  <si>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</si>
  <si>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</si>
  <si>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</si>
  <si>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</si>
  <si>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</si>
  <si>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</si>
  <si>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</si>
  <si>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</si>
  <si>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</si>
  <si>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</si>
  <si>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</si>
  <si>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</si>
  <si>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</si>
  <si>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</si>
  <si>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</si>
  <si>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</si>
  <si>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</si>
  <si>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</si>
  <si>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</si>
  <si>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</si>
  <si>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</si>
  <si>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</si>
  <si>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</si>
  <si>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</si>
  <si>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</si>
  <si>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</si>
  <si>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</si>
  <si>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</si>
  <si>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</si>
  <si>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</si>
  <si>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</si>
  <si>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</si>
  <si>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</si>
  <si>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</si>
  <si>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</si>
  <si>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</si>
  <si>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</si>
  <si>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</si>
  <si>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</si>
  <si>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</si>
  <si>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</si>
  <si>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</si>
  <si>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</si>
  <si>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</si>
  <si>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</si>
  <si>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</si>
  <si>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</si>
  <si>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</si>
  <si>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</si>
  <si>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</si>
  <si>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</si>
  <si>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</si>
  <si>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</si>
  <si>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</si>
  <si>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</si>
  <si>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</si>
  <si>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</si>
  <si>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</si>
  <si>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</si>
  <si>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</si>
  <si>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</si>
  <si>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</si>
  <si>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</si>
  <si>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</si>
  <si>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</si>
  <si>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</si>
  <si>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</si>
  <si>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</si>
  <si>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</si>
  <si>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</si>
  <si>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</si>
  <si>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</si>
  <si>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</si>
  <si>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</si>
  <si>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</si>
  <si>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</si>
  <si>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</si>
  <si>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</si>
  <si>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</si>
  <si>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</si>
  <si>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</si>
  <si>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</si>
  <si>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</si>
  <si>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</si>
  <si>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</si>
  <si>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</si>
  <si>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</si>
  <si>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</si>
  <si>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</si>
  <si>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</si>
  <si>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</si>
  <si>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</si>
  <si>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</si>
  <si>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</si>
  <si>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</si>
  <si>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</si>
  <si>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</si>
  <si>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</si>
  <si>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</si>
  <si>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</si>
  <si>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</si>
  <si>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</si>
  <si>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</si>
  <si>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</si>
  <si>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</si>
  <si>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</si>
  <si>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</si>
  <si>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</si>
  <si>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</si>
  <si>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</si>
  <si>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</si>
  <si>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</si>
  <si>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</si>
  <si>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</si>
  <si>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</si>
  <si>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</si>
  <si>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</si>
  <si>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</si>
  <si>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</si>
  <si>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</si>
  <si>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</si>
  <si>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</si>
  <si>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</si>
  <si>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</si>
  <si>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</si>
  <si>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</si>
  <si>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</si>
  <si>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</si>
  <si>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</si>
  <si>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</si>
  <si>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</si>
  <si>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</si>
  <si>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</si>
  <si>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</si>
  <si>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</si>
  <si>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</si>
  <si>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</si>
  <si>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</si>
  <si>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</si>
  <si>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</si>
  <si>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</si>
  <si>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</si>
  <si>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</si>
  <si>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</si>
  <si>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</si>
  <si>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</si>
  <si>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</si>
  <si>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</si>
  <si>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</si>
  <si>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</si>
  <si>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</si>
  <si>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</si>
  <si>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</si>
  <si>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</si>
  <si>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</si>
  <si>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</si>
  <si>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</si>
  <si>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</si>
  <si>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</si>
  <si>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</si>
  <si>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</si>
  <si>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</si>
  <si>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</si>
  <si>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</si>
  <si>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</si>
  <si>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</si>
  <si>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</si>
  <si>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</si>
  <si>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</si>
  <si>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</si>
  <si>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</si>
  <si>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</si>
  <si>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</si>
  <si>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</si>
  <si>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</si>
  <si>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</si>
  <si>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</si>
  <si>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</si>
  <si>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</si>
  <si>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</si>
  <si>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</si>
  <si>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</si>
  <si>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</si>
  <si>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</si>
  <si>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</si>
  <si>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</si>
  <si>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</si>
  <si>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</si>
  <si>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</si>
  <si>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</si>
  <si>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</si>
  <si>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</si>
  <si>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</si>
  <si>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</si>
  <si>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</si>
  <si>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</si>
  <si>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</si>
  <si>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</si>
  <si>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</si>
  <si>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</si>
  <si>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</si>
  <si>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</si>
  <si>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</si>
  <si>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</si>
  <si>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</si>
  <si>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</si>
  <si>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</si>
  <si>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</si>
  <si>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</si>
  <si>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</si>
  <si>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</si>
  <si>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</si>
  <si>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</si>
  <si>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</si>
  <si>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</si>
  <si>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</si>
  <si>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</si>
  <si>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</si>
  <si>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</si>
  <si>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</si>
  <si>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</si>
  <si>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</si>
  <si>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</si>
  <si>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</si>
  <si>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</si>
  <si>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</si>
  <si>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</si>
  <si>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</si>
  <si>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</si>
  <si>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</si>
  <si>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</si>
  <si>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</si>
  <si>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</si>
  <si>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</si>
  <si>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</si>
  <si>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</si>
  <si>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</si>
  <si>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</si>
  <si>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</si>
  <si>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</si>
  <si>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</si>
  <si>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</si>
  <si>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</si>
  <si>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</si>
  <si>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</si>
  <si>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</si>
  <si>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</si>
  <si>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</si>
  <si>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</si>
  <si>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</si>
  <si>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</si>
  <si>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</si>
  <si>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</si>
  <si>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</si>
  <si>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</si>
  <si>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</si>
  <si>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</si>
  <si>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</si>
  <si>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</si>
  <si>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</si>
  <si>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</si>
  <si>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</si>
  <si>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</si>
  <si>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</si>
  <si>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</si>
  <si>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</si>
  <si>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</si>
  <si>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</si>
  <si>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</si>
  <si>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</si>
  <si>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</si>
  <si>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</si>
  <si>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</si>
  <si>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</si>
  <si>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</si>
  <si>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</si>
  <si>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</si>
  <si>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</si>
  <si>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</si>
  <si>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</si>
  <si>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</si>
  <si>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</si>
  <si>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</si>
  <si>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</si>
  <si>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</si>
  <si>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</si>
  <si>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</si>
  <si>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</si>
  <si>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</si>
  <si>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</si>
  <si>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</si>
  <si>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</si>
  <si>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</si>
  <si>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</si>
  <si>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</si>
  <si>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</si>
  <si>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</si>
  <si>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</si>
  <si>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</si>
  <si>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</si>
  <si>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</si>
  <si>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</si>
  <si>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</si>
  <si>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</si>
  <si>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</si>
  <si>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</si>
  <si>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</si>
  <si>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</si>
  <si>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</si>
  <si>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</si>
  <si>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</si>
  <si>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</si>
  <si>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</si>
  <si>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</si>
  <si>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</si>
  <si>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</si>
  <si>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</si>
  <si>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</si>
  <si>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</si>
  <si>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</si>
  <si>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</si>
  <si>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</si>
  <si>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</si>
  <si>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</si>
  <si>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</si>
  <si>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</si>
  <si>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</si>
  <si>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</si>
  <si>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</si>
  <si>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</si>
  <si>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</si>
  <si>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</si>
  <si>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</si>
  <si>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</si>
  <si>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</si>
  <si>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</si>
  <si>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</si>
  <si>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</si>
  <si>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</si>
  <si>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</si>
  <si>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</si>
  <si>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</si>
  <si>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</si>
  <si>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</si>
  <si>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</si>
  <si>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</si>
  <si>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</si>
  <si>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</si>
  <si>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</si>
  <si>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</si>
  <si>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</si>
  <si>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</si>
  <si>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</si>
  <si>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</si>
  <si>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</si>
  <si>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</si>
  <si>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</si>
  <si>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</si>
  <si>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</si>
  <si>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</si>
  <si>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</si>
  <si>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</si>
  <si>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</si>
  <si>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</si>
  <si>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</si>
  <si>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</si>
  <si>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</si>
  <si>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</si>
  <si>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</si>
  <si>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</si>
  <si>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</si>
  <si>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</si>
  <si>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</si>
  <si>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</si>
  <si>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</si>
  <si>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</si>
  <si>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</si>
  <si>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</si>
  <si>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</si>
  <si>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</si>
  <si>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</si>
  <si>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</si>
  <si>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</si>
  <si>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</si>
  <si>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</si>
  <si>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</si>
  <si>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</si>
  <si>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</si>
  <si>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</si>
  <si>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</si>
  <si>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</si>
  <si>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</si>
  <si>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</si>
  <si>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</si>
  <si>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</si>
  <si>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</si>
  <si>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</si>
  <si>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</si>
  <si>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</si>
  <si>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</si>
  <si>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</si>
  <si>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</si>
  <si>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</si>
  <si>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</si>
  <si>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</si>
  <si>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</si>
  <si>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</si>
  <si>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</si>
  <si>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</si>
  <si>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</si>
  <si>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</si>
  <si>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</si>
  <si>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</si>
  <si>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</si>
  <si>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</si>
  <si>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</si>
  <si>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</si>
  <si>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</si>
  <si>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</si>
  <si>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</si>
  <si>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</si>
  <si>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</si>
  <si>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</si>
  <si>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</si>
  <si>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</si>
  <si>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</si>
  <si>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</si>
  <si>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</si>
  <si>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</si>
  <si>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</si>
  <si>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</si>
  <si>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</si>
  <si>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</si>
  <si>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</si>
  <si>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</si>
  <si>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</si>
  <si>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</si>
  <si>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</si>
  <si>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</si>
  <si>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</si>
  <si>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</si>
  <si>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</si>
  <si>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</si>
  <si>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</si>
  <si>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</si>
  <si>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</si>
  <si>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</si>
  <si>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</si>
  <si>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</si>
  <si>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</si>
  <si>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</si>
  <si>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</si>
  <si>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</si>
  <si>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</si>
  <si>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</si>
  <si>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</si>
  <si>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</si>
  <si>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</si>
  <si>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</si>
  <si>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</si>
  <si>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</si>
  <si>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</si>
  <si>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</si>
  <si>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</si>
  <si>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</si>
  <si>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</si>
  <si>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</si>
  <si>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</si>
  <si>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</si>
  <si>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</si>
  <si>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</si>
  <si>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</si>
  <si>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</si>
  <si>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</si>
  <si>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</si>
  <si>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</si>
  <si>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</si>
  <si>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</si>
  <si>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</si>
  <si>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</si>
  <si>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</si>
  <si>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</si>
  <si>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</si>
  <si>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</si>
  <si>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</si>
  <si>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</si>
  <si>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</si>
  <si>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</si>
  <si>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</si>
  <si>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</si>
  <si>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</si>
  <si>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</si>
  <si>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</si>
  <si>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</si>
  <si>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</si>
  <si>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</si>
  <si>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</si>
  <si>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</si>
  <si>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</si>
  <si>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</si>
  <si>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</si>
  <si>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</si>
  <si>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</si>
  <si>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</si>
  <si>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</si>
  <si>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</si>
  <si>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</si>
  <si>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</si>
  <si>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</si>
  <si>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</si>
  <si>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</si>
  <si>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</si>
  <si>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</si>
  <si>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</si>
  <si>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</si>
  <si>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</si>
  <si>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</si>
  <si>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</si>
  <si>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</si>
  <si>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</si>
  <si>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</si>
  <si>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</si>
  <si>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</si>
  <si>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</si>
  <si>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</si>
  <si>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</si>
  <si>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</si>
  <si>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</si>
  <si>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</si>
  <si>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</si>
  <si>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</si>
  <si>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</si>
  <si>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</si>
  <si>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</si>
  <si>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</si>
  <si>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</si>
  <si>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</si>
  <si>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</si>
  <si>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</si>
  <si>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</si>
  <si>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</si>
  <si>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</si>
  <si>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</si>
  <si>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</si>
  <si>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</si>
  <si>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</si>
  <si>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</si>
  <si>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</si>
  <si>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</si>
  <si>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</si>
  <si>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</si>
  <si>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</si>
  <si>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</si>
  <si>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</si>
  <si>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</si>
  <si>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</si>
  <si>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</si>
  <si>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</si>
  <si>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</si>
  <si>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</si>
  <si>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</si>
  <si>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</si>
  <si>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</si>
  <si>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</si>
  <si>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</si>
  <si>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</si>
  <si>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</si>
  <si>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</si>
  <si>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</si>
  <si>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</si>
  <si>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</si>
  <si>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</si>
  <si>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</si>
  <si>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</si>
  <si>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</si>
  <si>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</si>
  <si>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</si>
  <si>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</si>
  <si>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</si>
  <si>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</si>
  <si>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</si>
  <si>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</si>
  <si>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</si>
  <si>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</si>
  <si>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</si>
  <si>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</si>
  <si>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</si>
  <si>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</si>
  <si>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</si>
  <si>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</si>
  <si>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</si>
  <si>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</si>
  <si>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</si>
  <si>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</si>
  <si>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</si>
  <si>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</si>
  <si>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</si>
  <si>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</si>
  <si>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</si>
  <si>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</si>
  <si>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</si>
  <si>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</si>
  <si>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</si>
  <si>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</si>
  <si>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</si>
  <si>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</si>
  <si>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</si>
  <si>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</si>
  <si>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</si>
  <si>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</si>
  <si>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</si>
  <si>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</si>
  <si>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</si>
  <si>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</si>
  <si>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</si>
  <si>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</si>
  <si>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</si>
  <si>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</si>
  <si>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</si>
  <si>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</si>
  <si>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</si>
  <si>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</si>
  <si>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</si>
  <si>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</si>
  <si>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</si>
  <si>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</si>
  <si>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</si>
  <si>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</si>
  <si>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</si>
  <si>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</si>
  <si>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</si>
  <si>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</si>
  <si>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</si>
  <si>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</si>
  <si>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</si>
  <si>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</si>
  <si>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</si>
  <si>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</si>
  <si>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</si>
  <si>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</si>
  <si>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</si>
  <si>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</si>
  <si>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</si>
  <si>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</si>
  <si>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</si>
  <si>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</si>
  <si>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</si>
  <si>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</si>
  <si>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</si>
  <si>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</si>
  <si>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</si>
  <si>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</si>
  <si>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</si>
  <si>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</si>
  <si>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</si>
  <si>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</si>
  <si>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</si>
  <si>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</si>
  <si>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</si>
  <si>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</si>
  <si>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</si>
  <si>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</si>
  <si>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</si>
  <si>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</si>
  <si>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</si>
  <si>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</si>
  <si>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</si>
  <si>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</si>
  <si>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</si>
  <si>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</si>
  <si>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</si>
  <si>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</si>
  <si>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</si>
  <si>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</si>
  <si>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</si>
  <si>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</si>
  <si>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</si>
  <si>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</si>
  <si>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</si>
  <si>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</si>
  <si>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</si>
  <si>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</si>
  <si>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</si>
  <si>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</si>
  <si>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</si>
  <si>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</si>
  <si>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</si>
  <si>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</si>
  <si>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</si>
  <si>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</si>
  <si>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</si>
  <si>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</si>
  <si>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</si>
  <si>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</si>
  <si>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</si>
  <si>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</si>
  <si>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</si>
  <si>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</si>
  <si>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</si>
  <si>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</si>
  <si>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</si>
  <si>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</si>
  <si>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</si>
  <si>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</si>
  <si>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</si>
  <si>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</si>
  <si>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</si>
  <si>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</si>
  <si>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</si>
  <si>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</si>
  <si>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</si>
  <si>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</si>
  <si>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</si>
  <si>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</si>
  <si>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</si>
  <si>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</si>
  <si>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</si>
  <si>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</si>
  <si>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</si>
  <si>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</si>
  <si>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</si>
  <si>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</si>
  <si>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</si>
  <si>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</si>
  <si>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</si>
  <si>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</si>
  <si>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</si>
  <si>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</si>
  <si>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</si>
  <si>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</si>
  <si>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</si>
  <si>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</si>
  <si>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</si>
  <si>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</si>
  <si>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</si>
  <si>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</si>
  <si>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</si>
  <si>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</si>
  <si>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</si>
  <si>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</si>
  <si>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</si>
  <si>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</si>
  <si>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</si>
  <si>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</si>
  <si>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</si>
  <si>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</si>
  <si>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</si>
  <si>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</si>
  <si>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</si>
  <si>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</si>
  <si>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</si>
  <si>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</si>
  <si>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</si>
  <si>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</si>
  <si>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</si>
  <si>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</si>
  <si>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</si>
  <si>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</si>
  <si>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</si>
  <si>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</si>
  <si>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</si>
  <si>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</si>
  <si>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</si>
  <si>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</si>
  <si>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</si>
  <si>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</si>
  <si>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</si>
  <si>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</si>
  <si>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</si>
  <si>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</si>
  <si>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</si>
  <si>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</si>
  <si>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</si>
  <si>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</si>
  <si>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</si>
  <si>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</si>
  <si>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</si>
  <si>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</si>
  <si>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</si>
  <si>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</si>
  <si>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</si>
  <si>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</si>
  <si>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</si>
  <si>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</si>
  <si>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</si>
  <si>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</si>
  <si>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</si>
  <si>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</si>
  <si>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</si>
  <si>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</si>
  <si>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</si>
  <si>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</si>
  <si>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</si>
  <si>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</si>
  <si>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</si>
  <si>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</si>
  <si>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</si>
  <si>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</si>
  <si>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</si>
  <si>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</si>
  <si>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</si>
  <si>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</si>
  <si>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</si>
  <si>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</si>
  <si>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</si>
  <si>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</si>
  <si>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</si>
  <si>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</si>
  <si>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</si>
  <si>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</si>
  <si>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</si>
  <si>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</si>
  <si>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</si>
  <si>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</si>
  <si>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</si>
  <si>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</si>
  <si>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</si>
  <si>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</si>
  <si>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</si>
  <si>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</si>
  <si>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</si>
  <si>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</si>
  <si>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</si>
  <si>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</si>
  <si>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</si>
  <si>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</si>
  <si>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</si>
  <si>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</si>
  <si>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</si>
  <si>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</si>
  <si>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</si>
  <si>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</si>
  <si>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</si>
  <si>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</si>
  <si>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</si>
  <si>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</si>
  <si>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</si>
  <si>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</si>
  <si>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</si>
  <si>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</si>
  <si>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</si>
  <si>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</si>
  <si>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</si>
  <si>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</si>
  <si>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</si>
  <si>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</si>
  <si>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</si>
  <si>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</si>
  <si>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</si>
  <si>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</si>
  <si>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</si>
  <si>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</si>
  <si>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</si>
  <si>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</si>
  <si>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</si>
  <si>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</si>
  <si>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</si>
  <si>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</si>
  <si>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</si>
  <si>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</si>
  <si>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</si>
  <si>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</si>
  <si>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</si>
  <si>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</si>
  <si>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</si>
  <si>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</si>
  <si>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</si>
  <si>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</si>
  <si>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</si>
  <si>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</si>
  <si>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</si>
  <si>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</si>
  <si>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</si>
  <si>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</si>
  <si>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</si>
  <si>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</si>
  <si>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</si>
  <si>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</si>
  <si>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</si>
  <si>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</si>
  <si>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</si>
  <si>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</si>
  <si>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</si>
  <si>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</si>
  <si>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</si>
  <si>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</si>
  <si>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</si>
  <si>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</si>
  <si>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</si>
  <si>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</si>
  <si>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</si>
  <si>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</si>
  <si>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</si>
  <si>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</si>
  <si>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</si>
  <si>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</si>
  <si>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</si>
  <si>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</si>
  <si>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</si>
  <si>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</si>
  <si>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</si>
  <si>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</si>
  <si>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</si>
  <si>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</si>
  <si>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</si>
  <si>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</si>
  <si>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</si>
  <si>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</si>
  <si>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</si>
  <si>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</si>
  <si>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</si>
  <si>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</si>
  <si>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</si>
  <si>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</si>
  <si>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</si>
  <si>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</si>
  <si>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</si>
  <si>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</si>
  <si>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</si>
  <si>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</si>
  <si>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</si>
  <si>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</si>
  <si>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</si>
  <si>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</si>
  <si>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</si>
  <si>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</si>
  <si>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</si>
  <si>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</si>
  <si>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</si>
  <si>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</si>
  <si>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</si>
  <si>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</si>
  <si>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</si>
  <si>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</si>
  <si>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</si>
  <si>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</si>
  <si>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</si>
  <si>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</si>
  <si>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</si>
  <si>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</si>
  <si>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</si>
  <si>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</si>
  <si>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</si>
  <si>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</si>
  <si>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</si>
  <si>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</si>
  <si>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</si>
  <si>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</si>
  <si>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</si>
  <si>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</si>
  <si>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</si>
  <si>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</si>
  <si>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</si>
  <si>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</si>
  <si>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</si>
  <si>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</si>
  <si>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</si>
  <si>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</si>
  <si>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</si>
  <si>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</si>
  <si>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</si>
  <si>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</si>
  <si>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</si>
  <si>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</si>
  <si>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</si>
  <si>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</si>
  <si>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</si>
  <si>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</si>
  <si>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</si>
  <si>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</si>
  <si>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</si>
  <si>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</si>
  <si>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</si>
  <si>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</si>
  <si>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</si>
  <si>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</si>
  <si>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</si>
  <si>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</si>
  <si>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</si>
  <si>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</si>
  <si>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</si>
  <si>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</si>
  <si>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</si>
  <si>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</si>
  <si>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</si>
  <si>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</si>
  <si>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</si>
  <si>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</si>
  <si>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</si>
  <si>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</si>
  <si>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</si>
  <si>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</si>
  <si>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</si>
  <si>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</si>
  <si>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</si>
  <si>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</si>
  <si>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</si>
  <si>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</si>
  <si>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</si>
  <si>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</si>
  <si>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</si>
  <si>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</si>
  <si>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</si>
  <si>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</si>
  <si>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</si>
  <si>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</si>
  <si>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</si>
  <si>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</si>
  <si>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</si>
  <si>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</si>
  <si>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</si>
  <si>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</si>
  <si>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</si>
  <si>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</si>
  <si>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</si>
  <si>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</si>
  <si>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</si>
  <si>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</si>
  <si>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</si>
  <si>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</si>
  <si>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</si>
  <si>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</si>
  <si>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</si>
  <si>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</si>
  <si>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</si>
  <si>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</si>
  <si>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</si>
  <si>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</si>
  <si>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</si>
  <si>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</si>
  <si>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</si>
  <si>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</si>
  <si>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</si>
  <si>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</si>
  <si>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</si>
  <si>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</si>
  <si>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</si>
  <si>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</si>
  <si>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</si>
  <si>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</si>
  <si>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</si>
  <si>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</si>
  <si>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</si>
  <si>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</si>
  <si>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</si>
  <si>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</si>
  <si>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</si>
  <si>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</si>
  <si>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</si>
  <si>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</si>
  <si>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</si>
  <si>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</si>
  <si>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</si>
  <si>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</si>
  <si>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</si>
  <si>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</si>
  <si>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</si>
  <si>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</si>
  <si>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</si>
  <si>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</si>
  <si>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</si>
  <si>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</si>
  <si>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</si>
  <si>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</si>
  <si>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</si>
  <si>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</si>
  <si>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</si>
  <si>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</si>
  <si>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</si>
  <si>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</si>
  <si>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</si>
  <si>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</si>
  <si>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</si>
  <si>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</si>
  <si>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</si>
  <si>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</si>
  <si>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</si>
  <si>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</si>
  <si>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</si>
  <si>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</si>
  <si>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</si>
  <si>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</si>
  <si>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</si>
  <si>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</si>
  <si>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</si>
  <si>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</si>
  <si>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</si>
  <si>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</si>
  <si>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</si>
  <si>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</si>
  <si>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</si>
  <si>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</si>
  <si>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</si>
  <si>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</si>
  <si>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</si>
  <si>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</si>
  <si>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</si>
  <si>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</si>
  <si>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</si>
  <si>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</si>
  <si>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</si>
  <si>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</si>
  <si>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</si>
  <si>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</si>
  <si>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</si>
  <si>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</si>
  <si>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</si>
  <si>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</si>
  <si>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</si>
  <si>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</si>
  <si>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</si>
  <si>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</si>
  <si>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</si>
  <si>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</si>
  <si>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</si>
  <si>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</si>
  <si>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</si>
  <si>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</si>
  <si>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</si>
  <si>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</si>
  <si>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</si>
  <si>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</si>
  <si>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</si>
  <si>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</si>
  <si>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</si>
  <si>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</si>
  <si>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</si>
  <si>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</si>
  <si>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</si>
  <si>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</si>
  <si>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</si>
  <si>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</si>
  <si>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</si>
  <si>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</si>
  <si>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</si>
  <si>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</si>
  <si>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</si>
  <si>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</si>
  <si>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</si>
  <si>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</si>
  <si>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</si>
  <si>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</si>
  <si>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</si>
  <si>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</si>
  <si>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</si>
  <si>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</si>
  <si>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</si>
  <si>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</si>
  <si>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</si>
  <si>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</si>
  <si>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</si>
  <si>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</si>
  <si>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</si>
  <si>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</si>
  <si>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</si>
  <si>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</si>
  <si>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</si>
  <si>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</si>
  <si>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</si>
  <si>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</si>
  <si>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</si>
  <si>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</si>
  <si>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</si>
  <si>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</si>
  <si>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</si>
  <si>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</si>
  <si>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</si>
  <si>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</si>
  <si>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</si>
  <si>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</si>
  <si>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</si>
  <si>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</si>
  <si>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</si>
  <si>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</si>
  <si>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</si>
  <si>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</si>
  <si>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</si>
  <si>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</si>
  <si>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</si>
  <si>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</si>
  <si>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</si>
  <si>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</si>
  <si>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</si>
  <si>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</si>
  <si>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</si>
  <si>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</si>
  <si>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</si>
  <si>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</si>
  <si>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</si>
  <si>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</si>
  <si>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</si>
  <si>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</si>
  <si>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</si>
  <si>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</si>
  <si>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</si>
  <si>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</si>
  <si>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</si>
  <si>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</si>
  <si>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</si>
  <si>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</si>
  <si>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</si>
  <si>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</si>
  <si>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</si>
  <si>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</si>
  <si>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</si>
  <si>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</si>
  <si>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</si>
  <si>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</si>
  <si>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</si>
  <si>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</si>
  <si>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</si>
  <si>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</si>
  <si>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</si>
  <si>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</si>
  <si>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</si>
  <si>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</si>
  <si>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</si>
  <si>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</si>
  <si>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</si>
  <si>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</si>
  <si>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</si>
  <si>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</si>
  <si>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</si>
  <si>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</si>
  <si>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</si>
  <si>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</si>
  <si>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</si>
  <si>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</si>
  <si>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</si>
  <si>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</si>
  <si>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</si>
  <si>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</si>
  <si>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</si>
  <si>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</si>
  <si>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</si>
  <si>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</si>
  <si>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</si>
  <si>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</si>
  <si>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</si>
  <si>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</si>
  <si>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</si>
  <si>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</si>
  <si>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</si>
  <si>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</si>
  <si>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</si>
  <si>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</si>
  <si>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</si>
  <si>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</si>
  <si>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</si>
  <si>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</si>
  <si>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</si>
  <si>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</si>
  <si>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</si>
  <si>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</si>
  <si>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</si>
  <si>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</si>
  <si>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</si>
  <si>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</si>
  <si>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</si>
  <si>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</si>
  <si>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</si>
  <si>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</si>
  <si>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</si>
  <si>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</si>
  <si>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</si>
  <si>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</si>
  <si>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</si>
  <si>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</si>
  <si>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</si>
  <si>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</si>
  <si>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</si>
  <si>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</si>
  <si>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</si>
  <si>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</si>
  <si>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</si>
  <si>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</si>
  <si>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</si>
  <si>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</si>
  <si>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</si>
  <si>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</si>
  <si>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</si>
  <si>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</si>
  <si>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</si>
  <si>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</si>
  <si>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</si>
  <si>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</si>
  <si>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</si>
  <si>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</si>
  <si>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</si>
  <si>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</si>
  <si>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</si>
  <si>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</si>
  <si>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</si>
  <si>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</si>
  <si>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</si>
  <si>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</si>
  <si>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</si>
  <si>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</si>
  <si>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</si>
  <si>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</si>
  <si>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</si>
  <si>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</si>
  <si>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</si>
  <si>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</si>
  <si>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</si>
  <si>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</si>
  <si>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</si>
  <si>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</si>
  <si>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</si>
  <si>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</si>
  <si>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</si>
  <si>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</si>
  <si>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</si>
  <si>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</si>
  <si>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</si>
  <si>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</si>
  <si>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</si>
  <si>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</si>
  <si>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</si>
  <si>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</si>
  <si>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</si>
  <si>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</si>
  <si>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</si>
  <si>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</si>
  <si>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</si>
  <si>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</si>
  <si>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</si>
  <si>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</si>
  <si>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</si>
  <si>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</si>
  <si>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</si>
  <si>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</si>
  <si>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</si>
  <si>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</si>
  <si>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</si>
  <si>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</si>
  <si>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</si>
  <si>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</si>
  <si>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</si>
  <si>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</si>
  <si>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</si>
  <si>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</si>
  <si>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</si>
  <si>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</si>
  <si>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</si>
  <si>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</si>
  <si>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</si>
  <si>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</si>
  <si>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</si>
  <si>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</si>
  <si>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</si>
  <si>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</si>
  <si>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</si>
  <si>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</si>
  <si>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</si>
  <si>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</si>
  <si>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</si>
  <si>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</si>
  <si>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</si>
  <si>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</si>
  <si>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</si>
  <si>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</si>
  <si>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</si>
  <si>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</si>
  <si>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</si>
  <si>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</si>
  <si>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</si>
  <si>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</si>
  <si>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</si>
  <si>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</si>
  <si>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</si>
  <si>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</si>
  <si>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</si>
  <si>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</si>
  <si>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</si>
  <si>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</si>
  <si>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</si>
  <si>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</si>
  <si>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</si>
  <si>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</si>
  <si>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</si>
  <si>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</si>
  <si>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</si>
  <si>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</si>
  <si>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</si>
  <si>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</si>
  <si>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</si>
  <si>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</si>
  <si>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</si>
  <si>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</si>
  <si>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</si>
  <si>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</si>
  <si>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</si>
  <si>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</si>
  <si>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</si>
  <si>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</si>
  <si>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</si>
  <si>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</si>
  <si>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</si>
  <si>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</si>
  <si>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</si>
  <si>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</si>
  <si>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</si>
  <si>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</si>
  <si>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</si>
  <si>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</si>
  <si>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</si>
  <si>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</si>
  <si>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</si>
  <si>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</si>
  <si>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</si>
  <si>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</si>
  <si>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</si>
  <si>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</si>
  <si>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</si>
  <si>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</si>
  <si>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</si>
  <si>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</si>
  <si>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</si>
  <si>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</si>
  <si>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</si>
  <si>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</si>
  <si>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</si>
  <si>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</si>
  <si>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</si>
  <si>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</si>
  <si>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</si>
  <si>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</si>
  <si>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</si>
  <si>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</si>
  <si>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</si>
  <si>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</si>
  <si>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</si>
  <si>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</si>
  <si>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</si>
  <si>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</si>
  <si>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</si>
  <si>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</si>
  <si>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</si>
  <si>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</si>
  <si>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</si>
  <si>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</si>
  <si>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</si>
  <si>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</si>
  <si>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</si>
  <si>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</si>
  <si>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</si>
  <si>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</si>
  <si>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</si>
  <si>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</si>
  <si>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</si>
  <si>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</si>
  <si>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</si>
  <si>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</si>
  <si>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</si>
  <si>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</si>
  <si>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</si>
  <si>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</si>
  <si>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</si>
  <si>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</si>
  <si>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</si>
  <si>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</si>
  <si>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</si>
  <si>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</si>
  <si>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</si>
  <si>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</si>
  <si>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</si>
  <si>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</si>
  <si>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</si>
  <si>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</si>
  <si>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</si>
  <si>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</si>
  <si>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</si>
  <si>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</si>
  <si>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</si>
  <si>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</si>
  <si>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</si>
  <si>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</si>
  <si>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</si>
  <si>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</si>
  <si>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</si>
  <si>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</si>
  <si>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</si>
  <si>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</si>
  <si>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</si>
  <si>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</si>
  <si>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</si>
  <si>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</si>
  <si>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</si>
  <si>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</si>
  <si>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</si>
  <si>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</si>
  <si>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</si>
  <si>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</si>
  <si>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</si>
  <si>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</si>
  <si>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</si>
  <si>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</si>
  <si>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</si>
  <si>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</si>
  <si>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</si>
  <si>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</si>
  <si>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</si>
  <si>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</si>
  <si>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</si>
  <si>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</si>
  <si>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</si>
  <si>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</si>
  <si>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</si>
  <si>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</si>
  <si>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</si>
  <si>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</si>
  <si>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</si>
  <si>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</si>
  <si>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</si>
  <si>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</si>
  <si>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</si>
  <si>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</si>
  <si>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</si>
  <si>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</si>
  <si>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</si>
  <si>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</si>
  <si>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</si>
  <si>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</si>
  <si>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</si>
  <si>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</si>
  <si>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</si>
  <si>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</si>
  <si>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</si>
  <si>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</si>
  <si>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</si>
  <si>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</si>
  <si>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</si>
  <si>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</si>
  <si>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</si>
  <si>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</si>
  <si>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</si>
  <si>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</si>
  <si>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</si>
  <si>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</si>
  <si>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</si>
  <si>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</si>
  <si>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</si>
  <si>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</si>
  <si>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</si>
  <si>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</si>
  <si>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</si>
  <si>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</si>
  <si>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</si>
  <si>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</si>
  <si>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</si>
  <si>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</si>
  <si>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</si>
  <si>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</si>
  <si>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</si>
  <si>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</si>
  <si>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</si>
  <si>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</si>
  <si>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</si>
  <si>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</si>
  <si>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</si>
  <si>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</si>
  <si>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</si>
  <si>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</si>
  <si>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</si>
  <si>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</si>
  <si>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</si>
  <si>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</si>
  <si>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</si>
  <si>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</si>
  <si>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</si>
  <si>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</si>
  <si>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</si>
  <si>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</si>
  <si>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</si>
  <si>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</si>
  <si>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</si>
  <si>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</si>
  <si>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</si>
  <si>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</si>
  <si>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</si>
  <si>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</si>
  <si>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</si>
  <si>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</si>
  <si>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</si>
  <si>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</si>
  <si>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</si>
  <si>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</si>
  <si>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</si>
  <si>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</si>
  <si>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</si>
  <si>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</si>
  <si>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</si>
  <si>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</si>
  <si>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</si>
  <si>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</si>
  <si>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</si>
  <si>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</si>
  <si>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</si>
  <si>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</si>
  <si>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</si>
  <si>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</si>
  <si>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</si>
  <si>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</si>
  <si>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</si>
  <si>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</si>
  <si>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</si>
  <si>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</si>
  <si>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</si>
  <si>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</si>
  <si>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</si>
  <si>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</si>
  <si>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</si>
  <si>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</si>
  <si>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</si>
  <si>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</si>
  <si>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</si>
  <si>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</si>
  <si>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</si>
  <si>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</si>
  <si>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</si>
  <si>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</si>
  <si>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</si>
  <si>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</si>
  <si>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</si>
  <si>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</si>
  <si>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</si>
  <si>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</si>
  <si>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</si>
  <si>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</si>
  <si>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</si>
  <si>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</si>
  <si>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</si>
  <si>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</si>
  <si>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</si>
  <si>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</si>
  <si>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</si>
  <si>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</si>
  <si>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</si>
  <si>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</si>
  <si>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</si>
  <si>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</si>
  <si>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</si>
  <si>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</si>
  <si>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</si>
  <si>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</si>
  <si>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</si>
  <si>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</si>
  <si>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</si>
  <si>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</si>
  <si>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</si>
  <si>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</si>
  <si>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</si>
  <si>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</si>
  <si>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</si>
  <si>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</si>
  <si>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</si>
  <si>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</si>
  <si>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</si>
  <si>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</si>
  <si>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</si>
  <si>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</si>
  <si>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</si>
  <si>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</si>
  <si>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</si>
  <si>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</si>
  <si>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</si>
  <si>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</si>
  <si>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</si>
  <si>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</si>
  <si>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</si>
  <si>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</si>
  <si>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</si>
  <si>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</si>
  <si>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</si>
  <si>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</si>
  <si>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</si>
  <si>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</si>
  <si>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</si>
  <si>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</si>
  <si>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</si>
  <si>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</si>
  <si>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</si>
  <si>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</si>
  <si>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</si>
  <si>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</si>
  <si>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</si>
  <si>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</si>
  <si>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</si>
  <si>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</si>
  <si>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</si>
  <si>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</si>
  <si>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</si>
  <si>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</si>
  <si>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</si>
  <si>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</si>
  <si>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</si>
  <si>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</si>
  <si>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</si>
  <si>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</si>
  <si>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</si>
  <si>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</si>
  <si>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</si>
  <si>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</si>
  <si>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</si>
  <si>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</si>
  <si>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</si>
  <si>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</si>
  <si>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</si>
  <si>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</si>
  <si>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</si>
  <si>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</si>
  <si>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</si>
  <si>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</si>
  <si>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</si>
  <si>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</si>
  <si>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</si>
  <si>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</si>
  <si>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</si>
  <si>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</si>
  <si>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</si>
  <si>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</si>
  <si>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</si>
  <si>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</si>
  <si>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</si>
  <si>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</si>
  <si>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</si>
  <si>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</si>
  <si>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</si>
  <si>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</si>
  <si>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</si>
  <si>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</si>
  <si>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</si>
  <si>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</si>
  <si>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</si>
  <si>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</si>
  <si>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</si>
  <si>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</si>
  <si>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</si>
  <si>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</si>
  <si>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</si>
  <si>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</si>
  <si>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</si>
  <si>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</si>
  <si>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</si>
  <si>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</si>
  <si>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</si>
  <si>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</si>
  <si>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</si>
  <si>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</si>
  <si>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</si>
  <si>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</si>
  <si>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</si>
  <si>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</si>
  <si>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</si>
  <si>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</si>
  <si>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</si>
  <si>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</si>
  <si>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</si>
  <si>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</si>
  <si>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</si>
  <si>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</si>
  <si>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</si>
  <si>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</si>
  <si>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</si>
  <si>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</si>
  <si>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</si>
  <si>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</si>
  <si>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</si>
  <si>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</si>
  <si>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</si>
  <si>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</si>
  <si>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</si>
  <si>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</si>
  <si>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</si>
  <si>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</si>
  <si>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</si>
  <si>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</si>
  <si>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</si>
  <si>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</si>
  <si>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</si>
  <si>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</si>
  <si>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</si>
  <si>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</si>
  <si>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</si>
  <si>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</si>
  <si>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</si>
  <si>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</si>
  <si>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</si>
  <si>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</si>
  <si>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</si>
  <si>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</si>
  <si>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</si>
  <si>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</si>
  <si>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</si>
  <si>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</si>
  <si>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</si>
  <si>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</si>
  <si>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</si>
  <si>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</si>
  <si>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</si>
  <si>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</si>
  <si>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</si>
  <si>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</si>
  <si>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</si>
  <si>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</si>
  <si>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</si>
  <si>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</si>
  <si>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</si>
  <si>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</si>
  <si>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</si>
  <si>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</si>
  <si>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</si>
  <si>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</si>
  <si>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</si>
  <si>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</si>
  <si>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</si>
  <si>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</si>
  <si>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</si>
  <si>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</si>
  <si>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</si>
  <si>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</si>
  <si>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</si>
  <si>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</si>
  <si>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</si>
  <si>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</si>
  <si>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</si>
  <si>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</si>
  <si>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</si>
  <si>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</si>
  <si>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</si>
  <si>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</si>
  <si>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</si>
  <si>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</si>
  <si>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</si>
  <si>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</si>
  <si>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</si>
  <si>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</si>
  <si>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</si>
  <si>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</si>
  <si>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</si>
  <si>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</si>
  <si>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</si>
  <si>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</si>
  <si>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</si>
  <si>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</si>
  <si>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</si>
  <si>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</si>
  <si>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</si>
  <si>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</si>
  <si>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</si>
  <si>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</si>
  <si>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</si>
  <si>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</si>
  <si>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</si>
  <si>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</si>
  <si>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</si>
  <si>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</si>
  <si>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</si>
  <si>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</si>
  <si>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</si>
  <si>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</si>
  <si>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</si>
  <si>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</si>
  <si>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</si>
  <si>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</si>
  <si>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</si>
  <si>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</si>
  <si>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</si>
  <si>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</si>
  <si>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</si>
  <si>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</si>
  <si>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</si>
  <si>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</si>
  <si>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</si>
  <si>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</si>
  <si>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</si>
  <si>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</si>
  <si>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</si>
  <si>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</si>
  <si>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</si>
  <si>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</si>
  <si>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</si>
  <si>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</si>
  <si>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</si>
  <si>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</si>
  <si>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</si>
  <si>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</si>
  <si>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</si>
  <si>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</si>
  <si>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</si>
  <si>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</si>
  <si>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</si>
  <si>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</si>
  <si>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</si>
  <si>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</si>
  <si>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</si>
  <si>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</si>
  <si>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</si>
  <si>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</si>
  <si>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</si>
  <si>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</si>
  <si>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</si>
  <si>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</si>
  <si>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</si>
  <si>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</si>
  <si>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</si>
  <si>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</si>
  <si>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</si>
  <si>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</si>
  <si>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</si>
  <si>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</si>
  <si>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</si>
  <si>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</si>
  <si>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</si>
  <si>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</si>
  <si>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</si>
  <si>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</si>
  <si>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</si>
  <si>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</si>
  <si>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</si>
  <si>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</si>
  <si>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</si>
  <si>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</si>
  <si>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</si>
  <si>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</si>
  <si>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</si>
  <si>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</si>
  <si>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</si>
  <si>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</si>
  <si>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</si>
  <si>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</si>
  <si>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</si>
  <si>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</si>
  <si>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</si>
  <si>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</si>
  <si>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</si>
  <si>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</si>
  <si>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</si>
  <si>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</si>
  <si>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</si>
  <si>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</si>
  <si>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</si>
  <si>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</si>
  <si>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</si>
  <si>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</si>
  <si>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</si>
  <si>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</si>
  <si>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</si>
  <si>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</si>
  <si>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</si>
  <si>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</si>
  <si>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</si>
  <si>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</si>
  <si>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</si>
  <si>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</si>
  <si>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</si>
  <si>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</si>
  <si>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</si>
  <si>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</si>
  <si>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</si>
  <si>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</si>
  <si>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</si>
  <si>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</si>
  <si>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</si>
  <si>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</si>
  <si>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</si>
  <si>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</si>
  <si>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</si>
  <si>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</si>
  <si>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</si>
  <si>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</si>
  <si>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</si>
  <si>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</si>
  <si>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</si>
  <si>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</si>
  <si>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</si>
  <si>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</si>
  <si>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</si>
  <si>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</si>
  <si>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</si>
  <si>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</si>
  <si>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</si>
  <si>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</si>
  <si>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</si>
  <si>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</si>
  <si>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</si>
  <si>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</si>
  <si>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</si>
  <si>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</si>
  <si>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</si>
  <si>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</si>
  <si>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</si>
  <si>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</si>
  <si>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</si>
  <si>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</si>
  <si>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</si>
  <si>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</si>
  <si>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</si>
  <si>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</si>
  <si>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</si>
  <si>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</si>
  <si>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</si>
  <si>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</si>
  <si>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</si>
  <si>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</si>
  <si>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</si>
  <si>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</si>
  <si>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</si>
  <si>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</si>
  <si>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</si>
  <si>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</si>
  <si>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</si>
  <si>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</si>
  <si>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</si>
  <si>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</si>
  <si>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</si>
  <si>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</si>
  <si>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</si>
  <si>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</si>
  <si>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</si>
  <si>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</si>
  <si>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</si>
  <si>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</si>
  <si>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</si>
  <si>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</si>
  <si>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</si>
  <si>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</si>
  <si>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</si>
  <si>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</si>
  <si>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</si>
  <si>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</si>
  <si>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</si>
  <si>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</si>
  <si>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</si>
  <si>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</si>
  <si>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</si>
  <si>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</si>
  <si>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</si>
  <si>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</si>
  <si>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</si>
  <si>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</si>
  <si>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</si>
  <si>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</si>
  <si>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</si>
  <si>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</si>
  <si>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</si>
  <si>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</si>
  <si>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</si>
  <si>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</si>
  <si>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</si>
  <si>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</si>
  <si>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</si>
  <si>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</si>
  <si>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</si>
  <si>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</si>
  <si>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</si>
  <si>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</si>
  <si>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</si>
  <si>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</si>
  <si>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</si>
  <si>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</si>
  <si>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</si>
  <si>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</si>
  <si>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</si>
  <si>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</si>
  <si>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</si>
  <si>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</si>
  <si>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</si>
  <si>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</si>
  <si>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</si>
  <si>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</si>
  <si>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</si>
  <si>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</si>
  <si>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</si>
  <si>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</si>
  <si>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</si>
  <si>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</si>
  <si>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</si>
  <si>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</si>
  <si>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</si>
  <si>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</si>
  <si>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</si>
  <si>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</si>
  <si>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</si>
  <si>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</si>
  <si>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</si>
  <si>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</si>
  <si>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</si>
  <si>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</si>
  <si>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</si>
  <si>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</si>
  <si>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</si>
  <si>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</si>
  <si>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</si>
  <si>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</si>
  <si>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</si>
  <si>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</si>
  <si>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</si>
  <si>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</si>
  <si>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</si>
  <si>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</si>
  <si>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</si>
  <si>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</si>
  <si>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</si>
  <si>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</si>
  <si>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</si>
  <si>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</si>
  <si>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</si>
  <si>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</si>
  <si>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</si>
  <si>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</si>
  <si>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</si>
  <si>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</si>
  <si>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</si>
  <si>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</si>
  <si>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</si>
  <si>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</si>
  <si>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</si>
  <si>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</si>
  <si>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</si>
  <si>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</si>
  <si>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</si>
  <si>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</si>
  <si>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</si>
  <si>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</si>
  <si>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</si>
  <si>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</si>
  <si>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</si>
  <si>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</si>
  <si>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</si>
  <si>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</si>
  <si>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</si>
  <si>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</si>
  <si>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</si>
  <si>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</si>
  <si>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</si>
  <si>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</si>
  <si>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</si>
  <si>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</si>
  <si>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</si>
  <si>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</si>
  <si>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</si>
  <si>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</si>
  <si>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</si>
  <si>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</si>
  <si>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</si>
  <si>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</si>
  <si>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</si>
  <si>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</si>
  <si>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</si>
  <si>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</si>
  <si>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</si>
  <si>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</si>
  <si>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</si>
  <si>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</si>
  <si>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</si>
  <si>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</si>
  <si>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</si>
  <si>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</si>
  <si>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</si>
  <si>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</si>
  <si>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</si>
  <si>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</si>
  <si>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</si>
  <si>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</si>
  <si>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</si>
  <si>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</si>
  <si>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</si>
  <si>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</si>
  <si>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</si>
  <si>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</si>
  <si>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</si>
  <si>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</si>
  <si>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</si>
  <si>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</si>
  <si>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</si>
  <si>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</si>
  <si>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</si>
  <si>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</si>
  <si>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</si>
  <si>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</si>
  <si>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</si>
  <si>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</si>
  <si>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</si>
  <si>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</si>
  <si>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</si>
  <si>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</si>
  <si>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</si>
  <si>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</si>
  <si>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</si>
  <si>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</si>
  <si>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</si>
  <si>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</si>
  <si>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</si>
  <si>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</si>
  <si>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</si>
  <si>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</si>
  <si>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</si>
  <si>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</si>
  <si>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</si>
  <si>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</si>
  <si>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</si>
  <si>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</si>
  <si>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</si>
  <si>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</si>
  <si>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</si>
  <si>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</si>
  <si>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</si>
  <si>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</si>
  <si>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</si>
  <si>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</si>
  <si>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</si>
  <si>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</si>
  <si>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</si>
  <si>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</si>
  <si>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</si>
  <si>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</si>
  <si>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</si>
  <si>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</si>
  <si>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</si>
  <si>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</si>
  <si>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</si>
  <si>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</si>
  <si>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</si>
  <si>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</si>
  <si>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</si>
  <si>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</si>
  <si>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</si>
  <si>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</si>
  <si>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</si>
  <si>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</si>
  <si>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</si>
  <si>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</si>
  <si>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</si>
  <si>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</si>
  <si>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</si>
  <si>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</si>
  <si>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</si>
  <si>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</si>
  <si>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</si>
  <si>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</si>
  <si>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</si>
  <si>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</si>
  <si>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</si>
  <si>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</si>
  <si>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</si>
  <si>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</si>
  <si>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</si>
  <si>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</si>
  <si>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</si>
  <si>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</si>
  <si>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</si>
  <si>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</si>
  <si>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</si>
  <si>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</si>
  <si>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</si>
  <si>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</si>
  <si>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</si>
  <si>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</si>
  <si>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</si>
  <si>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</si>
  <si>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</si>
  <si>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</si>
  <si>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</si>
  <si>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</si>
  <si>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</si>
  <si>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</si>
  <si>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</si>
  <si>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</si>
  <si>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</si>
  <si>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</si>
  <si>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</si>
  <si>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</si>
  <si>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</si>
  <si>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</si>
  <si>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</si>
  <si>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</si>
  <si>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</si>
  <si>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</si>
  <si>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</si>
  <si>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</si>
  <si>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</si>
  <si>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</si>
  <si>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</si>
  <si>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</si>
  <si>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</si>
  <si>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</si>
  <si>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</si>
  <si>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</si>
  <si>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</si>
  <si>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</si>
  <si>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</si>
  <si>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</si>
  <si>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</si>
  <si>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</si>
  <si>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</si>
  <si>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</si>
  <si>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</si>
  <si>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</si>
  <si>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</si>
  <si>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</si>
  <si>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</si>
  <si>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</si>
  <si>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</si>
  <si>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</si>
  <si>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</si>
  <si>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</si>
  <si>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</si>
  <si>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</si>
  <si>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</si>
  <si>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</si>
  <si>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</si>
  <si>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</si>
  <si>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</si>
  <si>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</si>
  <si>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</si>
  <si>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</si>
  <si>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</si>
  <si>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</si>
  <si>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</si>
  <si>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</si>
  <si>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</si>
  <si>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</si>
  <si>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</si>
  <si>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</si>
  <si>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</si>
  <si>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</si>
  <si>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</si>
  <si>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</si>
  <si>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</si>
  <si>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</si>
  <si>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</si>
  <si>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</si>
  <si>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</si>
  <si>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</si>
  <si>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</si>
  <si>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</si>
  <si>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</si>
  <si>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</si>
  <si>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</si>
  <si>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</si>
  <si>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</si>
  <si>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</si>
  <si>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</si>
  <si>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</si>
  <si>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</si>
  <si>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</si>
  <si>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</si>
  <si>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</si>
  <si>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</si>
  <si>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</si>
  <si>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</si>
  <si>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</si>
  <si>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</si>
  <si>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</si>
  <si>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</si>
  <si>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</si>
  <si>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</si>
  <si>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</si>
  <si>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</si>
  <si>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</si>
  <si>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</si>
  <si>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</si>
  <si>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</si>
  <si>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</si>
  <si>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</si>
  <si>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</si>
  <si>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</si>
  <si>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</si>
  <si>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</si>
  <si>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</si>
  <si>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</si>
  <si>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</si>
  <si>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</si>
  <si>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</si>
  <si>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</si>
  <si>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</si>
  <si>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</si>
  <si>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</si>
  <si>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</si>
  <si>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</si>
  <si>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</si>
  <si>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</si>
  <si>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</si>
  <si>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</si>
  <si>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</si>
  <si>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</si>
  <si>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</si>
  <si>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</si>
  <si>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</si>
  <si>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</si>
  <si>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</si>
  <si>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</si>
  <si>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</si>
  <si>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</si>
  <si>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</si>
  <si>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</si>
  <si>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</si>
  <si>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</si>
  <si>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</si>
  <si>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</si>
  <si>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</si>
  <si>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</si>
  <si>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</si>
  <si>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</si>
  <si>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</si>
  <si>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</si>
  <si>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</si>
  <si>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</si>
  <si>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</si>
  <si>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</si>
  <si>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</si>
  <si>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</si>
  <si>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</si>
  <si>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</si>
  <si>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</si>
  <si>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</si>
  <si>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</si>
  <si>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</si>
  <si>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</si>
  <si>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</si>
  <si>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</si>
  <si>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</si>
  <si>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</si>
  <si>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</si>
  <si>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</si>
  <si>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</si>
  <si>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</si>
  <si>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</si>
  <si>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</si>
  <si>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</si>
  <si>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</si>
  <si>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</si>
  <si>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</si>
  <si>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</si>
  <si>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</si>
  <si>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</si>
  <si>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</si>
  <si>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</si>
  <si>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</si>
  <si>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</si>
  <si>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</si>
  <si>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</si>
  <si>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</si>
  <si>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</si>
  <si>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</si>
  <si>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</si>
  <si>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</si>
  <si>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</si>
  <si>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</si>
  <si>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</si>
  <si>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</si>
  <si>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</si>
  <si>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</si>
  <si>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</si>
  <si>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</si>
  <si>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</si>
  <si>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</si>
  <si>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</si>
  <si>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</si>
  <si>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</si>
  <si>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</si>
  <si>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</si>
  <si>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</si>
  <si>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</si>
  <si>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</si>
  <si>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</si>
  <si>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</si>
  <si>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</si>
  <si>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</si>
  <si>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</si>
  <si>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</si>
  <si>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</si>
  <si>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</si>
  <si>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</si>
  <si>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</si>
  <si>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</si>
  <si>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</si>
  <si>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</si>
  <si>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</si>
  <si>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</si>
  <si>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</si>
  <si>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</si>
  <si>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</si>
  <si>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</si>
  <si>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</si>
  <si>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</si>
  <si>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</si>
  <si>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</si>
  <si>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</si>
  <si>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</si>
  <si>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</si>
  <si>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</si>
  <si>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</si>
  <si>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</si>
  <si>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</si>
  <si>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</si>
  <si>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</si>
  <si>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</si>
  <si>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</si>
  <si>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</si>
  <si>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</si>
  <si>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</si>
  <si>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</si>
  <si>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</si>
  <si>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</si>
  <si>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</si>
  <si>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</si>
  <si>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</si>
  <si>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</si>
  <si>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</si>
  <si>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</si>
  <si>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</si>
  <si>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</si>
  <si>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</si>
  <si>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</si>
  <si>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</si>
  <si>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</si>
  <si>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</si>
  <si>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</si>
  <si>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</si>
  <si>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</si>
  <si>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</si>
  <si>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</si>
  <si>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</si>
  <si>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</si>
  <si>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</si>
  <si>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</si>
  <si>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</si>
  <si>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</si>
  <si>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</si>
  <si>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</si>
  <si>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</si>
  <si>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</si>
  <si>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</si>
  <si>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</si>
  <si>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</si>
  <si>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</si>
  <si>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</si>
  <si>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</si>
  <si>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</si>
  <si>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</si>
  <si>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</si>
  <si>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</si>
  <si>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</si>
  <si>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</si>
  <si>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</si>
  <si>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</si>
  <si>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</si>
  <si>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</si>
  <si>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</si>
  <si>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</si>
  <si>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</si>
  <si>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</si>
  <si>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</si>
  <si>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</si>
  <si>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</si>
  <si>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</si>
  <si>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</si>
  <si>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</si>
  <si>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</si>
  <si>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</si>
  <si>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</si>
  <si>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</si>
  <si>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</si>
  <si>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</si>
  <si>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</si>
  <si>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</si>
  <si>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</si>
  <si>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</si>
  <si>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</si>
  <si>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</si>
  <si>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</si>
  <si>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</si>
  <si>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</si>
  <si>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</si>
  <si>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</si>
  <si>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</si>
  <si>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</si>
  <si>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</si>
  <si>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</si>
  <si>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</si>
  <si>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</si>
  <si>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</si>
  <si>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</si>
  <si>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</si>
  <si>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</si>
  <si>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</si>
  <si>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</si>
  <si>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</si>
  <si>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</si>
  <si>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</si>
  <si>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</si>
  <si>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</si>
  <si>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</si>
  <si>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</si>
  <si>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</si>
  <si>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</si>
  <si>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</si>
  <si>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</si>
  <si>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</si>
  <si>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</si>
  <si>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</si>
  <si>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</si>
  <si>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</si>
  <si>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</si>
  <si>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</si>
  <si>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</si>
  <si>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</si>
  <si>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</si>
  <si>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</si>
  <si>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</si>
  <si>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</si>
  <si>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</si>
  <si>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</si>
  <si>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</si>
  <si>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</si>
  <si>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</si>
  <si>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</si>
  <si>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</si>
  <si>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</si>
  <si>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</si>
  <si>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</si>
  <si>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</si>
  <si>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</si>
  <si>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</si>
  <si>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</si>
  <si>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</si>
  <si>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</si>
  <si>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</si>
  <si>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</si>
  <si>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</si>
  <si>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</si>
  <si>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</si>
  <si>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</si>
  <si>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</si>
  <si>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</si>
  <si>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</si>
  <si>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</si>
  <si>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</si>
  <si>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</si>
  <si>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</si>
  <si>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</si>
  <si>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</si>
  <si>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</si>
  <si>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</si>
  <si>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</si>
  <si>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</si>
  <si>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</si>
  <si>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</si>
  <si>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</si>
  <si>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</si>
  <si>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</si>
  <si>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</si>
  <si>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</si>
  <si>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</si>
  <si>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</si>
  <si>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</si>
  <si>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</si>
  <si>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</si>
  <si>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</si>
  <si>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</si>
  <si>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</si>
  <si>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</si>
  <si>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</si>
  <si>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</si>
  <si>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</si>
  <si>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</si>
  <si>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</si>
  <si>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</si>
  <si>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</si>
  <si>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</si>
  <si>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</si>
  <si>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</si>
  <si>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</si>
  <si>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</si>
  <si>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</si>
  <si>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</si>
  <si>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</si>
  <si>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</si>
  <si>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</si>
  <si>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</si>
  <si>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</si>
  <si>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</si>
  <si>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</si>
  <si>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</si>
  <si>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</si>
  <si>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</si>
  <si>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</si>
  <si>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</si>
  <si>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</si>
  <si>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</si>
  <si>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</si>
  <si>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</si>
  <si>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</si>
  <si>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</si>
  <si>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</si>
  <si>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</si>
  <si>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</si>
  <si>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</si>
  <si>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</si>
  <si>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</si>
  <si>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</si>
  <si>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</si>
  <si>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</si>
  <si>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</si>
  <si>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</si>
  <si>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</si>
  <si>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</si>
  <si>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</si>
  <si>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</si>
  <si>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</si>
  <si>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</si>
  <si>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</si>
  <si>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</si>
  <si>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</si>
  <si>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</si>
  <si>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</si>
  <si>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</si>
  <si>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</si>
  <si>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</si>
  <si>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</si>
  <si>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</si>
  <si>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</si>
  <si>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</si>
  <si>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</si>
  <si>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</si>
  <si>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</si>
  <si>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</si>
  <si>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</si>
  <si>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</si>
  <si>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</si>
  <si>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</si>
  <si>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</si>
  <si>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</si>
  <si>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</si>
  <si>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</si>
  <si>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</si>
  <si>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</si>
  <si>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</si>
  <si>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</si>
  <si>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</si>
  <si>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</si>
  <si>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</si>
  <si>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</si>
  <si>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</si>
  <si>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</si>
  <si>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</si>
  <si>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</si>
  <si>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</si>
  <si>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</si>
  <si>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</si>
  <si>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</si>
  <si>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</si>
  <si>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</si>
  <si>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</si>
  <si>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</si>
  <si>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</si>
  <si>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</si>
  <si>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</si>
  <si>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</si>
  <si>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</si>
  <si>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</si>
  <si>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</si>
  <si>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</si>
  <si>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</si>
  <si>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</si>
  <si>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</si>
  <si>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</si>
  <si>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</si>
  <si>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</si>
  <si>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</si>
  <si>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</si>
  <si>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</si>
  <si>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</si>
  <si>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</si>
  <si>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</si>
  <si>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</si>
  <si>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</si>
  <si>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</si>
  <si>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</si>
  <si>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</si>
  <si>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</si>
  <si>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</si>
  <si>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</si>
  <si>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</si>
  <si>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</si>
  <si>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</si>
  <si>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</si>
  <si>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</si>
  <si>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</si>
  <si>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</si>
  <si>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</si>
  <si>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</si>
  <si>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</si>
  <si>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</si>
  <si>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</si>
  <si>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</si>
  <si>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</si>
  <si>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</si>
  <si>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</si>
  <si>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</si>
  <si>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</si>
  <si>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</si>
  <si>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</si>
  <si>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</si>
  <si>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</si>
  <si>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</si>
  <si>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</si>
  <si>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</si>
  <si>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</si>
  <si>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</si>
  <si>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</si>
  <si>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</si>
  <si>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</si>
  <si>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</si>
  <si>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</si>
  <si>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</si>
  <si>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</si>
  <si>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</si>
  <si>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</si>
  <si>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</si>
  <si>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</si>
  <si>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</si>
  <si>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</si>
  <si>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</si>
  <si>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</si>
  <si>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</si>
  <si>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</si>
  <si>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</si>
  <si>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</si>
  <si>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</si>
  <si>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</si>
  <si>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</si>
  <si>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</si>
  <si>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</si>
  <si>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</si>
  <si>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</si>
  <si>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</si>
  <si>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</si>
  <si>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</si>
  <si>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</si>
  <si>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</si>
  <si>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</si>
  <si>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</si>
  <si>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</si>
  <si>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</si>
  <si>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</si>
  <si>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</si>
  <si>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</si>
  <si>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</si>
  <si>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</si>
  <si>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</si>
  <si>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</si>
  <si>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</si>
  <si>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</si>
  <si>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</si>
  <si>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</si>
  <si>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</si>
  <si>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</si>
  <si>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</si>
  <si>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</si>
  <si>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</si>
  <si>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</si>
  <si>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</si>
  <si>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</si>
  <si>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</si>
  <si>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</si>
  <si>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</si>
  <si>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</si>
  <si>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</si>
  <si>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</si>
  <si>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</si>
  <si>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</si>
  <si>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</si>
  <si>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</si>
  <si>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</si>
  <si>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</si>
  <si>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</si>
  <si>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</si>
  <si>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</si>
  <si>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</si>
  <si>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</si>
  <si>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</si>
  <si>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</si>
  <si>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</si>
  <si>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</si>
  <si>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</si>
  <si>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</si>
  <si>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</si>
  <si>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</si>
  <si>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</si>
  <si>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</si>
  <si>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</si>
  <si>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</si>
  <si>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</si>
  <si>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</si>
  <si>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</si>
  <si>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</si>
  <si>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</si>
  <si>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</si>
  <si>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</si>
  <si>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</si>
  <si>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</si>
  <si>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</si>
  <si>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</si>
  <si>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</si>
  <si>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</si>
  <si>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</si>
  <si>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</si>
  <si>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</si>
  <si>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</si>
  <si>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</si>
  <si>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</si>
  <si>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</si>
  <si>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</si>
  <si>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</si>
  <si>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</si>
  <si>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</si>
  <si>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</si>
  <si>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</si>
  <si>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</si>
  <si>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</si>
  <si>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</si>
  <si>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</si>
  <si>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</si>
  <si>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</si>
  <si>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</si>
  <si>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</si>
  <si>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</si>
  <si>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</si>
  <si>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</si>
  <si>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</si>
  <si>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</si>
  <si>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</si>
  <si>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</si>
  <si>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</si>
  <si>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</si>
  <si>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</si>
  <si>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</si>
  <si>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</si>
  <si>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</si>
  <si>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</si>
  <si>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</si>
  <si>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</si>
  <si>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</si>
  <si>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</si>
  <si>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</si>
  <si>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</si>
  <si>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</si>
  <si>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</si>
  <si>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</si>
  <si>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</si>
  <si>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</si>
  <si>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</si>
  <si>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</si>
  <si>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</si>
  <si>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</si>
  <si>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</si>
  <si>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</si>
  <si>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</si>
  <si>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</si>
  <si>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</si>
  <si>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</si>
  <si>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</si>
  <si>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</si>
  <si>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</si>
  <si>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</si>
  <si>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</si>
  <si>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</si>
  <si>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</si>
  <si>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</si>
  <si>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</si>
  <si>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</si>
  <si>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</si>
  <si>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</si>
  <si>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</si>
  <si>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</si>
  <si>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</si>
  <si>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</si>
  <si>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</si>
  <si>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</si>
  <si>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</si>
  <si>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</si>
  <si>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</si>
  <si>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</si>
  <si>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</si>
  <si>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</si>
  <si>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</si>
  <si>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</si>
  <si>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</si>
  <si>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</si>
  <si>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</si>
  <si>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</si>
  <si>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</si>
  <si>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</si>
  <si>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</si>
  <si>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</si>
  <si>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</si>
  <si>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</si>
  <si>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</si>
  <si>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</si>
  <si>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</si>
  <si>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</si>
  <si>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</si>
  <si>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</si>
  <si>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</si>
  <si>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</si>
  <si>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</si>
  <si>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</si>
  <si>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</si>
  <si>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</si>
  <si>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</si>
  <si>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</si>
  <si>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</si>
  <si>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</si>
  <si>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</si>
  <si>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</si>
  <si>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</si>
  <si>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</si>
  <si>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</si>
  <si>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</si>
  <si>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</si>
  <si>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</si>
  <si>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</si>
  <si>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</si>
  <si>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</si>
  <si>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</si>
  <si>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</si>
  <si>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</si>
  <si>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</si>
  <si>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</si>
  <si>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</si>
  <si>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</si>
  <si>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</si>
  <si>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</si>
  <si>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</si>
  <si>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</si>
  <si>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</si>
  <si>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</si>
  <si>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</si>
  <si>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</si>
  <si>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</si>
  <si>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</si>
  <si>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</si>
  <si>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</si>
  <si>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</si>
  <si>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</si>
  <si>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</si>
  <si>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</si>
  <si>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</si>
  <si>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</si>
  <si>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</si>
  <si>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</si>
  <si>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</si>
  <si>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</si>
  <si>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</si>
  <si>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</si>
  <si>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</si>
  <si>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</si>
  <si>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</si>
  <si>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</si>
  <si>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</si>
  <si>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</si>
  <si>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</si>
  <si>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</si>
  <si>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</si>
  <si>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</si>
  <si>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</si>
  <si>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</si>
  <si>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</si>
  <si>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</si>
  <si>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</si>
  <si>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</si>
  <si>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</si>
  <si>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</si>
  <si>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</si>
  <si>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</si>
  <si>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</si>
  <si>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</si>
  <si>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</si>
  <si>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</si>
  <si>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</si>
  <si>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</si>
  <si>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</si>
  <si>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</si>
  <si>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</si>
  <si>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</si>
  <si>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</si>
  <si>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</si>
  <si>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</si>
  <si>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</si>
  <si>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</si>
  <si>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</si>
  <si>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</si>
  <si>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</si>
  <si>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</si>
  <si>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</si>
  <si>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</si>
  <si>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</si>
  <si>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</si>
  <si>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</si>
  <si>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</si>
  <si>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</si>
  <si>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</si>
  <si>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</si>
  <si>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</si>
  <si>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</si>
  <si>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</si>
  <si>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</si>
  <si>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</si>
  <si>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</si>
  <si>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</si>
  <si>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</si>
  <si>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</si>
  <si>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</si>
  <si>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</si>
  <si>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</si>
  <si>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</si>
  <si>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</si>
  <si>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</si>
  <si>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</si>
  <si>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</si>
  <si>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</si>
  <si>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</si>
  <si>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</si>
  <si>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</si>
  <si>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</si>
  <si>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</si>
  <si>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</si>
  <si>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</si>
  <si>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</si>
  <si>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</si>
  <si>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</si>
  <si>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</si>
  <si>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</si>
  <si>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</si>
  <si>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</si>
  <si>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</si>
  <si>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</si>
  <si>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</si>
  <si>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</si>
  <si>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</si>
  <si>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</si>
  <si>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</si>
  <si>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</si>
  <si>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</si>
  <si>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</si>
  <si>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</si>
  <si>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</si>
  <si>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</si>
  <si>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</si>
  <si>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</si>
  <si>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</si>
  <si>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</si>
  <si>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</si>
  <si>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</si>
  <si>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</si>
  <si>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</si>
  <si>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</si>
  <si>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</si>
  <si>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</si>
  <si>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</si>
  <si>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</si>
  <si>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</si>
  <si>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</si>
  <si>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</si>
  <si>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</si>
  <si>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</si>
  <si>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</si>
  <si>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</si>
  <si>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</si>
  <si>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</si>
  <si>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</si>
  <si>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</si>
  <si>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</si>
  <si>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</si>
  <si>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</si>
  <si>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</si>
  <si>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</si>
  <si>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</si>
  <si>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</si>
  <si>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</si>
  <si>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</si>
  <si>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</si>
  <si>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</si>
  <si>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</si>
  <si>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</si>
  <si>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</si>
  <si>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</si>
  <si>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</si>
  <si>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</si>
  <si>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</si>
  <si>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</si>
  <si>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</si>
  <si>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</si>
  <si>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</si>
  <si>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</si>
  <si>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</si>
  <si>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</si>
  <si>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</si>
  <si>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</si>
  <si>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</si>
  <si>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</si>
  <si>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</si>
  <si>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</si>
  <si>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</si>
  <si>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</si>
  <si>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</si>
  <si>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</si>
  <si>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</si>
  <si>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</si>
  <si>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</si>
  <si>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</si>
  <si>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</si>
  <si>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</si>
  <si>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</si>
  <si>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</si>
  <si>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</si>
  <si>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</si>
  <si>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</si>
  <si>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</si>
  <si>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</si>
  <si>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</si>
  <si>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</si>
  <si>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</si>
  <si>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</si>
  <si>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</si>
  <si>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</si>
  <si>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</si>
  <si>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</si>
  <si>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</si>
  <si>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</si>
  <si>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</si>
  <si>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</si>
  <si>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</si>
  <si>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</si>
  <si>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</si>
  <si>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</si>
  <si>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</si>
  <si>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</si>
  <si>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</si>
  <si>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</si>
  <si>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</si>
  <si>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</si>
  <si>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</si>
  <si>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</si>
  <si>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</si>
  <si>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</si>
  <si>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</si>
  <si>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</si>
  <si>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</si>
  <si>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</si>
  <si>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</si>
  <si>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</si>
  <si>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</si>
  <si>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</si>
  <si>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</si>
  <si>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</si>
  <si>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</si>
  <si>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</si>
  <si>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</si>
  <si>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</si>
  <si>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</si>
  <si>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</si>
  <si>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</si>
  <si>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</si>
  <si>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</si>
  <si>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</si>
  <si>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</si>
  <si>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</si>
  <si>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</si>
  <si>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</si>
  <si>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</si>
  <si>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</si>
  <si>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</si>
  <si>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</si>
  <si>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</si>
  <si>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</si>
  <si>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</si>
  <si>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</si>
  <si>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</si>
  <si>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</si>
  <si>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</si>
  <si>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</si>
  <si>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</si>
  <si>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</si>
  <si>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</si>
  <si>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</si>
  <si>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</si>
  <si>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</si>
  <si>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</si>
  <si>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</si>
  <si>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</si>
  <si>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</si>
  <si>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</si>
  <si>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</si>
  <si>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</si>
  <si>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</si>
  <si>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</si>
  <si>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</si>
  <si>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</si>
  <si>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</si>
  <si>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</si>
  <si>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</si>
  <si>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</si>
  <si>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</si>
  <si>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</si>
  <si>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</si>
  <si>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</si>
  <si>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</si>
  <si>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</si>
  <si>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</si>
  <si>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</si>
  <si>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</si>
  <si>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</si>
  <si>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</si>
  <si>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</si>
  <si>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</si>
  <si>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</si>
  <si>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</si>
  <si>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</si>
  <si>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</si>
  <si>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</si>
  <si>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</si>
  <si>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</si>
  <si>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</si>
  <si>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</si>
  <si>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</si>
  <si>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</si>
  <si>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</si>
  <si>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</si>
  <si>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</si>
  <si>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</si>
  <si>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</si>
  <si>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</si>
  <si>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</si>
  <si>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</si>
  <si>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</si>
  <si>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</si>
  <si>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</si>
  <si>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</si>
  <si>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</si>
  <si>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</si>
  <si>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</si>
  <si>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</si>
  <si>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</si>
  <si>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</si>
  <si>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</si>
  <si>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</si>
  <si>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</si>
  <si>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</si>
  <si>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</si>
  <si>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</si>
  <si>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</si>
  <si>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</si>
  <si>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</si>
  <si>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</si>
  <si>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</si>
  <si>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</si>
  <si>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</si>
  <si>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</si>
  <si>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</si>
  <si>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</si>
  <si>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</si>
  <si>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</si>
  <si>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</si>
  <si>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</si>
  <si>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</si>
  <si>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</si>
  <si>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</si>
  <si>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</si>
  <si>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</si>
  <si>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</si>
  <si>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</si>
  <si>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</si>
  <si>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</si>
  <si>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</si>
  <si>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</si>
  <si>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</si>
  <si>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</si>
  <si>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</si>
  <si>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</si>
  <si>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</si>
  <si>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</si>
  <si>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</si>
  <si>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</si>
  <si>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</si>
  <si>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</si>
  <si>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</si>
  <si>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</si>
  <si>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</si>
  <si>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</si>
  <si>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</si>
  <si>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</si>
  <si>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</si>
  <si>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</si>
  <si>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</si>
  <si>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</si>
  <si>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</si>
  <si>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</si>
  <si>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</si>
  <si>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</si>
  <si>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</si>
  <si>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</si>
  <si>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</si>
  <si>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</si>
  <si>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</si>
  <si>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</si>
  <si>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</si>
  <si>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</si>
  <si>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</si>
  <si>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</si>
  <si>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</si>
  <si>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</si>
  <si>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</si>
  <si>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</si>
  <si>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</si>
  <si>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</si>
  <si>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</si>
  <si>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</si>
  <si>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</si>
  <si>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</si>
  <si>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</si>
  <si>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</si>
  <si>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</si>
  <si>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</si>
  <si>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</si>
  <si>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</si>
  <si>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</si>
  <si>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</si>
  <si>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</si>
  <si>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</si>
  <si>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</si>
  <si>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</si>
  <si>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</si>
  <si>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</si>
  <si>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</si>
  <si>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</si>
  <si>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</si>
  <si>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</si>
  <si>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</si>
  <si>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</si>
  <si>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</si>
  <si>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</si>
  <si>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</si>
  <si>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</si>
  <si>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</si>
  <si>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</si>
  <si>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</si>
  <si>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</si>
  <si>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</si>
  <si>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</si>
  <si>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</si>
  <si>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</si>
  <si>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</si>
  <si>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</si>
  <si>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</si>
  <si>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</si>
  <si>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</si>
  <si>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</si>
  <si>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</si>
  <si>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</si>
  <si>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</si>
  <si>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</si>
  <si>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</si>
  <si>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</si>
  <si>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</si>
  <si>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</si>
  <si>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</si>
  <si>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</si>
  <si>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</si>
  <si>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</si>
  <si>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</si>
  <si>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</si>
  <si>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</si>
  <si>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</si>
  <si>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</si>
  <si>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</si>
  <si>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</si>
  <si>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</si>
  <si>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</si>
  <si>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</si>
  <si>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</si>
  <si>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</si>
  <si>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</si>
  <si>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</si>
  <si>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</si>
  <si>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</si>
  <si>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</si>
  <si>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</si>
  <si>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</si>
  <si>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</si>
  <si>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</si>
  <si>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</si>
  <si>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</si>
  <si>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</si>
  <si>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</si>
  <si>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</si>
  <si>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</si>
  <si>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</si>
  <si>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</si>
  <si>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</si>
  <si>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</si>
  <si>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</si>
  <si>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</si>
  <si>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</si>
  <si>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</si>
  <si>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</si>
  <si>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</si>
  <si>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</si>
  <si>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</si>
  <si>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</si>
  <si>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</si>
  <si>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</si>
  <si>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</si>
  <si>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</si>
  <si>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</si>
  <si>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</si>
  <si>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</si>
  <si>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</si>
  <si>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</si>
  <si>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</si>
  <si>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</si>
  <si>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</si>
  <si>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</si>
  <si>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</si>
  <si>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</si>
  <si>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</si>
  <si>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</si>
  <si>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</si>
  <si>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</si>
  <si>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</si>
  <si>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</si>
  <si>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</si>
  <si>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</si>
  <si>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</si>
  <si>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</si>
  <si>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</si>
  <si>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</si>
  <si>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</si>
  <si>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</si>
  <si>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</si>
  <si>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</si>
  <si>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</si>
  <si>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</si>
  <si>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</si>
  <si>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</si>
  <si>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</si>
  <si>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</si>
  <si>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</si>
  <si>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</si>
  <si>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</si>
  <si>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</si>
  <si>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</si>
  <si>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</si>
  <si>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</si>
  <si>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</si>
  <si>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</si>
  <si>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</si>
  <si>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</si>
  <si>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</si>
  <si>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</si>
  <si>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</si>
  <si>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</si>
  <si>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</si>
  <si>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</si>
  <si>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</si>
  <si>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</si>
  <si>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</si>
  <si>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</si>
  <si>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</si>
  <si>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</si>
  <si>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</si>
  <si>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</si>
  <si>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</si>
  <si>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</si>
  <si>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</si>
  <si>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</si>
  <si>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</si>
  <si>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</si>
  <si>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</si>
  <si>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</si>
  <si>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</si>
  <si>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</si>
  <si>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</si>
  <si>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</si>
  <si>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</si>
  <si>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</si>
  <si>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</si>
  <si>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</si>
  <si>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</si>
  <si>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</si>
  <si>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</si>
  <si>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</si>
  <si>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</si>
  <si>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</si>
  <si>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</si>
  <si>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</si>
  <si>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</si>
  <si>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</si>
  <si>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</si>
  <si>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</si>
  <si>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</si>
  <si>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</si>
  <si>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</si>
  <si>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</si>
  <si>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</si>
  <si>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</si>
  <si>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</si>
  <si>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</si>
  <si>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</si>
  <si>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</si>
  <si>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</si>
  <si>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</si>
  <si>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</si>
  <si>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</si>
  <si>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</si>
  <si>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</si>
  <si>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</si>
  <si>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</si>
  <si>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</si>
  <si>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</si>
  <si>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</si>
  <si>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</si>
  <si>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</si>
  <si>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</si>
  <si>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</si>
  <si>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</si>
  <si>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</si>
  <si>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</si>
  <si>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</si>
  <si>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</si>
  <si>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</si>
  <si>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</si>
  <si>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</si>
  <si>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</si>
  <si>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</si>
  <si>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</si>
  <si>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</si>
  <si>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</si>
  <si>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</si>
  <si>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</si>
  <si>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</si>
  <si>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</si>
  <si>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</si>
  <si>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</si>
  <si>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</si>
  <si>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</si>
  <si>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</si>
  <si>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</si>
  <si>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</si>
  <si>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</si>
  <si>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</si>
  <si>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</si>
  <si>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</si>
  <si>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</si>
  <si>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</si>
  <si>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</si>
  <si>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</si>
  <si>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</si>
  <si>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</si>
  <si>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</si>
  <si>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</si>
  <si>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</si>
  <si>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</si>
  <si>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</si>
  <si>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</si>
  <si>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</si>
  <si>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</si>
  <si>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</si>
  <si>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</si>
  <si>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</si>
  <si>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</si>
  <si>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</si>
  <si>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</si>
  <si>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</si>
  <si>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</si>
  <si>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</si>
  <si>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</si>
  <si>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</si>
  <si>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</si>
  <si>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</si>
  <si>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</si>
  <si>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</si>
  <si>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</si>
  <si>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</si>
  <si>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</si>
  <si>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</si>
  <si>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</si>
  <si>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</si>
  <si>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</si>
  <si>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</si>
  <si>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</si>
  <si>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</si>
  <si>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</si>
  <si>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</si>
  <si>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</si>
  <si>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</si>
  <si>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</si>
  <si>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</si>
  <si>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</si>
  <si>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</si>
  <si>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</si>
  <si>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</si>
  <si>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</si>
  <si>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</si>
  <si>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</si>
  <si>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</si>
  <si>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</si>
  <si>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</si>
  <si>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</si>
  <si>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</si>
  <si>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</si>
  <si>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</si>
  <si>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</si>
  <si>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</si>
  <si>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</si>
  <si>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</si>
  <si>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</si>
  <si>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</si>
  <si>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</si>
  <si>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</si>
  <si>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</si>
  <si>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</si>
  <si>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</si>
  <si>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</si>
  <si>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</si>
  <si>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</si>
  <si>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</si>
  <si>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</si>
  <si>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</si>
  <si>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</si>
  <si>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</si>
  <si>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</si>
  <si>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</si>
  <si>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</si>
  <si>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</si>
  <si>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</si>
  <si>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</si>
  <si>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</si>
  <si>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</si>
  <si>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</si>
  <si>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</si>
  <si>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</si>
  <si>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</si>
  <si>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</si>
  <si>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</si>
  <si>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</si>
  <si>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</si>
  <si>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</si>
  <si>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</si>
  <si>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</si>
  <si>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</si>
  <si>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</si>
  <si>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</si>
  <si>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</si>
  <si>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</si>
  <si>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</si>
  <si>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</si>
  <si>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</si>
  <si>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</si>
  <si>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</si>
  <si>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</si>
  <si>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</si>
  <si>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</si>
  <si>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</si>
  <si>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</si>
  <si>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</si>
  <si>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</si>
  <si>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</si>
  <si>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</si>
  <si>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</si>
  <si>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</si>
  <si>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</si>
  <si>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</si>
  <si>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</si>
  <si>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</si>
  <si>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</si>
  <si>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</si>
  <si>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</si>
  <si>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</si>
  <si>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</si>
  <si>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</si>
  <si>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</si>
  <si>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</si>
  <si>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</si>
  <si>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</si>
  <si>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</si>
  <si>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</si>
  <si>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</si>
  <si>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</si>
  <si>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</si>
  <si>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</si>
  <si>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</si>
  <si>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</si>
  <si>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</si>
  <si>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</si>
  <si>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</si>
  <si>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</si>
  <si>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</si>
  <si>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</si>
  <si>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</si>
  <si>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</si>
  <si>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</si>
  <si>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</si>
  <si>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</si>
  <si>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</si>
  <si>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</si>
  <si>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</si>
  <si>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</si>
  <si>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</si>
  <si>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</si>
  <si>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</si>
  <si>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</si>
  <si>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</si>
  <si>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</si>
  <si>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</si>
  <si>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</si>
  <si>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</si>
  <si>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</si>
  <si>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</si>
  <si>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</si>
  <si>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</si>
  <si>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</si>
  <si>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</si>
  <si>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</si>
  <si>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</si>
  <si>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</si>
  <si>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</si>
  <si>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</si>
  <si>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</si>
  <si>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</si>
  <si>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</si>
  <si>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</si>
  <si>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</si>
  <si>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</si>
  <si>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</si>
  <si>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</si>
  <si>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</si>
  <si>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</si>
  <si>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</si>
  <si>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</si>
  <si>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</si>
  <si>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</si>
  <si>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</si>
  <si>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</si>
  <si>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</si>
  <si>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</si>
  <si>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</si>
  <si>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</si>
  <si>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</si>
  <si>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</si>
  <si>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</si>
  <si>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</si>
  <si>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</si>
  <si>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</si>
  <si>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</si>
  <si>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</si>
  <si>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</si>
  <si>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</si>
  <si>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</si>
  <si>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</si>
  <si>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</si>
  <si>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</si>
  <si>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</si>
  <si>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</si>
  <si>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</si>
  <si>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</si>
  <si>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</si>
  <si>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</si>
  <si>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</si>
  <si>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</si>
  <si>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</si>
  <si>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</si>
  <si>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</si>
  <si>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</si>
  <si>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</si>
  <si>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</si>
  <si>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</si>
  <si>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</si>
  <si>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</si>
  <si>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</si>
  <si>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</si>
  <si>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</si>
  <si>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</si>
  <si>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</si>
  <si>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</si>
  <si>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</si>
  <si>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</si>
  <si>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</si>
  <si>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</si>
  <si>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</si>
  <si>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</si>
  <si>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</si>
  <si>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</si>
  <si>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</si>
  <si>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</si>
  <si>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</si>
  <si>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</si>
  <si>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</si>
  <si>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</si>
  <si>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</si>
  <si>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</si>
  <si>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</si>
  <si>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</si>
  <si>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</si>
  <si>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</si>
  <si>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</si>
  <si>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</si>
  <si>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</si>
  <si>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</si>
  <si>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</si>
  <si>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</si>
  <si>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</si>
  <si>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</si>
  <si>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</si>
  <si>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</si>
  <si>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</si>
  <si>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</si>
  <si>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</si>
  <si>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</si>
  <si>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</si>
  <si>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</si>
  <si>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</si>
  <si>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</si>
  <si>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</si>
  <si>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</si>
  <si>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</si>
  <si>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</si>
  <si>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</si>
  <si>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</si>
  <si>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</si>
  <si>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</si>
  <si>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</si>
  <si>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</si>
  <si>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</si>
  <si>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</si>
  <si>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</si>
  <si>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</si>
  <si>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</si>
  <si>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</si>
  <si>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</si>
  <si>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</si>
  <si>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</si>
  <si>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</si>
  <si>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</si>
  <si>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</si>
  <si>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</si>
  <si>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</si>
  <si>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</si>
  <si>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</si>
  <si>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</si>
  <si>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</si>
  <si>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</si>
  <si>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</si>
  <si>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</si>
  <si>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</si>
  <si>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</si>
  <si>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</si>
  <si>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</si>
  <si>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</si>
  <si>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</si>
  <si>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</si>
  <si>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</si>
  <si>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</si>
  <si>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</si>
  <si>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</si>
  <si>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</si>
  <si>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</si>
  <si>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</si>
  <si>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</si>
  <si>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</si>
  <si>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</si>
  <si>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</si>
  <si>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</si>
  <si>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</si>
  <si>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</si>
  <si>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</si>
  <si>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</si>
  <si>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</si>
  <si>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</si>
  <si>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</si>
  <si>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</si>
  <si>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</si>
  <si>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</si>
  <si>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</si>
  <si>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</si>
  <si>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</si>
  <si>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</si>
  <si>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</si>
  <si>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</si>
  <si>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</si>
  <si>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</si>
  <si>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</si>
  <si>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</si>
  <si>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</si>
  <si>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</si>
  <si>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</si>
  <si>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</si>
  <si>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</si>
  <si>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</si>
  <si>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</si>
  <si>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</si>
  <si>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</si>
  <si>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</si>
  <si>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</si>
  <si>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</si>
  <si>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</si>
  <si>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</si>
  <si>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</si>
  <si>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</si>
  <si>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</si>
  <si>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</si>
  <si>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</si>
  <si>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</si>
  <si>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</si>
  <si>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</si>
  <si>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</si>
  <si>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</si>
  <si>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</si>
  <si>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</si>
  <si>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</si>
  <si>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</si>
  <si>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</si>
  <si>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</si>
  <si>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</si>
  <si>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</si>
  <si>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</si>
  <si>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</si>
  <si>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</si>
  <si>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</si>
  <si>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</si>
  <si>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</si>
  <si>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</si>
  <si>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</si>
  <si>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</si>
  <si>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</si>
  <si>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</si>
  <si>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</si>
  <si>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</si>
  <si>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</si>
  <si>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</si>
  <si>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</si>
  <si>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</si>
  <si>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</si>
  <si>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</si>
  <si>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</si>
  <si>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</si>
  <si>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</si>
  <si>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</si>
  <si>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</si>
  <si>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</si>
  <si>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</si>
  <si>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</si>
  <si>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</si>
  <si>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</si>
  <si>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</si>
  <si>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</si>
  <si>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</si>
  <si>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</si>
  <si>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</si>
  <si>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</si>
  <si>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</si>
  <si>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</si>
  <si>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</si>
  <si>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</si>
  <si>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</si>
  <si>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</si>
  <si>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</si>
  <si>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</si>
  <si>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</si>
  <si>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</si>
  <si>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</si>
  <si>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</si>
  <si>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</si>
  <si>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</si>
  <si>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</si>
  <si>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</si>
  <si>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</si>
  <si>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</si>
  <si>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</si>
  <si>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</si>
  <si>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</si>
  <si>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</si>
  <si>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</si>
  <si>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</si>
  <si>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</si>
  <si>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</si>
  <si>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</si>
  <si>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</si>
  <si>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</si>
  <si>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</si>
  <si>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</si>
  <si>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</si>
  <si>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</si>
  <si>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</si>
  <si>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</si>
  <si>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</si>
  <si>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</si>
  <si>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</si>
  <si>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</si>
  <si>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</si>
  <si>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</si>
  <si>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</si>
  <si>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</si>
  <si>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</si>
  <si>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</si>
  <si>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</si>
  <si>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</si>
  <si>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</si>
  <si>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</si>
  <si>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</si>
  <si>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</si>
  <si>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</si>
  <si>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</si>
  <si>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</si>
  <si>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</si>
  <si>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</si>
  <si>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</si>
  <si>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</si>
  <si>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</si>
  <si>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</si>
  <si>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</si>
  <si>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</si>
  <si>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</si>
  <si>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</si>
  <si>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</si>
  <si>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</si>
  <si>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</si>
  <si>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</si>
  <si>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</si>
  <si>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</si>
  <si>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</si>
  <si>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</si>
  <si>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</si>
  <si>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</si>
  <si>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</si>
  <si>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</si>
  <si>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</si>
  <si>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</si>
  <si>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</si>
  <si>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</si>
  <si>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</si>
  <si>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</si>
  <si>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</si>
  <si>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</si>
  <si>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</si>
  <si>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</si>
  <si>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</si>
  <si>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</si>
  <si>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</si>
  <si>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</si>
  <si>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</si>
  <si>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</si>
  <si>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</si>
  <si>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</si>
  <si>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</si>
  <si>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</si>
  <si>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</si>
  <si>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</si>
  <si>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</si>
  <si>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</si>
  <si>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</si>
  <si>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</si>
  <si>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</si>
  <si>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</si>
  <si>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</si>
  <si>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</si>
  <si>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</si>
  <si>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</si>
  <si>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</si>
  <si>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</si>
  <si>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</si>
  <si>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</si>
  <si>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</si>
  <si>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</si>
  <si>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</si>
  <si>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</si>
  <si>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</si>
  <si>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</si>
  <si>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</si>
  <si>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</si>
  <si>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</si>
  <si>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</si>
  <si>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</si>
  <si>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</si>
  <si>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</si>
  <si>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</si>
  <si>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</si>
  <si>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</si>
  <si>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</si>
  <si>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</si>
  <si>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</si>
  <si>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</si>
  <si>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</si>
  <si>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</si>
  <si>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</si>
  <si>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</si>
  <si>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</si>
  <si>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</si>
  <si>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</si>
  <si>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</si>
  <si>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</si>
  <si>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</si>
  <si>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</si>
  <si>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</si>
  <si>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</si>
  <si>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</si>
  <si>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</si>
  <si>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</si>
  <si>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</si>
  <si>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</si>
  <si>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</si>
  <si>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</si>
  <si>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</si>
  <si>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</si>
  <si>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</si>
  <si>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</si>
  <si>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</si>
  <si>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</si>
  <si>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</si>
  <si>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</si>
  <si>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</si>
  <si>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</si>
  <si>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</si>
  <si>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</si>
  <si>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</si>
  <si>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</si>
  <si>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</si>
  <si>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</si>
  <si>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</si>
  <si>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</si>
  <si>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</si>
  <si>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</si>
  <si>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</si>
  <si>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</si>
  <si>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</si>
  <si>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</si>
  <si>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</si>
  <si>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</si>
  <si>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</si>
  <si>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</si>
  <si>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</si>
  <si>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</si>
  <si>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</si>
  <si>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</si>
  <si>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</si>
  <si>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</si>
  <si>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</si>
  <si>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</si>
  <si>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</si>
  <si>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</si>
  <si>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</si>
  <si>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</si>
  <si>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</si>
  <si>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</si>
  <si>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</si>
  <si>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</si>
  <si>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</si>
  <si>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</si>
  <si>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</si>
  <si>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</si>
  <si>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</si>
  <si>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</si>
  <si>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</si>
  <si>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</si>
  <si>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</si>
  <si>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</si>
  <si>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</si>
  <si>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</si>
  <si>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</si>
  <si>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</si>
  <si>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</si>
  <si>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</si>
  <si>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</si>
  <si>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</si>
  <si>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</si>
  <si>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</si>
  <si>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</si>
  <si>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</si>
  <si>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</si>
  <si>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</si>
  <si>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</si>
  <si>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</si>
  <si>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</si>
  <si>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</si>
  <si>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</si>
  <si>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</si>
  <si>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</si>
  <si>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</si>
  <si>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</si>
  <si>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</si>
  <si>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</si>
  <si>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</si>
  <si>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</si>
  <si>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</si>
  <si>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</si>
  <si>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</si>
  <si>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</si>
  <si>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</si>
  <si>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</si>
  <si>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</si>
  <si>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</si>
  <si>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</si>
  <si>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</si>
  <si>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</si>
  <si>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</si>
  <si>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</si>
  <si>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</si>
  <si>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</si>
  <si>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</si>
  <si>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</si>
  <si>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</si>
  <si>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</si>
  <si>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</si>
  <si>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</si>
  <si>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</si>
  <si>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</si>
  <si>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</si>
  <si>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</si>
  <si>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</si>
  <si>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</si>
  <si>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</si>
  <si>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</si>
  <si>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</si>
  <si>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</si>
  <si>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</si>
  <si>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</si>
  <si>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</si>
  <si>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</si>
  <si>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</si>
  <si>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</si>
  <si>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</si>
  <si>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</si>
  <si>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</si>
  <si>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</si>
  <si>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</si>
  <si>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</si>
  <si>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</si>
  <si>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</si>
  <si>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</si>
  <si>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</si>
  <si>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</si>
  <si>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</si>
  <si>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</si>
  <si>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</si>
  <si>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</si>
  <si>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</si>
  <si>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</si>
  <si>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</si>
  <si>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</si>
  <si>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</si>
  <si>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</si>
  <si>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</si>
  <si>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</si>
  <si>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</si>
  <si>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</si>
  <si>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</si>
  <si>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</si>
  <si>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</si>
  <si>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</si>
  <si>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</si>
  <si>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</si>
  <si>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</si>
  <si>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</si>
  <si>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</si>
  <si>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</si>
  <si>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</si>
  <si>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</si>
  <si>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</si>
  <si>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</si>
  <si>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</si>
  <si>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</si>
  <si>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</si>
  <si>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</si>
  <si>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</si>
  <si>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</si>
  <si>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</si>
  <si>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</si>
  <si>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</si>
  <si>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</si>
  <si>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</si>
  <si>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</si>
  <si>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</si>
  <si>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</si>
  <si>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</si>
  <si>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</si>
  <si>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</si>
  <si>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</si>
  <si>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</si>
  <si>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</si>
  <si>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</si>
  <si>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</si>
  <si>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</si>
  <si>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</si>
  <si>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</si>
  <si>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</si>
  <si>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</si>
  <si>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</si>
  <si>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</si>
  <si>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</si>
  <si>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</si>
  <si>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</si>
  <si>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</si>
  <si>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</si>
  <si>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</si>
  <si>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</si>
  <si>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</si>
  <si>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</si>
  <si>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</si>
  <si>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</si>
  <si>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</si>
  <si>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</si>
  <si>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</si>
  <si>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</si>
  <si>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</si>
  <si>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</si>
  <si>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</si>
  <si>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</si>
  <si>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</si>
  <si>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</si>
  <si>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</si>
  <si>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</si>
  <si>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</si>
  <si>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</si>
  <si>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</si>
  <si>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</si>
  <si>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</si>
  <si>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</si>
  <si>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</si>
  <si>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</si>
  <si>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</si>
  <si>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</si>
  <si>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</si>
  <si>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</si>
  <si>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</si>
  <si>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</si>
  <si>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</si>
  <si>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</si>
  <si>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</si>
  <si>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</si>
  <si>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</si>
  <si>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</si>
  <si>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</si>
  <si>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</si>
  <si>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</si>
  <si>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</si>
  <si>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</si>
  <si>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</si>
  <si>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</si>
  <si>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</si>
  <si>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</si>
  <si>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</si>
  <si>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</si>
  <si>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</si>
  <si>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</si>
  <si>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</si>
  <si>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</si>
  <si>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</si>
  <si>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</si>
  <si>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</si>
  <si>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</si>
  <si>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</si>
  <si>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</si>
  <si>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</si>
  <si>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</si>
  <si>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</si>
  <si>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</si>
  <si>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</si>
  <si>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</si>
  <si>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</si>
  <si>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</si>
  <si>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</si>
  <si>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</si>
  <si>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</si>
  <si>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</si>
  <si>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</si>
  <si>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</si>
  <si>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</si>
  <si>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</si>
  <si>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</si>
  <si>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</si>
  <si>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</si>
  <si>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</si>
  <si>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</si>
  <si>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</si>
  <si>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</si>
  <si>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</si>
  <si>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</si>
  <si>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</si>
  <si>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</si>
  <si>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</si>
  <si>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</si>
  <si>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</si>
  <si>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</si>
  <si>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</si>
  <si>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</si>
  <si>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</si>
  <si>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</si>
  <si>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</si>
  <si>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</si>
  <si>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</si>
  <si>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</si>
  <si>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</si>
  <si>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</si>
  <si>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</si>
  <si>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</si>
  <si>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</si>
  <si>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</si>
  <si>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</si>
  <si>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</si>
  <si>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</si>
  <si>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</si>
  <si>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</si>
  <si>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</si>
  <si>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</si>
  <si>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</si>
  <si>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</si>
  <si>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</si>
  <si>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</si>
  <si>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</si>
  <si>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</si>
  <si>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</si>
  <si>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</si>
  <si>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</si>
  <si>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</si>
  <si>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</si>
  <si>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</si>
  <si>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</si>
  <si>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</si>
  <si>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</si>
  <si>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</si>
  <si>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</si>
  <si>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</si>
  <si>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</si>
  <si>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</si>
  <si>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</si>
  <si>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</si>
  <si>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</si>
  <si>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</si>
  <si>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</si>
  <si>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</si>
  <si>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</si>
  <si>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</si>
  <si>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</si>
  <si>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</si>
  <si>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</si>
  <si>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</si>
  <si>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</si>
  <si>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</si>
  <si>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</si>
  <si>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</si>
  <si>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</si>
  <si>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</si>
  <si>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</si>
  <si>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</si>
  <si>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</si>
  <si>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</si>
  <si>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</si>
  <si>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</si>
  <si>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</si>
  <si>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</si>
  <si>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</si>
  <si>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</si>
  <si>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</si>
  <si>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</si>
  <si>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</si>
  <si>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</si>
  <si>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</si>
  <si>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</si>
  <si>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</si>
  <si>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</si>
  <si>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</si>
  <si>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</si>
  <si>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</si>
  <si>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</si>
  <si>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</si>
  <si>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</si>
  <si>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</si>
  <si>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</si>
  <si>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</si>
  <si>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</si>
  <si>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</si>
  <si>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</si>
  <si>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</si>
  <si>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</si>
  <si>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</si>
  <si>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</si>
  <si>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</si>
  <si>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</si>
  <si>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</si>
  <si>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</si>
  <si>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</si>
  <si>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</si>
  <si>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</si>
  <si>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</si>
  <si>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</si>
  <si>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</si>
  <si>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</si>
  <si>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</si>
  <si>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</si>
  <si>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</si>
  <si>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</si>
  <si>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</si>
  <si>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</si>
  <si>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</si>
  <si>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</si>
  <si>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</si>
  <si>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</si>
  <si>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</si>
  <si>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</si>
  <si>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</si>
  <si>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</si>
  <si>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</si>
  <si>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</si>
  <si>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</si>
  <si>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</si>
  <si>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</si>
  <si>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</si>
  <si>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</si>
  <si>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</si>
  <si>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</si>
  <si>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</si>
  <si>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</si>
  <si>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</si>
  <si>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</si>
  <si>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</si>
  <si>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</si>
  <si>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</si>
  <si>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</si>
  <si>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</si>
  <si>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</si>
  <si>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</si>
  <si>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</si>
  <si>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</si>
  <si>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</si>
  <si>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</si>
  <si>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</si>
  <si>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</si>
  <si>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</si>
  <si>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</si>
  <si>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</si>
  <si>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</si>
  <si>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</si>
  <si>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</si>
  <si>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</si>
  <si>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</si>
  <si>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</si>
  <si>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</si>
  <si>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</si>
  <si>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</si>
  <si>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</si>
  <si>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</si>
  <si>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</si>
  <si>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</si>
  <si>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</si>
  <si>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</si>
  <si>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</si>
  <si>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</si>
  <si>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</si>
  <si>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</si>
  <si>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</si>
  <si>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</si>
  <si>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</si>
  <si>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</si>
  <si>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</si>
  <si>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</si>
  <si>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</si>
  <si>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</si>
  <si>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</si>
  <si>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</si>
  <si>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</si>
  <si>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</si>
  <si>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</si>
  <si>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</si>
  <si>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</si>
  <si>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</si>
  <si>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</si>
  <si>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</si>
  <si>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</si>
  <si>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</si>
  <si>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</si>
  <si>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</si>
  <si>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</si>
  <si>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</si>
  <si>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</si>
  <si>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</si>
  <si>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</si>
  <si>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</si>
  <si>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</si>
  <si>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</si>
  <si>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</si>
  <si>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</si>
  <si>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</si>
  <si>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</si>
  <si>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</si>
  <si>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</si>
  <si>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</si>
  <si>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</si>
  <si>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</si>
  <si>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</si>
  <si>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</si>
  <si>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</si>
  <si>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</si>
  <si>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</si>
  <si>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</si>
  <si>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</si>
  <si>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</si>
  <si>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</si>
  <si>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</si>
  <si>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</si>
  <si>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</si>
  <si>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</si>
  <si>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</si>
  <si>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</si>
  <si>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</si>
  <si>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</si>
  <si>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</si>
  <si>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</si>
  <si>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</si>
  <si>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</si>
  <si>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</si>
  <si>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</si>
  <si>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</si>
  <si>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</si>
  <si>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</si>
  <si>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</si>
  <si>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</si>
  <si>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</si>
  <si>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</si>
  <si>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</si>
  <si>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</si>
  <si>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</si>
  <si>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</si>
  <si>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</si>
  <si>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</si>
  <si>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</si>
  <si>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</si>
  <si>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</si>
  <si>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</si>
  <si>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</si>
  <si>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</si>
  <si>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</si>
  <si>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</si>
  <si>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</si>
  <si>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</si>
  <si>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</si>
  <si>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</si>
  <si>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</si>
  <si>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</si>
  <si>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</si>
  <si>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</si>
  <si>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</si>
  <si>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</si>
  <si>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</si>
  <si>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</si>
  <si>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</si>
  <si>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</si>
  <si>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</si>
  <si>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</si>
  <si>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</si>
  <si>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</si>
  <si>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</si>
  <si>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</si>
  <si>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</si>
  <si>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</si>
  <si>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</si>
  <si>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</si>
  <si>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</si>
  <si>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</si>
  <si>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</si>
  <si>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</si>
  <si>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</si>
  <si>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</si>
  <si>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</si>
  <si>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</si>
  <si>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</si>
  <si>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</si>
  <si>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</si>
  <si>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</si>
  <si>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</si>
  <si>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</si>
  <si>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</si>
  <si>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</si>
  <si>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</si>
  <si>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</si>
  <si>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</si>
  <si>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</si>
  <si>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</si>
  <si>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</si>
  <si>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</si>
  <si>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</si>
  <si>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</si>
  <si>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</si>
  <si>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</si>
  <si>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</si>
  <si>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</si>
  <si>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</si>
  <si>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</si>
  <si>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</si>
  <si>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</si>
  <si>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</si>
  <si>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</si>
  <si>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</si>
  <si>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</si>
  <si>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</si>
  <si>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</si>
  <si>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</si>
  <si>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</si>
  <si>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</si>
  <si>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</si>
  <si>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</si>
  <si>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</si>
  <si>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</si>
  <si>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</si>
  <si>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</si>
  <si>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</si>
  <si>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</si>
  <si>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</si>
  <si>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</si>
  <si>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</si>
  <si>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</si>
  <si>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</si>
  <si>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</si>
  <si>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</si>
  <si>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</si>
  <si>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</si>
  <si>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</si>
  <si>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</si>
  <si>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</si>
  <si>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</si>
  <si>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</si>
  <si>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</si>
  <si>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</si>
  <si>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</si>
  <si>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</si>
  <si>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</si>
  <si>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</si>
  <si>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</si>
  <si>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</si>
  <si>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</si>
  <si>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</si>
  <si>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</si>
  <si>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</si>
  <si>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</si>
  <si>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</si>
  <si>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</si>
  <si>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</si>
  <si>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</si>
  <si>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</si>
  <si>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</si>
  <si>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</si>
  <si>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</si>
  <si>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</si>
  <si>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</si>
  <si>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</si>
  <si>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</si>
  <si>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</si>
  <si>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</si>
  <si>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</si>
  <si>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</si>
  <si>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</si>
  <si>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</si>
  <si>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</si>
  <si>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</si>
  <si>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</si>
  <si>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</si>
  <si>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</si>
  <si>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</si>
  <si>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</si>
  <si>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</si>
  <si>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</si>
  <si>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</si>
  <si>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</si>
  <si>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</si>
  <si>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</si>
  <si>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</si>
  <si>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</si>
  <si>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</si>
  <si>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</si>
  <si>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</si>
  <si>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</si>
  <si>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</si>
  <si>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</si>
  <si>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</si>
  <si>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</si>
  <si>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</si>
  <si>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</si>
  <si>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</si>
  <si>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</si>
  <si>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</si>
  <si>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</si>
  <si>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</si>
  <si>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</si>
  <si>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</si>
  <si>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</si>
  <si>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</si>
  <si>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</si>
  <si>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</si>
  <si>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</si>
  <si>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</si>
  <si>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</si>
  <si>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</si>
  <si>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</si>
  <si>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</si>
  <si>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</si>
  <si>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</si>
  <si>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</si>
  <si>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</si>
  <si>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</si>
  <si>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</si>
  <si>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</si>
  <si>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</si>
  <si>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</si>
  <si>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</si>
  <si>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</si>
  <si>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</si>
  <si>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</si>
  <si>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</si>
  <si>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</si>
  <si>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</si>
  <si>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</si>
  <si>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</si>
  <si>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</si>
  <si>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</si>
  <si>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</si>
  <si>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</si>
  <si>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</si>
  <si>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</si>
  <si>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</si>
  <si>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</si>
  <si>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</si>
  <si>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</si>
  <si>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</si>
  <si>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</si>
  <si>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</si>
  <si>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</si>
  <si>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</si>
  <si>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</si>
  <si>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</si>
  <si>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</si>
  <si>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</si>
  <si>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</si>
  <si>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</si>
  <si>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</si>
  <si>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</si>
  <si>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</si>
  <si>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</si>
  <si>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</si>
  <si>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</si>
  <si>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</si>
  <si>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</si>
  <si>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</si>
  <si>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</si>
  <si>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</si>
  <si>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</si>
  <si>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</si>
  <si>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</si>
  <si>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</si>
  <si>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</si>
  <si>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</si>
  <si>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</si>
  <si>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</si>
  <si>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</si>
  <si>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</si>
  <si>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</si>
  <si>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</si>
  <si>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</si>
  <si>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</si>
  <si>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</si>
  <si>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</si>
  <si>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</si>
  <si>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</si>
  <si>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</si>
  <si>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</si>
  <si>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</si>
  <si>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</si>
  <si>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</si>
  <si>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</si>
  <si>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</si>
  <si>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</si>
  <si>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</si>
  <si>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</si>
  <si>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</si>
  <si>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</si>
  <si>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</si>
  <si>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</si>
  <si>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</si>
  <si>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</si>
  <si>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</si>
  <si>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</si>
  <si>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</si>
  <si>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</si>
  <si>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</si>
  <si>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</si>
  <si>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</si>
  <si>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</si>
  <si>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</si>
  <si>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</si>
  <si>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</si>
  <si>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</si>
  <si>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</si>
  <si>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</si>
  <si>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</si>
  <si>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</si>
  <si>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</si>
  <si>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</si>
  <si>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</si>
  <si>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</si>
  <si>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</si>
  <si>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</si>
  <si>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</si>
  <si>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</si>
  <si>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</si>
  <si>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</si>
  <si>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</si>
  <si>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</si>
  <si>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</si>
  <si>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</si>
  <si>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</si>
  <si>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</si>
  <si>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</si>
  <si>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</si>
  <si>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</si>
  <si>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</si>
  <si>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</si>
  <si>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</si>
  <si>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</si>
  <si>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</si>
  <si>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</si>
  <si>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</si>
  <si>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</si>
  <si>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</si>
  <si>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</si>
  <si>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</si>
  <si>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</si>
  <si>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</si>
  <si>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</si>
  <si>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</si>
  <si>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</si>
  <si>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</si>
  <si>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</si>
  <si>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</si>
  <si>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</si>
  <si>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</si>
  <si>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</si>
  <si>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</si>
  <si>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</si>
  <si>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</si>
  <si>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</si>
  <si>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</si>
  <si>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</si>
  <si>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</si>
  <si>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</si>
  <si>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</si>
  <si>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</si>
  <si>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</si>
  <si>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</si>
  <si>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</si>
  <si>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</si>
  <si>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</si>
  <si>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</si>
  <si>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</si>
  <si>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</si>
  <si>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</si>
  <si>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</si>
  <si>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</si>
  <si>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</si>
  <si>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</si>
  <si>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</si>
  <si>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</si>
  <si>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</si>
  <si>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</si>
  <si>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</si>
  <si>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</si>
  <si>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</si>
  <si>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</si>
  <si>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</si>
  <si>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</si>
  <si>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</si>
  <si>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</si>
  <si>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</si>
  <si>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</si>
  <si>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</si>
  <si>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</si>
  <si>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</si>
  <si>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</si>
  <si>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</si>
  <si>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</si>
  <si>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</si>
  <si>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</si>
  <si>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</si>
  <si>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</si>
  <si>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</si>
  <si>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</si>
  <si>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</si>
  <si>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</si>
  <si>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</si>
  <si>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</si>
  <si>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</si>
  <si>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</si>
  <si>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</si>
  <si>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</si>
  <si>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</si>
  <si>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</si>
  <si>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</si>
  <si>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</si>
  <si>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</si>
  <si>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</si>
  <si>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</si>
  <si>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</si>
  <si>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</si>
  <si>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</si>
  <si>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</si>
  <si>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</si>
  <si>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</si>
  <si>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</si>
  <si>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</si>
  <si>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</si>
  <si>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</si>
  <si>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</si>
  <si>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</si>
  <si>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</si>
  <si>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</si>
  <si>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</si>
  <si>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</si>
  <si>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</si>
  <si>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</si>
  <si>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</si>
  <si>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</si>
  <si>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</si>
  <si>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</si>
  <si>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</si>
  <si>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</si>
  <si>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</si>
  <si>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</si>
  <si>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</si>
  <si>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</si>
  <si>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</si>
  <si>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</si>
  <si>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</si>
  <si>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</si>
  <si>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</si>
  <si>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</si>
  <si>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</si>
  <si>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</si>
  <si>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</si>
  <si>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</si>
  <si>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</si>
  <si>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</si>
  <si>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</si>
  <si>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</si>
  <si>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</si>
  <si>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</si>
  <si>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</si>
  <si>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</si>
  <si>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</si>
  <si>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</si>
  <si>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</si>
  <si>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</si>
  <si>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</si>
  <si>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</si>
  <si>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</si>
  <si>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</si>
  <si>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</si>
  <si>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</si>
  <si>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</si>
  <si>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</si>
  <si>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</si>
  <si>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</si>
  <si>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</si>
  <si>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</si>
  <si>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</si>
  <si>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</si>
  <si>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</si>
  <si>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</si>
  <si>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</si>
  <si>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</si>
  <si>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</si>
  <si>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</si>
  <si>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</si>
  <si>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</si>
  <si>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</si>
  <si>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</si>
  <si>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</si>
  <si>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</si>
  <si>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</si>
  <si>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</si>
  <si>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</si>
  <si>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</si>
  <si>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</si>
  <si>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</si>
  <si>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</si>
  <si>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</si>
  <si>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</si>
  <si>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</si>
  <si>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</si>
  <si>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</si>
  <si>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</si>
  <si>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</si>
  <si>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</si>
  <si>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</si>
  <si>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</si>
  <si>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</si>
  <si>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</si>
  <si>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</si>
  <si>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</si>
  <si>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</si>
  <si>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</si>
  <si>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</si>
  <si>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</si>
  <si>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</si>
  <si>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</si>
  <si>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</si>
  <si>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</si>
  <si>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</si>
  <si>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</si>
  <si>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</si>
  <si>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</si>
  <si>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</si>
  <si>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</si>
  <si>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</si>
  <si>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</si>
  <si>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</si>
  <si>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</si>
  <si>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</si>
  <si>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</si>
  <si>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</si>
  <si>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</si>
  <si>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</si>
  <si>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</si>
  <si>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</si>
  <si>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</si>
  <si>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</si>
  <si>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</si>
  <si>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</si>
  <si>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</si>
  <si>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</si>
  <si>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</si>
  <si>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</si>
  <si>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</si>
  <si>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</si>
  <si>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</si>
  <si>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</si>
  <si>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</si>
  <si>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</si>
  <si>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</si>
  <si>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</si>
  <si>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</si>
  <si>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</si>
  <si>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</si>
  <si>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</si>
  <si>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</si>
  <si>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</si>
  <si>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</si>
  <si>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</si>
  <si>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</si>
  <si>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</si>
  <si>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</si>
  <si>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</si>
  <si>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</si>
  <si>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</si>
  <si>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</si>
  <si>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</si>
  <si>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</si>
  <si>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</si>
  <si>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</si>
  <si>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</si>
  <si>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</si>
  <si>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</si>
  <si>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</si>
  <si>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</si>
  <si>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</si>
  <si>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</si>
  <si>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</si>
  <si>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</si>
  <si>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</si>
  <si>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</si>
  <si>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</si>
  <si>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</si>
  <si>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</si>
  <si>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</si>
  <si>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</si>
  <si>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</si>
  <si>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</si>
  <si>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</si>
  <si>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</si>
  <si>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</si>
  <si>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</si>
  <si>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</si>
  <si>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</si>
  <si>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</si>
  <si>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</si>
  <si>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</si>
  <si>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</si>
  <si>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</si>
  <si>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</si>
  <si>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</si>
  <si>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</si>
  <si>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</si>
  <si>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</si>
  <si>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</si>
  <si>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</si>
  <si>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</si>
  <si>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</si>
  <si>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</si>
  <si>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</si>
  <si>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</si>
  <si>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</si>
  <si>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</si>
  <si>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</si>
  <si>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</si>
  <si>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</si>
  <si>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</si>
  <si>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</si>
  <si>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</si>
  <si>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</si>
  <si>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</si>
  <si>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</si>
  <si>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</si>
  <si>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</si>
  <si>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</si>
  <si>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</si>
  <si>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</si>
  <si>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</si>
  <si>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</si>
  <si>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</si>
  <si>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</si>
  <si>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</si>
  <si>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</si>
  <si>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</si>
  <si>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</si>
  <si>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</si>
  <si>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</si>
  <si>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</si>
  <si>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</si>
  <si>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</si>
  <si>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</si>
  <si>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</si>
  <si>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</si>
  <si>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</si>
  <si>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</si>
  <si>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</si>
  <si>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</si>
  <si>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</si>
  <si>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</si>
  <si>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</si>
  <si>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</si>
  <si>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</si>
  <si>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</si>
  <si>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</si>
  <si>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</si>
  <si>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</si>
  <si>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</si>
  <si>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</si>
  <si>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</si>
  <si>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</si>
  <si>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</si>
  <si>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</si>
  <si>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</si>
  <si>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</si>
  <si>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</si>
  <si>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</si>
  <si>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</si>
  <si>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</si>
  <si>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</si>
  <si>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</si>
  <si>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</si>
  <si>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</si>
  <si>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</si>
  <si>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</si>
  <si>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</si>
  <si>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</si>
  <si>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</si>
  <si>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</si>
  <si>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</si>
  <si>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</si>
  <si>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</si>
  <si>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</si>
  <si>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</si>
  <si>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</si>
  <si>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</si>
  <si>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</si>
  <si>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</si>
  <si>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</si>
  <si>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</si>
  <si>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</si>
  <si>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</si>
  <si>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</si>
  <si>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</si>
  <si>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</si>
  <si>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</si>
  <si>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</si>
  <si>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</si>
  <si>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</si>
  <si>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</si>
  <si>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</si>
  <si>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</si>
  <si>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</si>
  <si>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</si>
  <si>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</si>
  <si>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</si>
  <si>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</si>
  <si>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</si>
  <si>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</si>
  <si>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</si>
  <si>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</si>
  <si>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</si>
  <si>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</si>
  <si>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</si>
  <si>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</si>
  <si>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</si>
  <si>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</si>
  <si>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</si>
  <si>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</si>
  <si>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</si>
  <si>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</si>
  <si>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</si>
  <si>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</si>
  <si>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</si>
  <si>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</si>
  <si>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</si>
  <si>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</si>
  <si>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</si>
  <si>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</si>
  <si>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</si>
  <si>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</si>
  <si>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</si>
  <si>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</si>
  <si>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</si>
  <si>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</si>
  <si>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</si>
  <si>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</si>
  <si>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</si>
  <si>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</si>
  <si>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</si>
  <si>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</si>
  <si>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</si>
  <si>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</si>
  <si>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</si>
  <si>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</si>
  <si>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</si>
  <si>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</si>
  <si>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</si>
  <si>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</si>
  <si>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</si>
  <si>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</si>
  <si>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</si>
  <si>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</si>
  <si>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</si>
  <si>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</si>
  <si>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</si>
  <si>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</si>
  <si>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</si>
  <si>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</si>
  <si>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</si>
  <si>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</si>
  <si>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</si>
  <si>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</si>
  <si>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</si>
  <si>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</si>
  <si>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</si>
  <si>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</si>
  <si>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</si>
  <si>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</si>
  <si>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</si>
  <si>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</si>
  <si>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</si>
  <si>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</si>
  <si>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</si>
  <si>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</si>
  <si>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</si>
  <si>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</si>
  <si>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</si>
  <si>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</si>
  <si>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</si>
  <si>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</si>
  <si>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</si>
  <si>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</si>
  <si>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</si>
  <si>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</si>
  <si>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</si>
  <si>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</si>
  <si>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</si>
  <si>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</si>
  <si>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</si>
  <si>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</si>
  <si>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</si>
  <si>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</si>
  <si>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</si>
  <si>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</si>
  <si>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</si>
  <si>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</si>
  <si>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</si>
  <si>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</si>
  <si>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</si>
  <si>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</si>
  <si>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</si>
  <si>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</si>
  <si>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</si>
  <si>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</si>
  <si>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</si>
  <si>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</si>
  <si>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</si>
  <si>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</si>
  <si>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</si>
  <si>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</si>
  <si>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</si>
  <si>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</si>
  <si>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</si>
  <si>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</si>
  <si>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</si>
  <si>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</si>
  <si>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</si>
  <si>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</si>
  <si>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</si>
  <si>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</si>
  <si>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</si>
  <si>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</si>
  <si>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</si>
  <si>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</si>
  <si>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</si>
  <si>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</si>
  <si>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</si>
  <si>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</si>
  <si>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</si>
  <si>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</si>
  <si>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</si>
  <si>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</si>
  <si>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</si>
  <si>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</si>
  <si>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</si>
  <si>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</si>
  <si>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</si>
  <si>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</si>
  <si>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</si>
  <si>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</si>
  <si>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</si>
  <si>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</si>
  <si>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</si>
  <si>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</si>
  <si>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</si>
  <si>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</si>
  <si>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</si>
  <si>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</si>
  <si>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</si>
  <si>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</si>
  <si>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</si>
  <si>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</si>
  <si>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</si>
  <si>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</si>
  <si>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</si>
  <si>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</si>
  <si>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</si>
  <si>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</si>
  <si>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</si>
  <si>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</si>
  <si>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</si>
  <si>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</si>
  <si>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</si>
  <si>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</si>
  <si>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</si>
  <si>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</si>
  <si>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</si>
  <si>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</si>
  <si>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</si>
  <si>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</si>
  <si>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</si>
  <si>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</si>
  <si>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</si>
  <si>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</si>
  <si>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</si>
  <si>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</si>
  <si>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</si>
  <si>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</si>
  <si>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</si>
  <si>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</si>
  <si>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</si>
  <si>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</si>
  <si>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</si>
  <si>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</si>
  <si>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</si>
  <si>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</si>
  <si>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</si>
  <si>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</si>
  <si>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</si>
  <si>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</si>
  <si>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</si>
  <si>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</si>
  <si>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</si>
  <si>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</si>
  <si>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</si>
  <si>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</si>
  <si>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</si>
  <si>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</si>
  <si>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</si>
  <si>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</si>
  <si>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</si>
  <si>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</si>
  <si>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</si>
  <si>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</si>
  <si>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</si>
  <si>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</si>
  <si>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</si>
  <si>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</si>
  <si>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</si>
  <si>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</si>
  <si>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</si>
  <si>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</si>
  <si>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</si>
  <si>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</si>
  <si>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</si>
  <si>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</si>
  <si>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</si>
  <si>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</si>
  <si>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</si>
  <si>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</si>
  <si>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</si>
  <si>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</si>
  <si>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</si>
  <si>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</si>
  <si>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</si>
  <si>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</si>
  <si>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</si>
  <si>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</si>
  <si>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</si>
  <si>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</si>
  <si>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</si>
  <si>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</si>
  <si>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</si>
  <si>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</si>
  <si>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</si>
  <si>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</si>
  <si>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</si>
  <si>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</si>
  <si>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</si>
  <si>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</si>
  <si>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</si>
  <si>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</si>
  <si>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</si>
  <si>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</si>
  <si>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</si>
  <si>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</si>
  <si>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</si>
  <si>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</si>
  <si>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</si>
  <si>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</si>
  <si>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</si>
  <si>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</si>
  <si>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</si>
  <si>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</si>
  <si>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</si>
  <si>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</si>
  <si>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</si>
  <si>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</si>
  <si>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</si>
  <si>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</si>
  <si>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</si>
  <si>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</si>
  <si>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</si>
  <si>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</si>
  <si>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</si>
  <si>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</si>
  <si>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</si>
  <si>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</si>
  <si>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</si>
  <si>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</si>
  <si>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</si>
  <si>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</si>
  <si>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</si>
  <si>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</si>
  <si>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</si>
  <si>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</si>
  <si>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</si>
  <si>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</si>
  <si>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</si>
  <si>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</si>
  <si>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</si>
  <si>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</si>
  <si>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</si>
  <si>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</si>
  <si>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</si>
  <si>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</si>
  <si>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</si>
  <si>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</si>
  <si>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</si>
  <si>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</si>
  <si>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</si>
  <si>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</si>
  <si>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</si>
  <si>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</si>
  <si>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</si>
  <si>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</si>
  <si>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</si>
  <si>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</si>
  <si>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</si>
  <si>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</si>
  <si>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</si>
  <si>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</si>
  <si>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</si>
  <si>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</si>
  <si>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</si>
  <si>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</si>
  <si>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</si>
  <si>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</si>
  <si>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</si>
  <si>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</si>
  <si>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</si>
  <si>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</si>
  <si>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</si>
  <si>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</si>
  <si>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</si>
  <si>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</si>
  <si>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</si>
  <si>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</si>
  <si>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</si>
  <si>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</si>
  <si>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</si>
  <si>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</si>
  <si>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</si>
  <si>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</si>
  <si>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</si>
  <si>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</si>
  <si>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</si>
  <si>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</si>
  <si>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</si>
  <si>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</si>
  <si>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</si>
  <si>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</si>
  <si>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</si>
  <si>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</si>
  <si>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</si>
  <si>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</si>
  <si>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</si>
  <si>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</si>
  <si>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</si>
  <si>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</si>
  <si>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</si>
  <si>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</si>
  <si>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</si>
  <si>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</si>
  <si>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</si>
  <si>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</si>
  <si>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</si>
  <si>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</si>
  <si>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</si>
  <si>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</si>
  <si>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</si>
  <si>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</si>
  <si>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</si>
  <si>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</si>
  <si>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</si>
  <si>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</si>
  <si>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</si>
  <si>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</si>
  <si>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</si>
  <si>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</si>
  <si>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</si>
  <si>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</si>
  <si>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</si>
  <si>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</si>
  <si>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</si>
  <si>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</si>
  <si>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</si>
  <si>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</si>
  <si>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</si>
  <si>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</si>
  <si>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</si>
  <si>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</si>
  <si>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</si>
  <si>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</si>
  <si>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</si>
  <si>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</si>
  <si>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</si>
  <si>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</si>
  <si>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</si>
  <si>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</si>
  <si>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</si>
  <si>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</si>
  <si>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</si>
  <si>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</si>
  <si>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</si>
  <si>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</si>
  <si>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</si>
  <si>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</si>
  <si>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</si>
  <si>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</si>
  <si>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</si>
  <si>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</si>
  <si>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</si>
  <si>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</si>
  <si>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</si>
  <si>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</si>
  <si>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</si>
  <si>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</si>
  <si>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</si>
  <si>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</si>
  <si>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</si>
  <si>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</si>
  <si>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</si>
  <si>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</si>
  <si>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</si>
  <si>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</si>
  <si>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</si>
  <si>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</si>
  <si>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</si>
  <si>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</si>
  <si>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</si>
  <si>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</si>
  <si>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</si>
  <si>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</si>
  <si>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</si>
  <si>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</si>
  <si>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</si>
  <si>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</si>
  <si>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</si>
  <si>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</si>
  <si>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</si>
  <si>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</si>
  <si>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</si>
  <si>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</si>
  <si>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</si>
  <si>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</si>
  <si>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</si>
  <si>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</si>
  <si>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</si>
  <si>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</si>
  <si>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</si>
  <si>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</si>
  <si>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</si>
  <si>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</si>
  <si>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</si>
  <si>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</si>
  <si>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</si>
  <si>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</si>
  <si>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</si>
  <si>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</si>
  <si>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</si>
  <si>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</si>
  <si>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</si>
  <si>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</si>
  <si>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</si>
  <si>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</si>
  <si>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</si>
  <si>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</si>
  <si>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</si>
  <si>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</si>
  <si>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</si>
  <si>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</si>
  <si>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</si>
  <si>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</si>
  <si>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</si>
  <si>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</si>
  <si>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</si>
  <si>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</si>
  <si>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</si>
  <si>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</si>
  <si>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</si>
  <si>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</si>
  <si>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</si>
  <si>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</si>
  <si>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</si>
  <si>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</si>
  <si>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</si>
  <si>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</si>
  <si>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</si>
  <si>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</si>
  <si>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</si>
  <si>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</si>
  <si>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</si>
  <si>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</si>
  <si>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</si>
  <si>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</si>
  <si>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</si>
  <si>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</si>
  <si>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</si>
  <si>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</si>
  <si>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</si>
  <si>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</si>
  <si>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</si>
  <si>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</si>
  <si>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</si>
  <si>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</si>
  <si>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</si>
  <si>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</si>
  <si>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</si>
  <si>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</si>
  <si>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</si>
  <si>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</si>
  <si>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</si>
  <si>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</si>
  <si>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</si>
  <si>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</si>
  <si>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</si>
  <si>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</si>
  <si>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</si>
  <si>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</si>
  <si>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</si>
  <si>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</si>
  <si>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</si>
  <si>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</si>
  <si>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</si>
  <si>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</si>
  <si>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</si>
  <si>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</si>
  <si>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</si>
  <si>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</si>
  <si>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</si>
  <si>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</si>
  <si>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</si>
  <si>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</si>
  <si>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</si>
  <si>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</si>
  <si>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</si>
  <si>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</si>
  <si>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</si>
  <si>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</si>
  <si>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</si>
  <si>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</si>
  <si>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</si>
  <si>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</si>
  <si>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</si>
  <si>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</si>
  <si>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</si>
  <si>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</si>
  <si>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</si>
  <si>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</si>
  <si>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</si>
  <si>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</si>
  <si>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</si>
  <si>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</si>
  <si>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</si>
  <si>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</si>
  <si>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</si>
  <si>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</si>
  <si>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</si>
  <si>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</si>
  <si>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</si>
  <si>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</si>
  <si>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</si>
  <si>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</si>
  <si>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</si>
  <si>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</si>
  <si>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</si>
  <si>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</si>
  <si>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</si>
  <si>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</si>
  <si>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</si>
  <si>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</si>
  <si>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</si>
  <si>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</si>
  <si>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</si>
  <si>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</si>
  <si>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</si>
  <si>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</si>
  <si>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</si>
  <si>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</si>
  <si>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</si>
  <si>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</si>
  <si>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</si>
  <si>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</si>
  <si>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</si>
  <si>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</si>
  <si>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</si>
  <si>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</si>
  <si>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</si>
  <si>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</si>
  <si>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</si>
  <si>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</si>
  <si>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</si>
  <si>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</si>
  <si>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</si>
  <si>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</si>
  <si>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</si>
  <si>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</si>
  <si>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</si>
  <si>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</si>
  <si>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</si>
  <si>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</si>
  <si>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</si>
  <si>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</si>
  <si>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</si>
  <si>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</si>
  <si>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</si>
  <si>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</si>
  <si>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</si>
  <si>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</si>
  <si>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</si>
  <si>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</si>
  <si>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</si>
  <si>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</si>
  <si>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</si>
  <si>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</si>
  <si>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</si>
  <si>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</si>
  <si>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</si>
  <si>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</si>
  <si>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</si>
  <si>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</si>
  <si>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</si>
  <si>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</si>
  <si>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</si>
  <si>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</si>
  <si>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</si>
  <si>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</si>
  <si>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</si>
  <si>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</si>
  <si>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</si>
  <si>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</si>
  <si>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</si>
  <si>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</si>
  <si>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</si>
  <si>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</si>
  <si>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</si>
  <si>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</si>
  <si>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</si>
  <si>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</si>
  <si>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</si>
  <si>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</si>
  <si>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</si>
  <si>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</si>
  <si>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</si>
  <si>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</si>
  <si>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</si>
  <si>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</si>
  <si>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</si>
  <si>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</si>
  <si>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</si>
  <si>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</si>
  <si>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</si>
  <si>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</si>
  <si>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</si>
  <si>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</si>
  <si>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</si>
  <si>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</si>
  <si>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</si>
  <si>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</si>
  <si>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</si>
  <si>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</si>
  <si>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</si>
  <si>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</si>
  <si>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</si>
  <si>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</si>
  <si>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</si>
  <si>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</si>
  <si>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</si>
  <si>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</si>
  <si>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</si>
  <si>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</si>
  <si>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</si>
  <si>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</si>
  <si>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</si>
  <si>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</si>
  <si>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</si>
  <si>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</si>
  <si>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</si>
  <si>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</si>
  <si>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</si>
  <si>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</si>
  <si>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</si>
  <si>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</si>
  <si>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</si>
  <si>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</si>
  <si>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</si>
  <si>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</si>
  <si>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</si>
  <si>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</si>
  <si>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</si>
  <si>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</si>
  <si>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</si>
  <si>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</si>
  <si>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</si>
  <si>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</si>
  <si>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</si>
  <si>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</si>
  <si>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</si>
  <si>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</si>
  <si>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</si>
  <si>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</si>
  <si>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</si>
  <si>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</si>
  <si>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</si>
  <si>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</si>
  <si>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</si>
  <si>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</si>
  <si>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</si>
  <si>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</si>
  <si>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</si>
  <si>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</si>
  <si>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</si>
  <si>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</si>
  <si>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</si>
  <si>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</si>
  <si>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</si>
  <si>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</si>
  <si>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</si>
  <si>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</si>
  <si>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</si>
  <si>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</si>
  <si>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</si>
  <si>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</si>
  <si>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</si>
  <si>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</si>
  <si>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</si>
  <si>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</si>
  <si>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</si>
  <si>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</si>
  <si>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</si>
  <si>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</si>
  <si>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</si>
  <si>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</si>
  <si>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</si>
  <si>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</si>
  <si>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</si>
  <si>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</si>
  <si>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</si>
  <si>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</si>
  <si>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</si>
  <si>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</si>
  <si>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</si>
  <si>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</si>
  <si>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</si>
  <si>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</si>
  <si>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</si>
  <si>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</si>
  <si>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</si>
  <si>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</si>
  <si>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</si>
  <si>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</si>
  <si>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</si>
  <si>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</si>
  <si>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</si>
  <si>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</si>
  <si>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</si>
  <si>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</si>
  <si>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</si>
  <si>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</si>
  <si>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</si>
  <si>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</si>
  <si>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</si>
  <si>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</si>
  <si>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</si>
  <si>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</si>
  <si>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</si>
  <si>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</si>
  <si>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</si>
  <si>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</si>
  <si>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</si>
  <si>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</si>
  <si>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</si>
  <si>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</si>
  <si>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</si>
  <si>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</si>
  <si>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</si>
  <si>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</si>
  <si>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</si>
  <si>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</si>
  <si>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</si>
  <si>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</si>
  <si>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</si>
  <si>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</si>
  <si>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</si>
  <si>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</si>
  <si>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</si>
  <si>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</si>
  <si>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</si>
  <si>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</si>
  <si>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</si>
  <si>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</si>
  <si>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</si>
  <si>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</si>
  <si>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</si>
  <si>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</si>
  <si>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</si>
  <si>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</si>
  <si>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</si>
  <si>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</si>
  <si>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</si>
  <si>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</si>
  <si>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</si>
  <si>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</si>
  <si>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</si>
  <si>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</si>
  <si>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</si>
  <si>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</si>
  <si>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</si>
  <si>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</si>
  <si>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</si>
  <si>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</si>
  <si>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</si>
  <si>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</si>
  <si>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</si>
  <si>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</si>
  <si>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</si>
  <si>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</si>
  <si>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</si>
  <si>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</si>
  <si>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</si>
  <si>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</si>
  <si>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</si>
  <si>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</si>
  <si>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</si>
  <si>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</si>
  <si>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</si>
  <si>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</si>
  <si>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</si>
  <si>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</si>
  <si>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</si>
  <si>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</si>
  <si>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</si>
  <si>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</si>
  <si>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</si>
  <si>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</si>
  <si>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</si>
  <si>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</si>
  <si>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</si>
  <si>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</si>
  <si>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</si>
  <si>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</si>
  <si>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</si>
  <si>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</si>
  <si>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</si>
  <si>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</si>
  <si>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</si>
  <si>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</si>
  <si>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</si>
  <si>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</si>
  <si>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</si>
  <si>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</si>
  <si>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</si>
  <si>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</si>
  <si>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</si>
  <si>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</si>
  <si>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</si>
  <si>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</si>
  <si>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</si>
  <si>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</si>
  <si>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</si>
  <si>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</si>
  <si>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</si>
  <si>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</si>
  <si>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</si>
  <si>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</si>
  <si>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</si>
  <si>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</si>
  <si>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</si>
  <si>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</si>
  <si>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</si>
  <si>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</si>
  <si>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</si>
  <si>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</si>
  <si>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</si>
  <si>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</si>
  <si>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</si>
  <si>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</si>
  <si>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</si>
  <si>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</si>
  <si>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</si>
  <si>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</si>
  <si>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</si>
  <si>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</si>
  <si>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</si>
  <si>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</si>
  <si>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</si>
  <si>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</si>
  <si>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</si>
  <si>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</si>
  <si>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</si>
  <si>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</si>
  <si>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</si>
  <si>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</si>
  <si>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</si>
  <si>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</si>
  <si>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</si>
  <si>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</si>
  <si>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</si>
  <si>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</si>
  <si>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</si>
  <si>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</si>
  <si>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</si>
  <si>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</si>
  <si>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</si>
  <si>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</si>
  <si>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</si>
  <si>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</si>
  <si>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</si>
  <si>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</si>
  <si>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</si>
  <si>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</si>
  <si>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</si>
  <si>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</si>
  <si>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</si>
  <si>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</si>
  <si>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</si>
  <si>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</si>
  <si>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</si>
  <si>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</si>
  <si>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</si>
  <si>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</si>
  <si>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</si>
  <si>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</si>
  <si>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</si>
  <si>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</si>
  <si>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</si>
  <si>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</si>
  <si>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</si>
  <si>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</si>
  <si>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</si>
  <si>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</si>
  <si>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</si>
  <si>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</si>
  <si>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</si>
  <si>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</si>
  <si>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</si>
  <si>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</si>
  <si>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</si>
  <si>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</si>
  <si>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</si>
  <si>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</si>
  <si>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</si>
  <si>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</si>
  <si>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</si>
  <si>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</si>
  <si>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</si>
  <si>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</si>
  <si>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</si>
  <si>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</si>
  <si>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</si>
  <si>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</si>
  <si>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</si>
  <si>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</si>
  <si>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</si>
  <si>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</si>
  <si>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</si>
  <si>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</si>
  <si>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</si>
  <si>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</si>
  <si>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</si>
  <si>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</si>
  <si>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</si>
  <si>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</si>
  <si>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</si>
  <si>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</si>
  <si>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</si>
  <si>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</si>
  <si>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</si>
  <si>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</si>
  <si>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</si>
  <si>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</si>
  <si>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</si>
  <si>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</si>
  <si>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</si>
  <si>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</si>
  <si>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</si>
  <si>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</si>
  <si>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</si>
  <si>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</si>
  <si>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</si>
  <si>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</si>
  <si>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</si>
  <si>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</si>
  <si>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</si>
  <si>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</si>
  <si>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</si>
  <si>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</si>
  <si>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</si>
  <si>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</si>
  <si>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</si>
  <si>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</si>
  <si>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</si>
  <si>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</si>
  <si>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</si>
  <si>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</si>
  <si>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</si>
  <si>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</si>
  <si>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</si>
  <si>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</si>
  <si>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</si>
  <si>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</si>
  <si>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</si>
  <si>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</si>
  <si>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</si>
  <si>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</si>
  <si>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</si>
  <si>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</si>
  <si>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</si>
  <si>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</si>
  <si>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</si>
  <si>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</si>
  <si>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</si>
  <si>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</si>
  <si>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</si>
  <si>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</si>
  <si>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</si>
  <si>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</si>
  <si>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</si>
  <si>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</si>
  <si>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</si>
  <si>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</si>
  <si>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</si>
  <si>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</si>
  <si>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</si>
  <si>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</si>
  <si>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</si>
  <si>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</si>
  <si>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</si>
  <si>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</si>
  <si>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</si>
  <si>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</si>
  <si>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</si>
  <si>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</si>
  <si>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</si>
  <si>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</si>
  <si>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</si>
  <si>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</si>
  <si>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</si>
  <si>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</si>
  <si>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</si>
  <si>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</si>
  <si>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</si>
  <si>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</si>
  <si>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</si>
  <si>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</si>
  <si>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</si>
  <si>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</si>
  <si>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</si>
  <si>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</si>
  <si>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</si>
  <si>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</si>
  <si>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</si>
  <si>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</si>
  <si>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</si>
  <si>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</si>
  <si>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</si>
  <si>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</si>
  <si>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</si>
  <si>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</si>
  <si>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</si>
  <si>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</si>
  <si>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</si>
  <si>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</si>
  <si>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</si>
  <si>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</si>
  <si>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</si>
  <si>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</si>
  <si>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</si>
  <si>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</si>
  <si>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</si>
  <si>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</si>
  <si>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</si>
  <si>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</si>
  <si>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</si>
  <si>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</si>
  <si>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</si>
  <si>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</si>
  <si>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</si>
  <si>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</si>
  <si>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</si>
  <si>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</si>
  <si>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</si>
  <si>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</si>
  <si>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</si>
  <si>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</si>
  <si>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</si>
  <si>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</si>
  <si>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</si>
  <si>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</si>
  <si>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</si>
  <si>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</si>
  <si>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</si>
  <si>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</si>
  <si>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</si>
  <si>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</si>
  <si>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</si>
  <si>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</si>
  <si>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</si>
  <si>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</si>
  <si>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</si>
  <si>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</si>
  <si>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</si>
  <si>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</si>
  <si>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</si>
  <si>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</si>
  <si>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</si>
  <si>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</si>
  <si>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</si>
  <si>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</si>
  <si>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</si>
  <si>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</si>
  <si>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</si>
  <si>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</si>
  <si>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</si>
  <si>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</si>
  <si>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</si>
  <si>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</si>
  <si>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</si>
  <si>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</si>
  <si>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</si>
  <si>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</si>
  <si>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</si>
  <si>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</si>
  <si>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</si>
  <si>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</si>
  <si>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</si>
  <si>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</si>
  <si>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</si>
  <si>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</si>
  <si>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</si>
  <si>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</si>
  <si>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</si>
  <si>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</si>
  <si>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</si>
  <si>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</si>
  <si>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</si>
  <si>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</si>
  <si>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</si>
  <si>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</si>
  <si>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</si>
  <si>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</si>
  <si>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</si>
  <si>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</si>
  <si>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</si>
  <si>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</si>
  <si>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</si>
  <si>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</si>
  <si>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</si>
  <si>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</si>
  <si>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</si>
  <si>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</si>
  <si>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</si>
  <si>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</si>
  <si>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</si>
  <si>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</si>
  <si>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</si>
  <si>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</si>
  <si>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</si>
  <si>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</si>
  <si>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</si>
  <si>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</si>
  <si>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</si>
  <si>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</si>
  <si>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</si>
  <si>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</si>
  <si>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</si>
  <si>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</si>
  <si>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</si>
  <si>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</si>
  <si>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</si>
  <si>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</si>
  <si>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</si>
  <si>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</si>
  <si>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</si>
  <si>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</si>
  <si>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</si>
  <si>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</si>
  <si>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</si>
  <si>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</si>
  <si>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</si>
  <si>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</si>
  <si>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</si>
  <si>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</si>
  <si>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</si>
  <si>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</si>
  <si>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</si>
  <si>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</si>
  <si>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</si>
  <si>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</si>
  <si>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</si>
  <si>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</si>
  <si>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</si>
  <si>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</si>
  <si>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</si>
  <si>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</si>
  <si>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</si>
  <si>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</si>
  <si>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</si>
  <si>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</si>
  <si>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</si>
  <si>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</si>
  <si>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</si>
  <si>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</si>
  <si>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</si>
  <si>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</si>
  <si>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</si>
  <si>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</si>
  <si>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</si>
  <si>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</si>
  <si>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</si>
  <si>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</si>
  <si>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</si>
  <si>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</si>
  <si>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</si>
  <si>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</si>
  <si>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</si>
  <si>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</si>
  <si>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</si>
  <si>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</si>
  <si>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</si>
  <si>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</si>
  <si>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</si>
  <si>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</si>
  <si>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</si>
  <si>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</si>
  <si>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</si>
  <si>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</si>
  <si>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</si>
  <si>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</si>
  <si>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</si>
  <si>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</si>
  <si>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</si>
  <si>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</si>
  <si>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</si>
  <si>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</si>
  <si>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</si>
  <si>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</si>
  <si>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</si>
  <si>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</si>
  <si>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</si>
  <si>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</si>
  <si>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</si>
  <si>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</si>
  <si>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</si>
  <si>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</si>
  <si>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</si>
  <si>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</si>
  <si>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</si>
  <si>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</si>
  <si>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</si>
  <si>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</si>
  <si>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</si>
  <si>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</si>
  <si>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</si>
  <si>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</si>
  <si>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</si>
  <si>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</si>
  <si>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</si>
  <si>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</si>
  <si>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</si>
  <si>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</si>
  <si>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</si>
  <si>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</si>
  <si>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</si>
  <si>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</si>
  <si>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</si>
  <si>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</si>
  <si>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</si>
  <si>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</si>
  <si>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</si>
  <si>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</si>
  <si>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</si>
  <si>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</si>
  <si>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</si>
  <si>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</si>
  <si>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</si>
  <si>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</si>
  <si>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</si>
  <si>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</si>
  <si>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</si>
  <si>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</si>
  <si>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</si>
  <si>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</si>
  <si>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</si>
  <si>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</si>
  <si>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</si>
  <si>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</si>
  <si>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</si>
  <si>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</si>
  <si>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</si>
  <si>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</si>
  <si>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</si>
  <si>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</si>
  <si>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</si>
  <si>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</si>
  <si>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</si>
  <si>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</si>
  <si>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</si>
  <si>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</si>
  <si>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</si>
  <si>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</si>
  <si>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</si>
  <si>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</si>
  <si>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</si>
  <si>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</si>
  <si>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</si>
  <si>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</si>
  <si>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</si>
  <si>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</si>
  <si>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</si>
  <si>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</si>
  <si>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</si>
  <si>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</si>
  <si>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</si>
  <si>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</si>
  <si>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</si>
  <si>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</si>
  <si>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</si>
  <si>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</si>
  <si>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</si>
  <si>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</si>
  <si>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</si>
  <si>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</si>
  <si>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</si>
  <si>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</si>
  <si>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</si>
  <si>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</si>
  <si>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</si>
  <si>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</si>
  <si>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</si>
  <si>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</si>
  <si>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</si>
  <si>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</si>
  <si>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</si>
  <si>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</si>
  <si>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</si>
  <si>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</si>
  <si>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</si>
  <si>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</si>
  <si>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</si>
  <si>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</si>
  <si>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</si>
  <si>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</si>
  <si>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</si>
  <si>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</si>
  <si>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</si>
  <si>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</si>
  <si>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</si>
  <si>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</si>
  <si>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</si>
  <si>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</si>
  <si>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</si>
  <si>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</si>
  <si>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</si>
  <si>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</si>
  <si>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</si>
  <si>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</si>
  <si>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</si>
  <si>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</si>
  <si>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</si>
  <si>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</si>
  <si>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</si>
  <si>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</si>
  <si>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</si>
  <si>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</si>
  <si>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</si>
  <si>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</si>
  <si>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</si>
  <si>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</si>
  <si>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</si>
  <si>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</si>
  <si>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</si>
  <si>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</si>
  <si>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</si>
  <si>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</si>
  <si>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</si>
  <si>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</si>
  <si>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</si>
  <si>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</si>
  <si>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</si>
  <si>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</si>
  <si>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</si>
  <si>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</si>
  <si>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</si>
  <si>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</si>
  <si>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</si>
  <si>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</si>
  <si>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</si>
  <si>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</si>
  <si>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</si>
  <si>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</si>
  <si>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</si>
  <si>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</si>
  <si>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</si>
  <si>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</si>
  <si>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</si>
  <si>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</si>
  <si>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</si>
  <si>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</si>
  <si>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</si>
  <si>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</si>
  <si>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</si>
  <si>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</si>
  <si>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</si>
  <si>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</si>
  <si>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</si>
  <si>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</si>
  <si>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</si>
  <si>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</si>
  <si>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</si>
  <si>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</si>
  <si>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</si>
  <si>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</si>
  <si>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</si>
  <si>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</si>
  <si>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</si>
  <si>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</si>
  <si>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</si>
  <si>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</si>
  <si>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</si>
  <si>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</si>
  <si>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</si>
  <si>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</si>
  <si>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</si>
  <si>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</si>
  <si>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</si>
  <si>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</si>
  <si>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</si>
  <si>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</si>
  <si>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</si>
  <si>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</si>
  <si>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</si>
  <si>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</si>
  <si>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</si>
  <si>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</si>
  <si>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</si>
  <si>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</si>
  <si>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</si>
  <si>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</si>
  <si>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</si>
  <si>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</si>
  <si>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</si>
  <si>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</si>
  <si>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</si>
  <si>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</si>
  <si>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</si>
  <si>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</si>
  <si>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</si>
  <si>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</si>
  <si>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</si>
  <si>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</si>
  <si>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</si>
  <si>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</si>
  <si>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</si>
  <si>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</si>
  <si>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</si>
  <si>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</si>
  <si>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</si>
  <si>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</si>
  <si>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</si>
  <si>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</si>
  <si>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</si>
  <si>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</si>
  <si>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</si>
  <si>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</si>
  <si>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</si>
  <si>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</si>
  <si>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</si>
  <si>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</si>
  <si>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</si>
  <si>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</si>
  <si>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</si>
  <si>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</si>
  <si>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</si>
  <si>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</si>
  <si>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</si>
  <si>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</si>
  <si>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</si>
  <si>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</si>
  <si>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</si>
  <si>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</si>
  <si>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</si>
  <si>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</si>
  <si>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</si>
  <si>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</si>
  <si>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</si>
  <si>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</si>
  <si>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</si>
  <si>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</si>
  <si>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</si>
  <si>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</si>
  <si>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</si>
  <si>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</si>
  <si>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</si>
  <si>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</si>
  <si>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</si>
  <si>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</si>
  <si>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</si>
  <si>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</si>
  <si>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</si>
  <si>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</si>
  <si>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</si>
  <si>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</si>
  <si>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</si>
  <si>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</si>
  <si>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</si>
  <si>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</si>
  <si>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</si>
  <si>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</si>
  <si>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</si>
  <si>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</si>
  <si>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</si>
  <si>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</si>
  <si>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</si>
  <si>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</si>
  <si>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</si>
  <si>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</si>
  <si>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</si>
  <si>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</si>
  <si>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</si>
  <si>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</si>
  <si>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</si>
  <si>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</si>
  <si>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</si>
  <si>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</si>
  <si>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</si>
  <si>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</si>
  <si>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</si>
  <si>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</si>
  <si>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</si>
  <si>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</si>
  <si>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</si>
  <si>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</si>
  <si>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</si>
  <si>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</si>
  <si>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</si>
  <si>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</si>
  <si>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</si>
  <si>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</si>
  <si>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</si>
  <si>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</si>
  <si>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</si>
  <si>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</si>
  <si>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</si>
  <si>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</si>
  <si>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</si>
  <si>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</si>
  <si>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</si>
  <si>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</si>
  <si>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</si>
  <si>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</si>
  <si>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</si>
  <si>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</si>
  <si>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</si>
  <si>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</si>
  <si>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</si>
  <si>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</si>
  <si>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</si>
  <si>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</si>
  <si>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</si>
  <si>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</si>
  <si>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</si>
  <si>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</si>
  <si>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</si>
  <si>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</si>
  <si>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</si>
  <si>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</si>
  <si>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</si>
  <si>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</si>
  <si>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</si>
  <si>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</si>
  <si>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</si>
  <si>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</si>
  <si>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</si>
  <si>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</si>
  <si>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</si>
  <si>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</si>
  <si>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</si>
  <si>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</si>
  <si>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</si>
  <si>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</si>
  <si>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</si>
  <si>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</si>
  <si>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</si>
  <si>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</si>
  <si>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</si>
  <si>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</si>
  <si>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</si>
  <si>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</si>
  <si>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</si>
  <si>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</si>
  <si>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</si>
  <si>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</si>
  <si>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</si>
  <si>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</si>
  <si>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</si>
  <si>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</si>
  <si>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</si>
  <si>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</si>
  <si>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</si>
  <si>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</si>
  <si>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</si>
  <si>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</si>
  <si>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</si>
  <si>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</si>
  <si>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</si>
  <si>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</si>
  <si>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</si>
  <si>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</si>
  <si>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</si>
  <si>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</si>
  <si>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</si>
  <si>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</si>
  <si>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</si>
  <si>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</si>
  <si>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</si>
  <si>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</si>
  <si>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</si>
  <si>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</si>
  <si>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</si>
  <si>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</si>
  <si>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</si>
  <si>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</si>
  <si>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</si>
  <si>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</si>
  <si>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</si>
  <si>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</si>
  <si>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</si>
  <si>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</si>
  <si>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</si>
  <si>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</si>
  <si>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</si>
  <si>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</si>
  <si>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</si>
  <si>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</si>
  <si>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</si>
  <si>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</si>
  <si>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</si>
  <si>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</si>
  <si>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</si>
  <si>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</si>
  <si>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</si>
  <si>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</si>
  <si>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</si>
  <si>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</si>
  <si>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</si>
  <si>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</si>
  <si>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</si>
  <si>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</si>
  <si>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</si>
  <si>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</si>
  <si>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</si>
  <si>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</si>
  <si>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</si>
  <si>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</si>
  <si>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</si>
  <si>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</si>
  <si>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</si>
  <si>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</si>
  <si>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</si>
  <si>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</si>
  <si>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</si>
  <si>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</si>
  <si>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</si>
  <si>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</si>
  <si>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</si>
  <si>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</si>
  <si>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</si>
  <si>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</si>
  <si>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</si>
  <si>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</si>
  <si>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</si>
  <si>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</si>
  <si>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</si>
  <si>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</si>
  <si>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</si>
  <si>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</si>
  <si>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</si>
  <si>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</si>
  <si>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</si>
  <si>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</si>
  <si>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</si>
  <si>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</si>
  <si>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</si>
  <si>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</si>
  <si>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</si>
  <si>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</si>
  <si>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</si>
  <si>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</si>
  <si>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</si>
  <si>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</si>
  <si>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</si>
  <si>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</si>
  <si>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</si>
  <si>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</si>
  <si>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</si>
  <si>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</si>
  <si>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</si>
  <si>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</si>
  <si>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</si>
  <si>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</si>
  <si>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</si>
  <si>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</si>
  <si>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</si>
  <si>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</si>
  <si>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</si>
  <si>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</si>
  <si>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</si>
  <si>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</si>
  <si>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</si>
  <si>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</si>
  <si>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</si>
  <si>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</si>
  <si>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</si>
  <si>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</si>
  <si>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</si>
  <si>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</si>
  <si>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</si>
  <si>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</si>
  <si>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</si>
  <si>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</si>
  <si>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</si>
  <si>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</si>
  <si>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</si>
  <si>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</si>
  <si>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</si>
  <si>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</si>
  <si>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</si>
  <si>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</si>
  <si>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</si>
  <si>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</si>
  <si>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</si>
  <si>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</si>
  <si>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</si>
  <si>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</si>
  <si>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</si>
  <si>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</si>
  <si>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</si>
  <si>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</si>
  <si>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</si>
  <si>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</si>
  <si>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</si>
  <si>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</si>
  <si>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</si>
  <si>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</si>
  <si>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</si>
  <si>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</si>
  <si>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</si>
  <si>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</si>
  <si>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</si>
  <si>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</si>
  <si>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</si>
  <si>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</si>
  <si>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</si>
  <si>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</si>
  <si>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</si>
  <si>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</si>
  <si>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</si>
  <si>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</si>
  <si>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</si>
  <si>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</si>
  <si>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</si>
  <si>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</si>
  <si>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</si>
  <si>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</si>
  <si>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</si>
  <si>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</si>
  <si>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</si>
  <si>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</si>
  <si>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</si>
  <si>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</si>
  <si>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</si>
  <si>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</si>
  <si>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</si>
  <si>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</si>
  <si>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</si>
  <si>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</si>
  <si>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</si>
  <si>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</si>
  <si>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</si>
  <si>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</si>
  <si>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</si>
  <si>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</si>
  <si>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</si>
  <si>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</si>
  <si>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</si>
  <si>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</si>
  <si>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</si>
  <si>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</si>
  <si>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</si>
  <si>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</si>
  <si>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</si>
  <si>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</si>
  <si>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</si>
  <si>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</si>
  <si>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</si>
  <si>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</si>
  <si>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</si>
  <si>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</si>
  <si>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</si>
  <si>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</si>
  <si>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</si>
  <si>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</si>
  <si>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</si>
  <si>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</si>
  <si>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</si>
  <si>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</si>
  <si>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</si>
  <si>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</si>
  <si>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</si>
  <si>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</si>
  <si>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</si>
  <si>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</si>
  <si>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</si>
  <si>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</si>
  <si>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</si>
  <si>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</si>
  <si>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</si>
  <si>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</si>
  <si>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</si>
  <si>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</si>
  <si>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</si>
  <si>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</si>
  <si>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</si>
  <si>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</si>
  <si>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</si>
  <si>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</si>
  <si>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</si>
  <si>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</si>
  <si>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</si>
  <si>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</si>
  <si>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</si>
  <si>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</si>
  <si>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</si>
  <si>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</si>
  <si>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</si>
  <si>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</si>
  <si>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</si>
  <si>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</si>
  <si>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</si>
  <si>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</si>
  <si>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</si>
  <si>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</si>
  <si>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</si>
  <si>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</si>
  <si>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</si>
  <si>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</si>
  <si>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</si>
  <si>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</si>
  <si>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</si>
  <si>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</si>
  <si>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</si>
  <si>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</si>
  <si>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</si>
  <si>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</si>
  <si>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</si>
  <si>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</si>
  <si>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</si>
  <si>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</si>
  <si>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</si>
  <si>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</si>
  <si>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</si>
  <si>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</si>
  <si>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</si>
  <si>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</si>
  <si>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</si>
  <si>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</si>
  <si>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</si>
  <si>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</si>
  <si>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</si>
  <si>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</si>
  <si>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</si>
  <si>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</si>
  <si>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</si>
  <si>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</si>
  <si>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</si>
  <si>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</si>
  <si>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</si>
  <si>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</si>
  <si>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</si>
  <si>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</si>
  <si>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</si>
  <si>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</si>
  <si>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</si>
  <si>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</si>
  <si>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</si>
  <si>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</si>
  <si>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</si>
  <si>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</si>
  <si>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</si>
  <si>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</si>
  <si>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</si>
  <si>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</si>
  <si>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</si>
  <si>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</si>
  <si>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</si>
  <si>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</si>
  <si>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</si>
  <si>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</si>
  <si>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</si>
  <si>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</si>
  <si>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</si>
  <si>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</si>
  <si>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</si>
  <si>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</si>
  <si>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</si>
  <si>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</si>
  <si>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</si>
  <si>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</si>
  <si>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</si>
  <si>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</si>
  <si>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</si>
  <si>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</si>
  <si>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</si>
  <si>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</si>
  <si>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</si>
  <si>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</si>
  <si>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</si>
  <si>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</si>
  <si>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</si>
  <si>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</si>
  <si>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</si>
  <si>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</si>
  <si>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</si>
  <si>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</si>
  <si>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</si>
  <si>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</si>
  <si>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</si>
  <si>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</si>
  <si>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</si>
  <si>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</si>
  <si>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</si>
  <si>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</si>
  <si>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</si>
  <si>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</si>
  <si>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</si>
  <si>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</si>
  <si>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</si>
  <si>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</si>
  <si>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</si>
  <si>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</si>
  <si>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</si>
  <si>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</si>
  <si>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</si>
  <si>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</si>
  <si>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</si>
  <si>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</si>
  <si>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</si>
  <si>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</si>
  <si>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</si>
  <si>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</si>
  <si>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</si>
  <si>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</si>
  <si>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</si>
  <si>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</si>
  <si>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</si>
  <si>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</si>
  <si>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</si>
  <si>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</si>
  <si>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</si>
  <si>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</si>
  <si>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</si>
  <si>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</si>
  <si>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</si>
  <si>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</si>
  <si>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</si>
  <si>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</si>
  <si>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</si>
  <si>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</si>
  <si>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</si>
  <si>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</si>
  <si>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</si>
  <si>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</si>
  <si>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</si>
  <si>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</si>
  <si>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</si>
  <si>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</si>
  <si>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</si>
  <si>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</si>
  <si>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</si>
  <si>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</si>
  <si>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</si>
  <si>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</si>
  <si>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</si>
  <si>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</si>
  <si>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</si>
  <si>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</si>
  <si>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</si>
  <si>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</si>
  <si>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</si>
  <si>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</si>
  <si>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</si>
  <si>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</si>
  <si>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</si>
  <si>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</si>
  <si>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</si>
  <si>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</si>
  <si>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</si>
  <si>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</si>
  <si>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</si>
  <si>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</si>
  <si>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</si>
  <si>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</si>
  <si>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</si>
  <si>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</si>
  <si>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</si>
  <si>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</si>
  <si>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</si>
  <si>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</si>
  <si>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</si>
  <si>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</si>
  <si>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</si>
  <si>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</si>
  <si>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</si>
  <si>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</si>
  <si>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</si>
  <si>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</si>
  <si>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</si>
  <si>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</si>
  <si>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</si>
  <si>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</si>
  <si>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</si>
  <si>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</si>
  <si>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</si>
  <si>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</si>
  <si>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</si>
  <si>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</si>
  <si>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</si>
  <si>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</si>
  <si>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</si>
  <si>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</si>
  <si>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</si>
  <si>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</si>
  <si>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</si>
  <si>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</si>
  <si>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</si>
  <si>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</si>
  <si>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</si>
  <si>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</si>
  <si>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</si>
  <si>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</si>
  <si>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</si>
  <si>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</si>
  <si>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</si>
  <si>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</si>
  <si>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</si>
  <si>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</si>
  <si>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</si>
  <si>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</si>
  <si>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</si>
  <si>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</si>
  <si>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</si>
  <si>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</si>
  <si>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</si>
  <si>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</si>
  <si>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</si>
  <si>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</si>
  <si>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</si>
  <si>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</si>
  <si>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</si>
  <si>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</si>
  <si>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</si>
  <si>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</si>
  <si>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</si>
  <si>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</si>
  <si>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</si>
  <si>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</si>
  <si>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</si>
  <si>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</si>
  <si>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</si>
  <si>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</si>
  <si>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</si>
  <si>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</si>
  <si>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</si>
  <si>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</si>
  <si>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</si>
  <si>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</si>
  <si>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</si>
  <si>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</si>
  <si>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</si>
  <si>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</si>
  <si>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</si>
  <si>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</si>
  <si>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</si>
  <si>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</si>
  <si>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</si>
  <si>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</si>
  <si>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</si>
  <si>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</si>
  <si>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</si>
  <si>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</si>
  <si>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</si>
  <si>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</si>
  <si>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</si>
  <si>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</si>
  <si>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</si>
  <si>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</si>
  <si>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</si>
  <si>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</si>
  <si>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</si>
  <si>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</si>
  <si>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</si>
  <si>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</si>
  <si>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</si>
  <si>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</si>
  <si>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</si>
  <si>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</si>
  <si>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</si>
  <si>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</si>
  <si>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</si>
  <si>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</si>
  <si>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</si>
  <si>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</si>
  <si>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</si>
  <si>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</si>
  <si>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</si>
  <si>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</si>
  <si>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</si>
  <si>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</si>
  <si>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</si>
  <si>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</si>
  <si>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</si>
  <si>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</si>
  <si>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</si>
  <si>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</si>
  <si>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</si>
  <si>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</si>
  <si>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</si>
  <si>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</si>
  <si>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</si>
  <si>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</si>
  <si>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</si>
  <si>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</si>
  <si>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</si>
  <si>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</si>
  <si>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</si>
  <si>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</si>
  <si>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</si>
  <si>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</si>
  <si>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</si>
  <si>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</si>
  <si>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</si>
  <si>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</si>
  <si>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</si>
  <si>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</si>
  <si>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</si>
  <si>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</si>
  <si>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</si>
  <si>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</si>
  <si>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</si>
  <si>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</si>
  <si>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</si>
  <si>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</si>
  <si>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</si>
  <si>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</si>
  <si>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</si>
  <si>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</si>
  <si>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</si>
  <si>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</si>
  <si>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</si>
  <si>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</si>
  <si>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</si>
  <si>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</si>
  <si>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</si>
  <si>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</si>
  <si>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</si>
  <si>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</si>
  <si>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</si>
  <si>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</si>
  <si>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</si>
  <si>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</si>
  <si>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</si>
  <si>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</si>
  <si>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</si>
  <si>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</si>
  <si>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</si>
  <si>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</si>
  <si>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</si>
  <si>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</si>
  <si>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</si>
  <si>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</si>
  <si>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</si>
  <si>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</si>
  <si>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</si>
  <si>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</si>
  <si>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</si>
  <si>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</si>
  <si>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</si>
  <si>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</si>
  <si>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</si>
  <si>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</si>
  <si>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</si>
  <si>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</si>
  <si>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</si>
  <si>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</si>
  <si>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</si>
  <si>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</si>
  <si>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</si>
  <si>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</si>
  <si>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</si>
  <si>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</si>
  <si>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</si>
  <si>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</si>
  <si>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</si>
  <si>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</si>
  <si>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</si>
  <si>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</si>
  <si>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</si>
  <si>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</si>
  <si>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</si>
  <si>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</si>
  <si>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</si>
  <si>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</si>
  <si>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</si>
  <si>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</si>
  <si>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</si>
  <si>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</si>
  <si>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</si>
  <si>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</si>
  <si>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</si>
  <si>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</si>
  <si>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</si>
  <si>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</si>
  <si>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</si>
  <si>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</si>
  <si>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</si>
  <si>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</si>
  <si>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</si>
  <si>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</si>
  <si>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</si>
  <si>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</si>
  <si>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</si>
  <si>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</si>
  <si>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</si>
  <si>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</si>
  <si>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</si>
  <si>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</si>
  <si>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</si>
  <si>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</si>
  <si>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</si>
  <si>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</si>
  <si>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</si>
  <si>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</si>
  <si>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</si>
  <si>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</si>
  <si>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</si>
  <si>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</si>
  <si>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</si>
  <si>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</si>
  <si>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</si>
  <si>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</si>
  <si>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</si>
  <si>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</si>
  <si>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</si>
  <si>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</si>
  <si>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</si>
  <si>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</si>
  <si>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</si>
  <si>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</si>
  <si>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</si>
  <si>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</si>
  <si>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</si>
  <si>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</si>
  <si>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</si>
  <si>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</si>
  <si>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</si>
  <si>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</si>
  <si>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</si>
  <si>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</si>
  <si>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</si>
  <si>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</si>
  <si>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</si>
  <si>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</si>
  <si>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</si>
  <si>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</si>
  <si>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</si>
  <si>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</si>
  <si>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</si>
  <si>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</si>
  <si>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</si>
  <si>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</si>
  <si>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</si>
  <si>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</si>
  <si>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</si>
  <si>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</si>
  <si>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</si>
  <si>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</si>
  <si>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</si>
  <si>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</si>
  <si>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</si>
  <si>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</si>
  <si>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</si>
  <si>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</si>
  <si>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</si>
  <si>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</si>
  <si>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</si>
  <si>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</si>
  <si>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</si>
  <si>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</si>
  <si>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</si>
  <si>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</si>
  <si>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</si>
  <si>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</si>
  <si>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</si>
  <si>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</si>
  <si>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</si>
  <si>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</si>
  <si>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</si>
  <si>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</si>
  <si>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</si>
  <si>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</si>
  <si>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</si>
  <si>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</si>
  <si>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</si>
  <si>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</si>
  <si>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</si>
  <si>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</si>
  <si>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</si>
  <si>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</si>
  <si>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</si>
  <si>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</si>
  <si>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</si>
  <si>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</si>
  <si>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</si>
  <si>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</si>
  <si>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</si>
  <si>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</si>
  <si>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</si>
  <si>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</si>
  <si>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</si>
  <si>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</si>
  <si>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</si>
  <si>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</si>
  <si>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</si>
  <si>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</si>
  <si>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</si>
  <si>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</si>
  <si>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</si>
  <si>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</si>
  <si>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</si>
  <si>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</si>
  <si>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</si>
  <si>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</si>
  <si>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</si>
  <si>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</si>
  <si>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</si>
  <si>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</si>
  <si>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</si>
  <si>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</si>
  <si>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</si>
  <si>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</si>
  <si>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</si>
  <si>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</si>
  <si>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</si>
  <si>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</si>
  <si>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</si>
  <si>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</si>
  <si>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</si>
  <si>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</si>
  <si>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</si>
  <si>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</si>
  <si>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</si>
  <si>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</si>
  <si>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</si>
  <si>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</si>
  <si>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</si>
  <si>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</si>
  <si>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</si>
  <si>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</si>
  <si>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</si>
  <si>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</si>
  <si>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</si>
  <si>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</si>
  <si>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</si>
  <si>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</si>
  <si>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</si>
  <si>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</si>
  <si>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</si>
  <si>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</si>
  <si>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</si>
  <si>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</si>
  <si>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</si>
  <si>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</si>
  <si>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</si>
  <si>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</si>
  <si>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</si>
  <si>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</si>
  <si>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</si>
  <si>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</si>
  <si>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</si>
  <si>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</si>
  <si>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</si>
  <si>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</si>
  <si>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</si>
  <si>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</si>
  <si>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</si>
  <si>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</si>
  <si>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</si>
  <si>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</si>
  <si>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</si>
  <si>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</si>
  <si>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</si>
  <si>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</si>
  <si>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</si>
  <si>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</si>
  <si>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</si>
  <si>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</si>
  <si>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</si>
  <si>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</si>
  <si>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</si>
  <si>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</si>
  <si>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</si>
  <si>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</si>
  <si>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</si>
  <si>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</si>
  <si>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</si>
  <si>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</si>
  <si>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</si>
  <si>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</si>
  <si>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</si>
  <si>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</si>
  <si>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</si>
  <si>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</si>
  <si>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</si>
  <si>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</si>
  <si>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</si>
  <si>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</si>
  <si>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</si>
  <si>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</si>
  <si>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</si>
  <si>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</si>
  <si>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</si>
  <si>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</si>
  <si>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</si>
  <si>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</si>
  <si>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</si>
  <si>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</si>
  <si>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</si>
  <si>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</si>
  <si>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</si>
  <si>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</si>
  <si>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</si>
  <si>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</si>
  <si>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</si>
  <si>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</si>
  <si>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</si>
  <si>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</si>
  <si>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</si>
  <si>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</si>
  <si>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</si>
  <si>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</si>
  <si>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</si>
  <si>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</si>
  <si>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</si>
  <si>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</si>
  <si>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</si>
  <si>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</si>
  <si>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</si>
  <si>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</si>
  <si>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</si>
  <si>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</si>
  <si>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</si>
  <si>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</si>
  <si>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</si>
  <si>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</si>
  <si>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</si>
  <si>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</si>
  <si>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</si>
  <si>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</si>
  <si>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</si>
  <si>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</si>
  <si>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</si>
  <si>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</si>
  <si>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</si>
  <si>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</si>
  <si>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</si>
  <si>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</si>
  <si>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</si>
  <si>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</si>
  <si>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</si>
  <si>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</si>
  <si>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</si>
  <si>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</si>
  <si>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</si>
  <si>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</si>
  <si>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</si>
  <si>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</si>
  <si>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</si>
  <si>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</si>
  <si>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</si>
  <si>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</si>
  <si>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</si>
  <si>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</si>
  <si>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</si>
  <si>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</si>
  <si>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</si>
  <si>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</si>
  <si>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</si>
  <si>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</si>
  <si>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</si>
  <si>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</si>
  <si>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</si>
  <si>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</si>
  <si>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</si>
  <si>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</si>
  <si>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</si>
  <si>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</si>
  <si>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</si>
  <si>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</si>
  <si>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</si>
  <si>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</si>
  <si>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</si>
  <si>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</si>
  <si>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</si>
  <si>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</si>
  <si>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</si>
  <si>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</si>
  <si>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</si>
  <si>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</si>
  <si>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</si>
  <si>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</si>
  <si>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</si>
  <si>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</si>
  <si>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</si>
  <si>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</si>
  <si>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</si>
  <si>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</si>
  <si>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</si>
  <si>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</si>
  <si>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</si>
  <si>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</si>
  <si>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</si>
  <si>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</si>
  <si>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</si>
  <si>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</si>
  <si>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</si>
  <si>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</si>
  <si>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</si>
  <si>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</si>
  <si>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</si>
  <si>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</si>
  <si>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</si>
  <si>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</si>
  <si>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</si>
  <si>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</si>
  <si>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</si>
  <si>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</si>
  <si>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</si>
  <si>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</si>
  <si>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</si>
  <si>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</si>
  <si>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</si>
  <si>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</si>
  <si>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</si>
  <si>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</si>
  <si>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</si>
  <si>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</si>
  <si>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</si>
  <si>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</si>
  <si>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</si>
  <si>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</si>
  <si>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</si>
  <si>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</si>
  <si>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</si>
  <si>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</si>
  <si>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</si>
  <si>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</si>
  <si>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</si>
  <si>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</si>
  <si>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</si>
  <si>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</si>
  <si>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</si>
  <si>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</si>
  <si>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</si>
  <si>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</si>
  <si>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</si>
  <si>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</si>
  <si>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</si>
  <si>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</si>
  <si>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</si>
  <si>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</si>
  <si>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</si>
  <si>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</si>
  <si>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</si>
  <si>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</si>
  <si>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</si>
  <si>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</si>
  <si>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</si>
  <si>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</si>
  <si>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</si>
  <si>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</si>
  <si>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</si>
  <si>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</si>
  <si>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</si>
  <si>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</si>
  <si>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</si>
  <si>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</si>
  <si>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</si>
  <si>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</si>
  <si>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</si>
  <si>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</si>
  <si>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</si>
  <si>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</si>
  <si>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</si>
  <si>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</si>
  <si>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</si>
  <si>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</si>
  <si>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</si>
  <si>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</si>
  <si>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</si>
  <si>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</si>
  <si>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</si>
  <si>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</si>
  <si>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</si>
  <si>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</si>
  <si>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</si>
  <si>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</si>
  <si>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</si>
  <si>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</si>
  <si>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</si>
  <si>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</si>
  <si>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</si>
  <si>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</si>
  <si>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</si>
  <si>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</si>
  <si>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</si>
  <si>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</si>
  <si>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</si>
  <si>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</si>
  <si>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</si>
  <si>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</si>
  <si>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</si>
  <si>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</si>
  <si>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</si>
  <si>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</si>
  <si>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</si>
  <si>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</si>
  <si>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</si>
  <si>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</si>
  <si>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</si>
  <si>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</si>
  <si>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</si>
  <si>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</si>
  <si>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</si>
  <si>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</si>
  <si>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</si>
  <si>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</si>
  <si>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</si>
  <si>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</si>
  <si>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</si>
  <si>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</si>
  <si>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</si>
  <si>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</si>
  <si>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</si>
  <si>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</si>
  <si>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</si>
  <si>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</si>
  <si>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</si>
  <si>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</si>
  <si>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</si>
  <si>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</si>
  <si>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</si>
  <si>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</si>
  <si>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</si>
  <si>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</si>
  <si>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</si>
  <si>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</si>
  <si>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</si>
  <si>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</si>
  <si>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</si>
  <si>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</si>
  <si>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</si>
  <si>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</si>
  <si>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</si>
  <si>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</si>
  <si>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</si>
  <si>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</si>
  <si>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</si>
  <si>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</si>
  <si>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</si>
  <si>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</si>
  <si>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</si>
  <si>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</si>
  <si>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</si>
  <si>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</si>
  <si>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</si>
  <si>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</si>
  <si>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</si>
  <si>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</si>
  <si>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</si>
  <si>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</si>
  <si>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</si>
  <si>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</si>
  <si>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</si>
  <si>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</si>
  <si>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</si>
  <si>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</si>
  <si>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</si>
  <si>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</si>
  <si>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</si>
  <si>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</si>
  <si>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</si>
  <si>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</si>
  <si>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</si>
  <si>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</si>
  <si>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</si>
  <si>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</si>
  <si>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</si>
  <si>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</si>
  <si>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</si>
  <si>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</si>
  <si>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</si>
  <si>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</si>
  <si>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</si>
  <si>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</si>
  <si>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</si>
  <si>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</si>
  <si>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</si>
  <si>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</si>
  <si>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</si>
  <si>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</si>
  <si>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</si>
  <si>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</si>
  <si>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</si>
  <si>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</si>
  <si>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</si>
  <si>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</si>
  <si>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</si>
  <si>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</si>
  <si>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</si>
  <si>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</si>
  <si>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</si>
  <si>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</si>
  <si>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</si>
  <si>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</si>
  <si>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</si>
  <si>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</si>
  <si>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</si>
  <si>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</si>
  <si>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</si>
  <si>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</si>
  <si>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</si>
  <si>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</si>
  <si>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</si>
  <si>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</si>
  <si>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</si>
  <si>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</si>
  <si>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</si>
  <si>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</si>
  <si>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</si>
  <si>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</si>
  <si>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</si>
  <si>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</si>
  <si>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</si>
  <si>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</si>
  <si>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</si>
  <si>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</si>
  <si>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</si>
  <si>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</si>
  <si>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</si>
  <si>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</si>
  <si>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</si>
  <si>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</si>
  <si>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</si>
  <si>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</si>
  <si>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</si>
  <si>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</si>
  <si>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</si>
  <si>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</si>
  <si>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</si>
  <si>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</si>
  <si>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</si>
  <si>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</si>
  <si>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</si>
  <si>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</si>
  <si>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</si>
  <si>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</si>
  <si>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</si>
  <si>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</si>
  <si>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</si>
  <si>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</si>
  <si>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</si>
  <si>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</si>
  <si>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</si>
  <si>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</si>
  <si>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</si>
  <si>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</si>
  <si>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</si>
  <si>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</si>
  <si>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</si>
  <si>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</si>
  <si>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</si>
  <si>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</si>
  <si>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</si>
  <si>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</si>
  <si>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</si>
  <si>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</si>
  <si>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</si>
  <si>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</si>
  <si>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</si>
  <si>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</si>
  <si>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</si>
  <si>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</si>
  <si>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</si>
  <si>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</si>
  <si>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</si>
  <si>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</si>
  <si>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</si>
  <si>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</si>
  <si>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</si>
  <si>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</si>
  <si>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</si>
  <si>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</si>
  <si>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</si>
  <si>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</si>
  <si>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</si>
  <si>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</si>
  <si>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</si>
  <si>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</si>
  <si>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</si>
  <si>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</si>
  <si>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</si>
  <si>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</si>
  <si>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</si>
  <si>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</si>
  <si>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</si>
  <si>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</si>
  <si>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</si>
  <si>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</si>
  <si>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</si>
  <si>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</si>
  <si>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</si>
  <si>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</si>
  <si>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</si>
  <si>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</si>
  <si>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</si>
  <si>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</si>
  <si>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</si>
  <si>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</si>
  <si>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</si>
  <si>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</si>
  <si>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</si>
  <si>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</si>
  <si>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</si>
  <si>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</si>
  <si>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</si>
  <si>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</si>
  <si>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</si>
  <si>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</si>
  <si>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</si>
  <si>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</si>
  <si>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</si>
  <si>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</si>
  <si>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</si>
  <si>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</si>
  <si>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</si>
  <si>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</si>
  <si>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</si>
  <si>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</si>
  <si>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</si>
  <si>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</si>
  <si>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</si>
  <si>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</si>
  <si>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</si>
  <si>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</si>
  <si>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</si>
  <si>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</si>
  <si>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</si>
  <si>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</si>
  <si>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</si>
  <si>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</si>
  <si>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</si>
  <si>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</si>
  <si>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</si>
  <si>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</si>
  <si>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</si>
  <si>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</si>
  <si>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</si>
  <si>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</si>
  <si>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</si>
  <si>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</si>
  <si>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</si>
  <si>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</si>
  <si>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</si>
  <si>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</si>
  <si>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</si>
  <si>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</si>
  <si>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</si>
  <si>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</si>
  <si>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</si>
  <si>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</si>
  <si>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</si>
  <si>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</si>
  <si>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</si>
  <si>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</si>
  <si>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</si>
  <si>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</si>
  <si>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</si>
  <si>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</si>
  <si>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</si>
  <si>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</si>
  <si>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</si>
  <si>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</si>
  <si>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</si>
  <si>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</si>
  <si>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</si>
  <si>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</si>
  <si>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</si>
  <si>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</si>
  <si>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</si>
  <si>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</si>
  <si>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</si>
  <si>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</si>
  <si>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</si>
  <si>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</si>
  <si>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</si>
  <si>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</si>
  <si>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</si>
  <si>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</si>
  <si>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</si>
  <si>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</si>
  <si>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</si>
  <si>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</si>
  <si>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</si>
  <si>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</si>
  <si>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</si>
  <si>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</si>
  <si>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</si>
  <si>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</si>
  <si>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</si>
  <si>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</si>
  <si>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</si>
  <si>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</si>
  <si>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</si>
  <si>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</si>
  <si>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</si>
  <si>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</si>
  <si>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</si>
  <si>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</si>
  <si>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</si>
  <si>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</si>
  <si>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</si>
  <si>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</si>
  <si>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</si>
  <si>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</si>
  <si>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</si>
  <si>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</si>
  <si>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</si>
  <si>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</si>
  <si>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</si>
  <si>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</si>
  <si>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</si>
  <si>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</si>
  <si>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</si>
  <si>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</si>
  <si>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</si>
  <si>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</si>
  <si>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</si>
  <si>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</si>
  <si>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</si>
  <si>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</si>
  <si>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</si>
  <si>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</si>
  <si>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</si>
  <si>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</si>
  <si>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</si>
  <si>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</si>
  <si>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</si>
  <si>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</si>
  <si>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</si>
  <si>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</si>
  <si>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</si>
  <si>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</si>
  <si>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</si>
  <si>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</si>
  <si>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</si>
  <si>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</si>
  <si>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</si>
  <si>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</si>
  <si>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</si>
  <si>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</si>
  <si>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</si>
  <si>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</si>
  <si>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</si>
  <si>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</si>
  <si>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</si>
  <si>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</si>
  <si>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</si>
  <si>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</si>
  <si>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</si>
  <si>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</si>
  <si>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</si>
  <si>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</si>
  <si>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</si>
  <si>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</si>
  <si>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</si>
  <si>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</si>
  <si>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</si>
  <si>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</si>
  <si>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</si>
  <si>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</si>
  <si>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</si>
  <si>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</si>
  <si>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</si>
  <si>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</si>
  <si>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</si>
  <si>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</si>
  <si>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</si>
  <si>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</si>
  <si>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</si>
  <si>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</si>
  <si>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</si>
  <si>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</si>
  <si>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</si>
  <si>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</si>
  <si>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</si>
  <si>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</si>
  <si>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</si>
  <si>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</si>
  <si>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</si>
  <si>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</si>
  <si>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</si>
  <si>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</si>
  <si>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</si>
  <si>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</si>
  <si>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</si>
  <si>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</si>
  <si>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</si>
  <si>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</si>
  <si>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</si>
  <si>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</si>
  <si>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</si>
  <si>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</si>
  <si>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</si>
  <si>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</si>
  <si>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</si>
  <si>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</si>
  <si>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</si>
  <si>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</si>
  <si>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</si>
  <si>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</si>
  <si>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</si>
  <si>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</si>
  <si>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</si>
  <si>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</si>
  <si>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</si>
  <si>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</si>
  <si>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</si>
  <si>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</si>
  <si>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</si>
  <si>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</si>
  <si>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</si>
  <si>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</si>
  <si>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</si>
  <si>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</si>
  <si>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</si>
  <si>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</si>
  <si>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</si>
  <si>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</si>
  <si>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</si>
  <si>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</si>
  <si>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</si>
  <si>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</si>
  <si>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</si>
  <si>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</si>
  <si>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</si>
  <si>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</si>
  <si>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</si>
  <si>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</si>
  <si>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</si>
  <si>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</si>
  <si>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</si>
  <si>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</si>
  <si>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</si>
  <si>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</si>
  <si>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</si>
  <si>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</si>
  <si>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</si>
  <si>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</si>
  <si>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</si>
  <si>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</si>
  <si>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</si>
  <si>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</si>
  <si>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</si>
  <si>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</si>
  <si>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</si>
  <si>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</si>
  <si>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</si>
  <si>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</si>
  <si>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</si>
  <si>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</si>
  <si>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</si>
  <si>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</si>
  <si>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</si>
  <si>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</si>
  <si>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</si>
  <si>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</si>
  <si>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</si>
  <si>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</si>
  <si>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</si>
  <si>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</si>
  <si>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</si>
  <si>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</si>
  <si>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</si>
  <si>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</si>
  <si>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</si>
  <si>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</si>
  <si>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</si>
  <si>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</si>
  <si>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</si>
  <si>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</si>
  <si>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</si>
  <si>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</si>
  <si>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</si>
  <si>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</si>
  <si>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</si>
  <si>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</si>
  <si>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</si>
  <si>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</si>
  <si>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</si>
  <si>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</si>
  <si>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</si>
  <si>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</si>
  <si>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</si>
  <si>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</si>
  <si>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</si>
  <si>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</si>
  <si>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</si>
  <si>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</si>
  <si>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</si>
  <si>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</si>
  <si>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</si>
  <si>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</si>
  <si>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</si>
  <si>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</si>
  <si>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</si>
  <si>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</si>
  <si>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</si>
  <si>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</si>
  <si>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</si>
  <si>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</si>
  <si>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</si>
  <si>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</si>
  <si>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</si>
  <si>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</si>
  <si>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</si>
  <si>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</si>
  <si>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</si>
  <si>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</si>
  <si>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</si>
  <si>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</si>
  <si>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</si>
  <si>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</si>
  <si>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</si>
  <si>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</si>
  <si>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</si>
  <si>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</si>
  <si>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</si>
  <si>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</si>
  <si>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</si>
  <si>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</si>
  <si>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</si>
  <si>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</si>
  <si>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</si>
  <si>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</si>
  <si>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</si>
  <si>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</si>
  <si>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</si>
  <si>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</si>
  <si>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</si>
  <si>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</si>
  <si>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</si>
  <si>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</si>
  <si>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</si>
  <si>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</si>
  <si>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</si>
  <si>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</si>
  <si>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</si>
  <si>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</si>
  <si>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</si>
  <si>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</si>
  <si>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</si>
  <si>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</si>
  <si>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</si>
  <si>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</si>
  <si>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</si>
  <si>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</si>
  <si>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</si>
  <si>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</si>
  <si>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</si>
  <si>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</si>
  <si>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</si>
  <si>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</si>
  <si>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</si>
  <si>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</si>
  <si>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</si>
  <si>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</si>
  <si>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</si>
  <si>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</si>
  <si>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</si>
  <si>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</si>
  <si>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</si>
  <si>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</si>
  <si>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</si>
  <si>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</si>
  <si>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</si>
  <si>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</si>
  <si>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</si>
  <si>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</si>
  <si>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</si>
  <si>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</si>
  <si>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</si>
  <si>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</si>
  <si>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</si>
  <si>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</si>
  <si>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</si>
  <si>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</si>
  <si>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</si>
  <si>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</si>
  <si>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</si>
  <si>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</si>
  <si>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</si>
  <si>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</si>
  <si>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</si>
  <si>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</si>
  <si>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</si>
  <si>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</si>
  <si>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</si>
  <si>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</si>
  <si>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</si>
  <si>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</si>
  <si>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</si>
  <si>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</si>
  <si>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</si>
  <si>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</si>
  <si>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</si>
  <si>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</si>
  <si>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</si>
  <si>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</si>
  <si>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</si>
  <si>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</si>
  <si>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</si>
  <si>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</si>
  <si>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</si>
  <si>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</si>
  <si>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</si>
  <si>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</si>
  <si>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</si>
  <si>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</si>
  <si>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</si>
  <si>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</si>
  <si>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</si>
  <si>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</si>
  <si>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</si>
  <si>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</si>
  <si>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</si>
  <si>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</si>
  <si>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</si>
  <si>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</si>
  <si>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</si>
  <si>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</si>
  <si>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</si>
  <si>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</si>
  <si>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</si>
  <si>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</si>
  <si>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</si>
  <si>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</si>
  <si>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</si>
  <si>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</si>
  <si>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</si>
  <si>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</si>
  <si>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</si>
  <si>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</si>
  <si>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</si>
  <si>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</si>
  <si>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</si>
  <si>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</si>
  <si>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</si>
  <si>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</si>
  <si>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</si>
  <si>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</si>
  <si>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</si>
  <si>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</si>
  <si>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</si>
  <si>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</si>
  <si>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</si>
  <si>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</si>
  <si>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</si>
  <si>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</si>
  <si>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</si>
  <si>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</si>
  <si>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</si>
  <si>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</si>
  <si>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</si>
  <si>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</si>
  <si>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</si>
  <si>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</si>
  <si>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</si>
  <si>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</si>
  <si>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</si>
  <si>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</si>
  <si>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</si>
  <si>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</si>
  <si>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</si>
  <si>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</si>
  <si>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</si>
  <si>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</si>
  <si>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</si>
  <si>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</si>
  <si>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</si>
  <si>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</si>
  <si>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</si>
  <si>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</si>
  <si>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</si>
  <si>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</si>
  <si>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</si>
  <si>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</si>
  <si>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</si>
  <si>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</si>
  <si>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</si>
  <si>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</si>
  <si>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</si>
  <si>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</si>
  <si>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</si>
  <si>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</si>
  <si>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</si>
  <si>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</si>
  <si>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</si>
  <si>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</si>
  <si>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</si>
  <si>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</si>
  <si>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</si>
  <si>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</si>
  <si>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</si>
  <si>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</si>
  <si>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</si>
  <si>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</si>
  <si>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</si>
  <si>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</si>
  <si>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</si>
  <si>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</si>
  <si>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</si>
  <si>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</si>
  <si>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</si>
  <si>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</si>
  <si>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</si>
  <si>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</si>
  <si>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</si>
  <si>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</si>
  <si>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</si>
  <si>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</si>
  <si>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</si>
  <si>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</si>
  <si>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</si>
  <si>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</si>
  <si>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</si>
  <si>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</si>
  <si>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</si>
  <si>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</si>
  <si>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</si>
  <si>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</si>
  <si>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</si>
  <si>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</si>
  <si>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</si>
  <si>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</si>
  <si>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</si>
  <si>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</si>
  <si>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</si>
  <si>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</si>
  <si>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</si>
  <si>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</si>
  <si>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</si>
  <si>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</si>
  <si>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</si>
  <si>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</si>
  <si>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</si>
  <si>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</si>
  <si>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</si>
  <si>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</si>
  <si>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</si>
  <si>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</si>
  <si>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</si>
  <si>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</si>
  <si>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</si>
  <si>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</si>
  <si>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</si>
  <si>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</si>
  <si>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</si>
  <si>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</si>
  <si>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</si>
  <si>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</si>
  <si>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</si>
  <si>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</si>
  <si>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</si>
  <si>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</si>
  <si>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</si>
  <si>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</si>
  <si>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</si>
  <si>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</si>
  <si>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</si>
  <si>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</si>
  <si>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</si>
  <si>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</si>
  <si>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</si>
  <si>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</si>
  <si>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</si>
  <si>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</si>
  <si>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</si>
  <si>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</si>
  <si>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</si>
  <si>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</si>
  <si>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</si>
  <si>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</si>
  <si>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</si>
  <si>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</si>
  <si>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</si>
  <si>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</si>
  <si>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</si>
  <si>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</si>
  <si>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</si>
  <si>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</si>
  <si>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</si>
  <si>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</si>
  <si>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</si>
  <si>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</si>
  <si>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</si>
  <si>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</si>
  <si>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</si>
  <si>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</si>
  <si>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</si>
  <si>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</si>
  <si>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</si>
  <si>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</si>
  <si>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</si>
  <si>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</si>
  <si>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</si>
  <si>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</si>
  <si>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</si>
  <si>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</si>
  <si>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</si>
  <si>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</si>
  <si>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</si>
  <si>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</si>
  <si>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</si>
  <si>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</si>
  <si>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</si>
  <si>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</si>
  <si>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</si>
  <si>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</si>
  <si>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</si>
  <si>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</si>
  <si>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</si>
  <si>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</si>
  <si>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</si>
  <si>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</si>
  <si>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</si>
  <si>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</si>
  <si>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</si>
  <si>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</si>
  <si>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</si>
  <si>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</si>
  <si>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</si>
  <si>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</si>
  <si>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</si>
  <si>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</si>
  <si>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</si>
  <si>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</si>
  <si>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</si>
  <si>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</si>
  <si>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</si>
  <si>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</si>
  <si>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</si>
  <si>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</si>
  <si>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</si>
  <si>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</si>
  <si>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</si>
  <si>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</si>
  <si>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</si>
  <si>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</si>
  <si>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</si>
  <si>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</si>
  <si>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</si>
  <si>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</si>
  <si>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</si>
  <si>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</si>
  <si>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</si>
  <si>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</si>
  <si>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</si>
  <si>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</si>
  <si>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</si>
  <si>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</si>
  <si>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</si>
  <si>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</si>
  <si>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</si>
  <si>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</si>
  <si>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</si>
  <si>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</si>
  <si>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</si>
  <si>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</si>
  <si>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</si>
  <si>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</si>
  <si>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</si>
  <si>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</si>
  <si>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</si>
  <si>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</si>
  <si>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</si>
  <si>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</si>
  <si>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</si>
  <si>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</si>
  <si>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</si>
  <si>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</si>
  <si>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</si>
  <si>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</si>
  <si>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</si>
  <si>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</si>
  <si>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</si>
  <si>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</si>
  <si>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</si>
  <si>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</si>
  <si>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</si>
  <si>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</si>
  <si>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</si>
  <si>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</si>
  <si>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</si>
  <si>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</si>
  <si>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</si>
  <si>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</si>
  <si>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</si>
  <si>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</si>
  <si>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</si>
  <si>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</si>
  <si>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</si>
  <si>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</si>
  <si>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</si>
  <si>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</si>
  <si>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</si>
  <si>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</si>
  <si>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</si>
  <si>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</si>
  <si>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</si>
  <si>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</si>
  <si>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</si>
  <si>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</si>
  <si>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</si>
  <si>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</si>
  <si>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</si>
  <si>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</si>
  <si>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</si>
  <si>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</si>
  <si>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</si>
  <si>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</si>
  <si>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</si>
  <si>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</si>
  <si>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</si>
  <si>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</si>
  <si>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</si>
  <si>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</si>
  <si>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</si>
  <si>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</si>
  <si>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</si>
  <si>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</si>
  <si>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</si>
  <si>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</si>
  <si>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</si>
  <si>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</si>
  <si>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</si>
  <si>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</si>
  <si>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</si>
  <si>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</si>
  <si>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</si>
  <si>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</si>
  <si>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</si>
  <si>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</si>
  <si>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</si>
  <si>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</si>
  <si>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</si>
  <si>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</si>
  <si>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</si>
  <si>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</si>
  <si>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</si>
  <si>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</si>
  <si>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</si>
  <si>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</si>
  <si>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</si>
  <si>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</si>
  <si>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</si>
  <si>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</si>
  <si>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</si>
  <si>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</si>
  <si>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</si>
  <si>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</si>
  <si>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</si>
  <si>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</si>
  <si>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</si>
  <si>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</si>
  <si>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</si>
  <si>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</si>
  <si>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</si>
  <si>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</si>
  <si>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</si>
  <si>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</si>
  <si>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</si>
  <si>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</si>
  <si>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</si>
  <si>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</si>
  <si>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</si>
  <si>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</si>
  <si>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</si>
  <si>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</si>
  <si>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</si>
  <si>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</si>
  <si>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</si>
  <si>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</si>
  <si>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</si>
  <si>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</si>
  <si>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</si>
  <si>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</si>
  <si>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</si>
  <si>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</si>
  <si>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</si>
  <si>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</si>
  <si>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</si>
  <si>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</si>
  <si>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</si>
  <si>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</si>
  <si>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</si>
  <si>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</si>
  <si>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</si>
  <si>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</si>
  <si>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</si>
  <si>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</si>
  <si>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</si>
  <si>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</si>
  <si>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</si>
  <si>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</si>
  <si>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</si>
  <si>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</si>
  <si>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</si>
  <si>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</si>
  <si>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</si>
  <si>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</si>
  <si>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</si>
  <si>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</si>
  <si>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</si>
  <si>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</si>
  <si>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</si>
  <si>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</si>
  <si>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</si>
  <si>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</si>
  <si>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</si>
  <si>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</si>
  <si>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</si>
  <si>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</si>
  <si>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</si>
  <si>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</si>
  <si>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</si>
  <si>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</si>
  <si>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</si>
  <si>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</si>
  <si>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</si>
  <si>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</si>
  <si>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</si>
  <si>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</si>
  <si>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</si>
  <si>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</si>
  <si>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</si>
  <si>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</si>
  <si>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</si>
  <si>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</si>
  <si>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</si>
  <si>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</si>
  <si>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</si>
  <si>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</si>
  <si>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</si>
  <si>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</si>
  <si>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</si>
  <si>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</si>
  <si>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</si>
  <si>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</si>
  <si>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</si>
  <si>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</si>
  <si>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</si>
  <si>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</si>
  <si>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</si>
  <si>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</si>
  <si>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</si>
  <si>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</si>
  <si>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</si>
  <si>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</si>
  <si>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</si>
  <si>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</si>
  <si>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</si>
  <si>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</si>
  <si>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</si>
  <si>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</si>
  <si>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</si>
  <si>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</si>
  <si>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</si>
  <si>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</si>
  <si>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</si>
  <si>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</si>
  <si>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</si>
  <si>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</si>
  <si>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</si>
  <si>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</si>
  <si>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</si>
  <si>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</si>
  <si>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</si>
  <si>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</si>
  <si>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</si>
  <si>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</si>
  <si>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</si>
  <si>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</si>
  <si>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</si>
  <si>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</si>
  <si>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</si>
  <si>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</si>
  <si>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</si>
  <si>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</si>
  <si>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</si>
  <si>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</si>
  <si>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</si>
  <si>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</si>
  <si>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</si>
  <si>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</si>
  <si>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</si>
  <si>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</si>
  <si>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</si>
  <si>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</si>
  <si>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</si>
  <si>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</si>
  <si>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</si>
  <si>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</si>
  <si>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</si>
  <si>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</si>
  <si>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</si>
  <si>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</si>
  <si>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</si>
  <si>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</si>
  <si>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</si>
  <si>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</si>
  <si>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</si>
  <si>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</si>
  <si>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</si>
  <si>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</si>
  <si>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</si>
  <si>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</si>
  <si>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</si>
  <si>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</si>
  <si>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</si>
  <si>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</si>
  <si>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</si>
  <si>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</si>
  <si>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</si>
  <si>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</si>
  <si>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</si>
  <si>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</si>
  <si>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</si>
  <si>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</si>
  <si>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</si>
  <si>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</si>
  <si>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</si>
  <si>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</si>
  <si>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</si>
  <si>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</si>
  <si>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</si>
  <si>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</si>
  <si>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</si>
  <si>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</si>
  <si>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</si>
  <si>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</si>
  <si>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</si>
  <si>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</si>
  <si>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</si>
  <si>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</si>
  <si>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</si>
  <si>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</si>
  <si>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</si>
  <si>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</si>
  <si>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</si>
  <si>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</si>
  <si>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</si>
  <si>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</si>
  <si>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</si>
  <si>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</si>
  <si>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</si>
  <si>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</si>
  <si>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</si>
  <si>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</si>
  <si>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</si>
  <si>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</si>
  <si>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</si>
  <si>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</si>
  <si>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</si>
  <si>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</si>
  <si>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</si>
  <si>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</si>
  <si>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</si>
  <si>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</si>
  <si>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</si>
  <si>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</si>
  <si>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</si>
  <si>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</si>
  <si>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</si>
  <si>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</si>
  <si>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</si>
  <si>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</si>
  <si>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</si>
  <si>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</si>
  <si>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</si>
  <si>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</si>
  <si>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</si>
  <si>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</si>
  <si>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</si>
  <si>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</si>
  <si>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</si>
  <si>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</si>
  <si>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</si>
  <si>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</si>
  <si>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</si>
  <si>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</si>
  <si>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</si>
  <si>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</si>
  <si>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</si>
  <si>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</si>
  <si>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</si>
  <si>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</si>
  <si>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</si>
  <si>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</si>
  <si>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</si>
  <si>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</si>
  <si>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</si>
  <si>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</si>
  <si>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</si>
  <si>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</si>
  <si>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</si>
  <si>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</si>
  <si>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</si>
  <si>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</si>
  <si>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</si>
  <si>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</si>
  <si>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</si>
  <si>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</si>
  <si>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</si>
  <si>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</si>
  <si>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</si>
  <si>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</si>
  <si>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</si>
  <si>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</si>
  <si>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</si>
  <si>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</si>
  <si>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</si>
  <si>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</si>
  <si>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</si>
  <si>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</si>
  <si>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</si>
  <si>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</si>
  <si>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</si>
  <si>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</si>
  <si>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</si>
  <si>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</si>
  <si>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</si>
  <si>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</si>
  <si>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</si>
  <si>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</si>
  <si>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</si>
  <si>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</si>
  <si>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</si>
  <si>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</si>
  <si>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</si>
  <si>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</si>
  <si>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</si>
  <si>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</si>
  <si>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</si>
  <si>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</si>
  <si>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</si>
  <si>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</si>
  <si>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</si>
  <si>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</si>
  <si>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</si>
  <si>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</si>
  <si>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</si>
  <si>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</si>
  <si>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</si>
  <si>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</si>
  <si>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</si>
  <si>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</si>
  <si>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</si>
  <si>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</si>
  <si>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</si>
  <si>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</si>
  <si>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</si>
  <si>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</si>
  <si>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</si>
  <si>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</si>
  <si>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</si>
  <si>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</si>
  <si>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</si>
  <si>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</si>
  <si>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</si>
  <si>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</si>
  <si>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</si>
  <si>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</si>
  <si>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</si>
  <si>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</si>
  <si>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</si>
  <si>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</si>
  <si>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</si>
  <si>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</si>
  <si>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</si>
  <si>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</si>
  <si>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</si>
  <si>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</si>
  <si>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</si>
  <si>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</si>
  <si>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</si>
  <si>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</si>
  <si>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</si>
  <si>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</si>
  <si>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</si>
  <si>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</si>
  <si>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</si>
  <si>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</si>
  <si>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</si>
  <si>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</si>
  <si>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</si>
  <si>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</si>
  <si>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</si>
  <si>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</si>
  <si>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</si>
  <si>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</si>
  <si>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</si>
  <si>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</si>
  <si>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</si>
  <si>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</si>
  <si>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</si>
  <si>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</si>
  <si>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</si>
  <si>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</si>
  <si>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</si>
  <si>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</si>
  <si>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</si>
  <si>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</si>
  <si>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</si>
  <si>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</si>
  <si>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</si>
  <si>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</si>
  <si>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</si>
  <si>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</si>
  <si>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</si>
  <si>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</si>
  <si>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</si>
  <si>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</si>
  <si>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</si>
  <si>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</si>
  <si>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</si>
  <si>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</si>
  <si>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</si>
  <si>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</si>
  <si>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</si>
  <si>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</si>
  <si>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</si>
  <si>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</si>
  <si>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</si>
  <si>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</si>
  <si>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</si>
  <si>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</si>
  <si>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</si>
  <si>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</si>
  <si>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</si>
  <si>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</si>
  <si>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</si>
  <si>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</si>
  <si>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</si>
  <si>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</si>
  <si>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</si>
  <si>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</si>
  <si>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</si>
  <si>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</si>
  <si>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</si>
  <si>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</si>
  <si>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</si>
  <si>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</si>
  <si>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</si>
  <si>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</si>
  <si>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</si>
  <si>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</si>
  <si>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</si>
  <si>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</si>
  <si>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</si>
  <si>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</si>
  <si>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</si>
  <si>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</si>
  <si>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</si>
  <si>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</si>
  <si>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</si>
  <si>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</si>
  <si>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</si>
  <si>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</si>
  <si>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</si>
  <si>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</si>
  <si>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</si>
  <si>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</si>
  <si>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</si>
  <si>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</si>
  <si>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</si>
  <si>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</si>
  <si>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</si>
  <si>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</si>
  <si>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</si>
  <si>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</si>
  <si>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</si>
  <si>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</si>
  <si>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</si>
  <si>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</si>
  <si>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</si>
  <si>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</si>
  <si>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</si>
  <si>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</si>
  <si>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</si>
  <si>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</si>
  <si>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</si>
  <si>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</si>
  <si>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</si>
  <si>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</si>
  <si>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</si>
  <si>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</si>
  <si>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</si>
  <si>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</si>
  <si>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</si>
  <si>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</si>
  <si>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</si>
  <si>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</si>
  <si>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</si>
  <si>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</si>
  <si>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</si>
  <si>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</si>
  <si>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</si>
  <si>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</si>
  <si>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</si>
  <si>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</si>
  <si>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</si>
  <si>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</si>
  <si>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</si>
  <si>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</si>
  <si>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</si>
  <si>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</si>
  <si>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</si>
  <si>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</si>
  <si>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</si>
  <si>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</si>
  <si>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</si>
  <si>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</si>
  <si>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</si>
  <si>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</si>
  <si>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</si>
  <si>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</si>
  <si>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</si>
  <si>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</si>
  <si>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</si>
  <si>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</si>
  <si>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</si>
  <si>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</si>
  <si>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</si>
  <si>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</si>
  <si>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</si>
  <si>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</si>
  <si>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</si>
  <si>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</si>
  <si>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</si>
  <si>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</si>
  <si>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</si>
  <si>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</si>
  <si>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</si>
  <si>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</si>
  <si>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</si>
  <si>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</si>
  <si>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</si>
  <si>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</si>
  <si>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</si>
  <si>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</si>
  <si>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</si>
  <si>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</si>
  <si>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</si>
  <si>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</si>
  <si>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</si>
  <si>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</si>
  <si>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</si>
  <si>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</si>
  <si>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</si>
  <si>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</si>
  <si>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</si>
  <si>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</si>
  <si>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</si>
  <si>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</si>
  <si>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</si>
  <si>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</si>
  <si>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</si>
  <si>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</si>
  <si>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</si>
  <si>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</si>
  <si>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</si>
  <si>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</si>
  <si>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</si>
  <si>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</si>
  <si>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</si>
  <si>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</si>
  <si>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</si>
  <si>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</si>
  <si>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</si>
  <si>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</si>
  <si>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</si>
  <si>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</si>
  <si>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</si>
  <si>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</si>
  <si>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</si>
  <si>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</si>
  <si>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</si>
  <si>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</si>
  <si>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</si>
  <si>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</si>
  <si>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</si>
  <si>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</si>
  <si>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</si>
  <si>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</si>
  <si>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</si>
  <si>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</si>
  <si>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</si>
  <si>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</si>
  <si>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</si>
  <si>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</si>
  <si>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</si>
  <si>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</si>
  <si>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</si>
  <si>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</si>
  <si>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</si>
  <si>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</si>
  <si>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</si>
  <si>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</si>
  <si>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</si>
  <si>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</si>
  <si>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</si>
  <si>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</si>
  <si>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</si>
  <si>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</si>
  <si>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</si>
  <si>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</si>
  <si>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</si>
  <si>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</si>
  <si>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</si>
  <si>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</si>
  <si>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</si>
  <si>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</si>
  <si>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</si>
  <si>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</si>
  <si>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</si>
  <si>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</si>
  <si>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</si>
  <si>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</si>
  <si>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</si>
  <si>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</si>
  <si>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</si>
  <si>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</si>
  <si>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</si>
  <si>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</si>
  <si>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</si>
  <si>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</si>
  <si>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</si>
  <si>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</si>
  <si>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</si>
  <si>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</si>
  <si>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</si>
  <si>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</si>
  <si>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</si>
  <si>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</si>
  <si>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</si>
  <si>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</si>
  <si>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</si>
  <si>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</si>
  <si>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</si>
  <si>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</si>
  <si>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</si>
  <si>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</si>
  <si>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</si>
  <si>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</si>
  <si>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</si>
  <si>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</si>
  <si>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</si>
  <si>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</si>
  <si>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</si>
  <si>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</si>
  <si>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</si>
  <si>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</si>
  <si>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</si>
  <si>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</si>
  <si>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</si>
  <si>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</si>
  <si>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</si>
  <si>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</si>
  <si>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</si>
  <si>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</si>
  <si>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</si>
  <si>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</si>
  <si>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</si>
  <si>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</si>
  <si>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</si>
  <si>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</si>
  <si>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</si>
  <si>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</si>
  <si>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</si>
  <si>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</si>
  <si>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</si>
  <si>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</si>
  <si>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</si>
  <si>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</si>
  <si>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</si>
  <si>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</si>
  <si>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</si>
  <si>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</si>
  <si>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</si>
  <si>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</si>
  <si>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</si>
  <si>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</si>
  <si>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</si>
  <si>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</si>
  <si>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</si>
  <si>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</si>
  <si>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</si>
  <si>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</si>
  <si>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</si>
  <si>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</si>
  <si>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</si>
  <si>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</si>
  <si>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</si>
  <si>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</si>
  <si>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</si>
  <si>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</si>
  <si>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</si>
  <si>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</si>
  <si>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</si>
  <si>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</si>
  <si>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</si>
  <si>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</si>
  <si>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</si>
  <si>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</si>
  <si>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</si>
  <si>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</si>
  <si>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</si>
  <si>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</si>
  <si>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</si>
  <si>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</si>
  <si>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</si>
  <si>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</si>
  <si>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</si>
  <si>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</si>
  <si>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</si>
  <si>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</si>
  <si>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</si>
  <si>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</si>
  <si>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</si>
  <si>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</si>
  <si>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</si>
  <si>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</si>
  <si>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</si>
  <si>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</si>
  <si>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</si>
  <si>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</si>
  <si>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</si>
  <si>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</si>
  <si>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</si>
  <si>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</si>
  <si>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</si>
  <si>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</si>
  <si>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</si>
  <si>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</si>
  <si>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</si>
  <si>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</si>
  <si>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</si>
  <si>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</si>
  <si>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</si>
  <si>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</si>
  <si>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</si>
  <si>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</si>
  <si>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</si>
  <si>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</si>
  <si>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</si>
  <si>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</si>
  <si>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</si>
  <si>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</si>
  <si>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</si>
  <si>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</si>
  <si>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</si>
  <si>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</si>
  <si>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</si>
  <si>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</si>
  <si>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</si>
  <si>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</si>
  <si>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</si>
  <si>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</si>
  <si>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</si>
  <si>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</si>
  <si>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</si>
  <si>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</si>
  <si>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</si>
  <si>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</si>
  <si>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</si>
  <si>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</si>
  <si>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</si>
  <si>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</si>
  <si>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</si>
  <si>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</si>
  <si>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</si>
  <si>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</si>
  <si>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</si>
  <si>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</si>
  <si>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</si>
  <si>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</si>
  <si>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</si>
  <si>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</si>
  <si>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</si>
  <si>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</si>
  <si>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</si>
  <si>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</si>
  <si>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</si>
  <si>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</si>
  <si>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</si>
  <si>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</si>
  <si>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</si>
  <si>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</si>
  <si>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</si>
  <si>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</si>
  <si>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</si>
  <si>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</si>
  <si>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</si>
  <si>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</si>
  <si>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</si>
  <si>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</si>
  <si>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</si>
  <si>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</si>
  <si>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</si>
  <si>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</si>
  <si>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</si>
  <si>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</si>
  <si>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</si>
  <si>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</si>
  <si>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</si>
  <si>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</si>
  <si>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</si>
  <si>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</si>
  <si>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</si>
  <si>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</si>
  <si>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</si>
  <si>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</si>
  <si>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</si>
  <si>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</si>
  <si>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</si>
  <si>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</si>
  <si>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</si>
  <si>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</si>
  <si>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</si>
  <si>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</si>
  <si>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</si>
  <si>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</si>
  <si>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</si>
  <si>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</si>
  <si>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</si>
  <si>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</si>
  <si>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</si>
  <si>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</si>
  <si>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</si>
  <si>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</si>
  <si>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</si>
  <si>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</si>
  <si>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</si>
  <si>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</si>
  <si>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</si>
  <si>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</si>
  <si>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</si>
  <si>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</si>
  <si>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</si>
  <si>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</si>
  <si>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</si>
  <si>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</si>
  <si>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</si>
  <si>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</si>
  <si>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</si>
  <si>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</si>
  <si>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</si>
  <si>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</si>
  <si>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</si>
  <si>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</si>
  <si>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</si>
  <si>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</si>
  <si>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</si>
  <si>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</si>
  <si>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</si>
  <si>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</si>
  <si>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</si>
  <si>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</si>
  <si>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</si>
  <si>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</si>
  <si>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</si>
  <si>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</si>
  <si>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</si>
  <si>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</si>
  <si>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</si>
  <si>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</si>
  <si>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</si>
  <si>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</si>
  <si>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</si>
  <si>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</si>
  <si>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</si>
  <si>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</si>
  <si>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</si>
  <si>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</si>
  <si>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</si>
  <si>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</si>
  <si>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</si>
  <si>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</si>
  <si>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</si>
  <si>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</si>
  <si>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</si>
  <si>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</si>
  <si>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</si>
  <si>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</si>
  <si>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</si>
  <si>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</si>
  <si>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</si>
  <si>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</si>
  <si>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</si>
  <si>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</si>
  <si>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</si>
  <si>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</si>
  <si>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</si>
  <si>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</si>
  <si>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</si>
  <si>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</si>
  <si>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</si>
  <si>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</si>
  <si>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</si>
  <si>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</si>
  <si>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</si>
  <si>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</si>
  <si>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</si>
  <si>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</si>
  <si>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</si>
  <si>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</si>
  <si>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</si>
  <si>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</si>
  <si>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</si>
  <si>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</si>
  <si>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</si>
  <si>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</si>
  <si>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</si>
  <si>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</si>
  <si>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</si>
  <si>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</si>
  <si>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</si>
  <si>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</si>
  <si>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</si>
  <si>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</si>
  <si>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</si>
  <si>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</si>
  <si>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</si>
  <si>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</si>
  <si>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</si>
  <si>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</si>
  <si>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</si>
  <si>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</si>
  <si>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</si>
  <si>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</si>
  <si>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</si>
  <si>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</si>
  <si>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</si>
  <si>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</si>
  <si>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</si>
  <si>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</si>
  <si>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</si>
  <si>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</si>
  <si>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</si>
  <si>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</si>
  <si>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</si>
  <si>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</si>
  <si>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</si>
  <si>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</si>
  <si>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</si>
  <si>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</si>
  <si>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</si>
  <si>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</si>
  <si>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</si>
  <si>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</si>
  <si>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</si>
  <si>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</si>
  <si>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</si>
  <si>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</si>
  <si>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</si>
  <si>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</si>
  <si>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</si>
  <si>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</si>
  <si>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</si>
  <si>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</si>
  <si>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</si>
  <si>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</si>
  <si>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</si>
  <si>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</si>
  <si>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</si>
  <si>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</si>
  <si>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</si>
  <si>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</si>
  <si>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</si>
  <si>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</si>
  <si>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</si>
  <si>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</si>
  <si>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</si>
  <si>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</si>
  <si>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</si>
  <si>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</si>
  <si>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</si>
  <si>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</si>
  <si>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</si>
  <si>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</si>
  <si>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</si>
  <si>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</si>
  <si>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</si>
  <si>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</si>
  <si>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</si>
  <si>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</si>
  <si>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</si>
  <si>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</si>
  <si>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</si>
  <si>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</si>
  <si>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</si>
  <si>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</si>
  <si>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</si>
  <si>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</si>
  <si>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</si>
  <si>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</si>
  <si>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</si>
  <si>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</si>
  <si>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</si>
  <si>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</si>
  <si>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</si>
  <si>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</si>
  <si>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</si>
  <si>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</si>
  <si>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</si>
  <si>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</si>
  <si>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</si>
  <si>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</si>
  <si>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</si>
  <si>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</si>
  <si>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</si>
  <si>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</si>
  <si>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</si>
  <si>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</si>
  <si>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</si>
  <si>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</si>
  <si>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</si>
  <si>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</si>
  <si>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</si>
  <si>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</si>
  <si>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</si>
  <si>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</si>
  <si>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</si>
  <si>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</si>
  <si>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</si>
  <si>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</si>
  <si>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</si>
  <si>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</si>
  <si>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</si>
  <si>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</si>
  <si>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</si>
  <si>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</si>
  <si>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</si>
  <si>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</si>
  <si>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</si>
  <si>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</si>
  <si>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</si>
  <si>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</si>
  <si>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</si>
  <si>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</si>
  <si>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</si>
  <si>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</si>
  <si>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</si>
  <si>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</si>
  <si>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</si>
  <si>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</si>
  <si>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</si>
  <si>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</si>
  <si>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</si>
  <si>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</si>
  <si>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</si>
  <si>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</si>
  <si>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</si>
  <si>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</si>
  <si>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</si>
  <si>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</si>
  <si>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</si>
  <si>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</si>
  <si>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</si>
  <si>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</si>
  <si>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</si>
  <si>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</si>
  <si>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</si>
  <si>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</si>
  <si>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</si>
  <si>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</si>
  <si>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</si>
  <si>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</si>
  <si>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</si>
  <si>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</si>
  <si>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</si>
  <si>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</si>
  <si>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</si>
  <si>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</si>
  <si>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</si>
  <si>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</si>
  <si>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</si>
  <si>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</si>
  <si>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</si>
  <si>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</si>
  <si>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</si>
  <si>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</si>
  <si>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</si>
  <si>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</si>
  <si>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</si>
  <si>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</si>
  <si>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</si>
  <si>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</si>
  <si>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</si>
  <si>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</si>
  <si>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</si>
  <si>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</si>
  <si>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</si>
  <si>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</si>
  <si>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</si>
  <si>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</si>
  <si>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</si>
  <si>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</si>
  <si>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</si>
  <si>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</si>
  <si>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</si>
  <si>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</si>
  <si>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</si>
  <si>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</si>
  <si>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</si>
  <si>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</si>
  <si>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</si>
  <si>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</si>
  <si>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</si>
  <si>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</si>
  <si>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</si>
  <si>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</si>
  <si>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</si>
  <si>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</si>
  <si>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</si>
  <si>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</si>
  <si>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</si>
  <si>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</si>
  <si>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</si>
  <si>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</si>
  <si>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</si>
  <si>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</si>
  <si>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</si>
  <si>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</si>
  <si>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</si>
  <si>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</si>
  <si>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</si>
  <si>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</si>
  <si>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</si>
  <si>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</si>
  <si>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</si>
  <si>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</si>
  <si>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</si>
  <si>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</si>
  <si>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</si>
  <si>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</si>
  <si>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</si>
  <si>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</si>
  <si>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</si>
  <si>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</si>
  <si>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</si>
  <si>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</si>
  <si>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</si>
  <si>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</si>
  <si>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</si>
  <si>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</si>
  <si>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</si>
  <si>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</si>
  <si>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</si>
  <si>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</si>
  <si>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</si>
  <si>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</si>
  <si>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</si>
  <si>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</si>
  <si>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</si>
  <si>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</si>
  <si>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</si>
  <si>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</si>
  <si>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</si>
  <si>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</si>
  <si>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</si>
  <si>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</si>
  <si>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</si>
  <si>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</si>
  <si>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</si>
  <si>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</si>
  <si>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</si>
  <si>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</si>
  <si>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</si>
  <si>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</si>
  <si>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</si>
  <si>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</si>
  <si>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</si>
  <si>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</si>
  <si>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</si>
  <si>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</si>
  <si>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</si>
  <si>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</si>
  <si>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</si>
  <si>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</si>
  <si>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</si>
  <si>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</si>
  <si>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</si>
  <si>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</si>
  <si>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</si>
  <si>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</si>
  <si>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</si>
  <si>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</si>
  <si>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</si>
  <si>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</si>
  <si>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</si>
  <si>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</si>
  <si>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</si>
  <si>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</si>
  <si>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</si>
  <si>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</si>
  <si>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</si>
  <si>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</si>
  <si>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</si>
  <si>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</si>
  <si>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</si>
  <si>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</si>
  <si>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</si>
  <si>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</si>
  <si>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</si>
  <si>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</si>
  <si>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</si>
  <si>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</si>
  <si>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</si>
  <si>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</si>
  <si>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</si>
  <si>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</si>
  <si>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</si>
  <si>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</si>
  <si>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</si>
  <si>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</si>
  <si>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</si>
  <si>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</si>
  <si>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</si>
  <si>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</si>
  <si>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</si>
  <si>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</si>
  <si>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</si>
  <si>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</si>
  <si>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</si>
  <si>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</si>
  <si>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</si>
  <si>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</si>
  <si>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</si>
  <si>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</si>
  <si>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</si>
  <si>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</si>
  <si>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</si>
  <si>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</si>
  <si>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</si>
  <si>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</si>
  <si>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</si>
  <si>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</si>
  <si>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</si>
  <si>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</si>
  <si>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</si>
  <si>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</si>
  <si>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</si>
  <si>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</si>
  <si>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</si>
  <si>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</si>
  <si>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</si>
  <si>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</si>
  <si>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</si>
  <si>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</si>
  <si>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</si>
  <si>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</si>
  <si>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</si>
  <si>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</si>
  <si>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</si>
  <si>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</si>
  <si>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</si>
  <si>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</si>
  <si>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</si>
  <si>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</si>
  <si>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</si>
  <si>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</si>
  <si>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</si>
  <si>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</si>
  <si>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</si>
  <si>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</si>
  <si>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</si>
  <si>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</si>
  <si>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</si>
  <si>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</si>
  <si>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</si>
  <si>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</si>
  <si>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</si>
  <si>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</si>
  <si>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</si>
  <si>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</si>
  <si>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</si>
  <si>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</si>
  <si>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</si>
  <si>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</si>
  <si>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</si>
  <si>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</si>
  <si>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</si>
  <si>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</si>
  <si>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</si>
  <si>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</si>
  <si>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</si>
  <si>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</si>
  <si>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</si>
  <si>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</si>
  <si>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</si>
  <si>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</si>
  <si>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</si>
  <si>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</si>
  <si>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</si>
  <si>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</si>
  <si>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</si>
  <si>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</si>
  <si>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</si>
  <si>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</si>
  <si>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</si>
  <si>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</si>
  <si>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</si>
  <si>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</si>
  <si>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</si>
  <si>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</si>
  <si>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</si>
  <si>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</si>
  <si>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</si>
  <si>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</si>
  <si>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</si>
  <si>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</si>
  <si>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</si>
  <si>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</si>
  <si>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</si>
  <si>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</si>
  <si>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</si>
  <si>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</si>
  <si>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</si>
  <si>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</si>
  <si>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</si>
  <si>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</si>
  <si>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</si>
  <si>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</si>
  <si>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</si>
  <si>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</si>
  <si>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</si>
  <si>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</si>
  <si>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</si>
  <si>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</si>
  <si>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</si>
  <si>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</si>
  <si>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</si>
  <si>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</si>
  <si>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</si>
  <si>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</si>
  <si>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</si>
  <si>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</si>
  <si>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</si>
  <si>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</si>
  <si>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</si>
  <si>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</si>
  <si>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</si>
  <si>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</si>
  <si>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</si>
  <si>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</si>
  <si>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</si>
  <si>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</si>
  <si>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</si>
  <si>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</si>
  <si>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</si>
  <si>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</si>
  <si>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</si>
  <si>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</si>
  <si>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</si>
  <si>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</si>
  <si>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</si>
  <si>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</si>
  <si>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</si>
  <si>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</si>
  <si>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</si>
  <si>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</si>
  <si>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</si>
  <si>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</si>
  <si>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</si>
  <si>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</si>
  <si>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</si>
  <si>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</si>
  <si>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</si>
  <si>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</si>
  <si>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</si>
  <si>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</si>
  <si>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</si>
  <si>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</si>
  <si>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</si>
  <si>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</si>
  <si>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</si>
  <si>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</si>
  <si>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</si>
  <si>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</si>
  <si>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</si>
  <si>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</si>
  <si>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</si>
  <si>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</si>
  <si>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</si>
  <si>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</si>
  <si>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</si>
  <si>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</si>
  <si>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</si>
  <si>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</si>
  <si>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</si>
  <si>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</si>
  <si>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</si>
  <si>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</si>
  <si>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</si>
  <si>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</si>
  <si>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</si>
  <si>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</si>
  <si>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</si>
  <si>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</si>
  <si>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</si>
  <si>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</si>
  <si>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</si>
  <si>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</si>
  <si>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</si>
  <si>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</si>
  <si>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</si>
  <si>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</si>
  <si>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</si>
  <si>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</si>
  <si>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</si>
  <si>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</si>
  <si>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</si>
  <si>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</si>
  <si>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</si>
  <si>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</si>
  <si>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</si>
  <si>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</si>
  <si>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</si>
  <si>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</si>
  <si>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</si>
  <si>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</si>
  <si>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</si>
  <si>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</si>
  <si>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</si>
  <si>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</si>
  <si>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</si>
  <si>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</si>
  <si>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</si>
  <si>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</si>
  <si>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</si>
  <si>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</si>
  <si>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</si>
  <si>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</si>
  <si>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</si>
  <si>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</si>
  <si>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</si>
  <si>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</si>
  <si>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</si>
  <si>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</si>
  <si>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</si>
  <si>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</si>
  <si>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</si>
  <si>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</si>
  <si>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</si>
  <si>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</si>
  <si>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</si>
  <si>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</si>
  <si>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</si>
  <si>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</si>
  <si>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</si>
  <si>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</si>
  <si>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</si>
  <si>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</si>
  <si>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</si>
  <si>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</si>
  <si>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</si>
  <si>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</si>
  <si>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</si>
  <si>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</si>
  <si>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</si>
  <si>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</si>
  <si>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</si>
  <si>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</si>
  <si>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</si>
  <si>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</si>
  <si>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</si>
  <si>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</si>
  <si>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</si>
  <si>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</si>
  <si>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</si>
  <si>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</si>
  <si>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</si>
  <si>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</si>
  <si>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</si>
  <si>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</si>
  <si>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</si>
  <si>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</si>
  <si>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</si>
  <si>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</si>
  <si>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</si>
  <si>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</si>
  <si>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</si>
  <si>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</si>
  <si>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</si>
  <si>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</si>
  <si>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</si>
  <si>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</si>
  <si>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</si>
  <si>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</si>
  <si>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</si>
  <si>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</si>
  <si>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</si>
  <si>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</si>
  <si>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</si>
  <si>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</si>
  <si>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</si>
  <si>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</si>
  <si>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</si>
  <si>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</si>
  <si>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</si>
  <si>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</si>
  <si>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</si>
  <si>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</si>
  <si>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</si>
  <si>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</si>
  <si>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</si>
  <si>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</si>
  <si>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</si>
  <si>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</si>
  <si>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</si>
  <si>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</si>
  <si>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</si>
  <si>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</si>
  <si>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</si>
  <si>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</si>
  <si>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</si>
  <si>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</si>
  <si>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</si>
  <si>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</si>
  <si>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</si>
  <si>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</si>
  <si>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</si>
  <si>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</si>
  <si>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</si>
  <si>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</si>
  <si>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</si>
  <si>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</si>
  <si>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</si>
  <si>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</si>
  <si>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</si>
  <si>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</si>
  <si>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</si>
  <si>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</si>
  <si>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</si>
  <si>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</si>
  <si>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</si>
  <si>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</si>
  <si>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</si>
  <si>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</si>
  <si>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</si>
  <si>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</si>
  <si>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</si>
  <si>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</si>
  <si>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</si>
  <si>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</si>
  <si>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</si>
  <si>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</si>
  <si>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</si>
  <si>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</si>
  <si>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</si>
  <si>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</si>
  <si>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</si>
  <si>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</si>
  <si>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</si>
  <si>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</si>
  <si>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</si>
  <si>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</si>
  <si>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</si>
  <si>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</si>
  <si>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</si>
  <si>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</si>
  <si>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</si>
  <si>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</si>
  <si>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</si>
  <si>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</si>
  <si>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</si>
  <si>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</si>
  <si>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</si>
  <si>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</si>
  <si>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</si>
  <si>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</si>
  <si>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</si>
  <si>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</si>
  <si>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</si>
  <si>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</si>
  <si>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</si>
  <si>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</si>
  <si>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</si>
  <si>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</si>
  <si>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</si>
  <si>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</si>
  <si>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</si>
  <si>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</si>
  <si>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</si>
  <si>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</si>
  <si>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</si>
  <si>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</si>
  <si>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</si>
  <si>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</si>
  <si>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</si>
  <si>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</si>
  <si>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</si>
  <si>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</si>
  <si>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</si>
  <si>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</si>
  <si>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</si>
  <si>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</si>
  <si>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</si>
  <si>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</si>
  <si>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</si>
  <si>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</si>
  <si>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</si>
  <si>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</si>
  <si>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</si>
  <si>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</si>
  <si>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</si>
  <si>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</si>
  <si>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</si>
  <si>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</si>
  <si>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</si>
  <si>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</si>
  <si>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</si>
  <si>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</si>
  <si>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</si>
  <si>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</si>
  <si>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</si>
  <si>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</si>
  <si>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</si>
  <si>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</si>
  <si>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</si>
  <si>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</si>
  <si>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</si>
  <si>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</si>
  <si>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</si>
  <si>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</si>
  <si>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</si>
  <si>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</si>
  <si>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</si>
  <si>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</si>
  <si>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</si>
  <si>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</si>
  <si>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</si>
  <si>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</si>
  <si>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</si>
  <si>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</si>
  <si>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</si>
  <si>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</si>
  <si>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</si>
  <si>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</si>
  <si>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</si>
  <si>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</si>
  <si>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</si>
  <si>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</si>
  <si>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</si>
  <si>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</si>
  <si>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</si>
  <si>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</si>
  <si>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</si>
  <si>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</si>
  <si>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</si>
  <si>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</si>
  <si>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</si>
  <si>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</si>
  <si>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</si>
  <si>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</si>
  <si>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</si>
  <si>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</si>
  <si>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</si>
  <si>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</si>
  <si>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</si>
  <si>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</si>
  <si>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</si>
  <si>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</si>
  <si>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</si>
  <si>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</si>
  <si>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</si>
  <si>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</si>
  <si>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</si>
  <si>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</si>
  <si>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</si>
  <si>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</si>
  <si>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</si>
  <si>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</si>
  <si>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</si>
  <si>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</si>
  <si>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</si>
  <si>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</si>
  <si>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</si>
  <si>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</si>
  <si>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</si>
  <si>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</si>
  <si>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</si>
  <si>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</si>
  <si>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</si>
  <si>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</si>
  <si>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</si>
  <si>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</si>
  <si>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</si>
  <si>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</si>
  <si>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</si>
  <si>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</si>
  <si>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</si>
  <si>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</si>
  <si>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</si>
  <si>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</si>
  <si>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</si>
  <si>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</si>
  <si>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</si>
  <si>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</si>
  <si>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</si>
  <si>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</si>
  <si>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</si>
  <si>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</si>
  <si>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</si>
  <si>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</si>
  <si>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</si>
  <si>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</si>
  <si>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</si>
  <si>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</si>
  <si>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</si>
  <si>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</si>
  <si>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</si>
  <si>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</si>
  <si>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</si>
  <si>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</si>
  <si>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</si>
  <si>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</si>
  <si>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</si>
  <si>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</si>
  <si>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</si>
  <si>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</si>
  <si>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</si>
  <si>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</si>
  <si>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</si>
  <si>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</si>
  <si>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</si>
  <si>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</si>
  <si>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</si>
  <si>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</si>
  <si>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</si>
  <si>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</si>
  <si>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</si>
  <si>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</si>
  <si>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</si>
  <si>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</si>
  <si>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</si>
  <si>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</si>
  <si>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</si>
  <si>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</si>
  <si>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</si>
  <si>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</si>
  <si>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</si>
  <si>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</si>
  <si>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</si>
  <si>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</si>
  <si>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</si>
  <si>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</si>
  <si>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</si>
  <si>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</si>
  <si>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</si>
  <si>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</si>
  <si>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</si>
  <si>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</si>
  <si>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</si>
  <si>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</si>
  <si>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</si>
  <si>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</si>
  <si>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</si>
  <si>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</si>
  <si>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</si>
  <si>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</si>
  <si>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</si>
  <si>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</si>
  <si>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</si>
  <si>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</si>
  <si>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</si>
  <si>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</si>
  <si>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</si>
  <si>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</si>
  <si>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</si>
  <si>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</si>
  <si>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</si>
  <si>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</si>
  <si>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</si>
  <si>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</si>
  <si>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</si>
  <si>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</si>
  <si>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</si>
  <si>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</si>
  <si>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</si>
  <si>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</si>
  <si>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</si>
  <si>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</si>
  <si>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</si>
  <si>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</si>
  <si>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</si>
  <si>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</si>
  <si>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</si>
  <si>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</si>
  <si>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</si>
  <si>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</si>
  <si>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</si>
  <si>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</si>
  <si>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</si>
  <si>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</si>
  <si>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</si>
  <si>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</si>
  <si>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</si>
  <si>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</si>
  <si>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</si>
  <si>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</si>
  <si>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</si>
  <si>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</si>
  <si>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</si>
  <si>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</si>
  <si>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</si>
  <si>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</si>
  <si>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</si>
  <si>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</si>
  <si>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</si>
  <si>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</si>
  <si>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</si>
  <si>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</si>
  <si>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</si>
  <si>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</si>
  <si>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</si>
  <si>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</si>
  <si>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</si>
  <si>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</si>
  <si>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</si>
  <si>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</si>
  <si>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</si>
  <si>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</si>
  <si>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</si>
  <si>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</si>
  <si>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</si>
  <si>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</si>
  <si>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</si>
  <si>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</si>
  <si>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</si>
  <si>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</si>
  <si>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</si>
  <si>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</si>
  <si>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</si>
  <si>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</si>
  <si>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</si>
  <si>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</si>
  <si>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</si>
  <si>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</si>
  <si>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</si>
  <si>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</si>
  <si>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</si>
  <si>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</si>
  <si>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</si>
  <si>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</si>
  <si>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</si>
  <si>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</si>
  <si>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</si>
  <si>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</si>
  <si>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</si>
  <si>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</si>
  <si>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</si>
  <si>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</si>
  <si>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</si>
  <si>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</si>
  <si>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</si>
  <si>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</si>
  <si>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</si>
  <si>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</si>
  <si>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</si>
  <si>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</si>
  <si>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</si>
  <si>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</si>
  <si>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</si>
  <si>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</si>
  <si>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</si>
  <si>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</si>
  <si>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</si>
  <si>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</si>
  <si>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</si>
  <si>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</si>
  <si>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</si>
  <si>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</si>
  <si>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</si>
  <si>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</si>
  <si>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</si>
  <si>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</si>
  <si>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</si>
  <si>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</si>
  <si>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</si>
  <si>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</si>
  <si>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</si>
  <si>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</si>
  <si>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</si>
  <si>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</si>
  <si>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</si>
  <si>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</si>
  <si>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</si>
  <si>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</si>
  <si>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</si>
  <si>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</si>
  <si>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</si>
  <si>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</si>
  <si>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</si>
  <si>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</si>
  <si>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</si>
  <si>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</si>
  <si>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</si>
  <si>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</si>
  <si>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</si>
  <si>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</si>
  <si>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</si>
  <si>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</si>
  <si>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</si>
  <si>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</si>
  <si>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</si>
  <si>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</si>
  <si>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</si>
  <si>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</si>
  <si>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</si>
  <si>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</si>
  <si>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</si>
  <si>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</si>
  <si>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</si>
  <si>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</si>
  <si>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</si>
  <si>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</si>
  <si>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</si>
  <si>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</si>
  <si>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</si>
  <si>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</si>
  <si>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</si>
  <si>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</si>
  <si>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</si>
  <si>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</si>
  <si>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</si>
  <si>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</si>
  <si>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</si>
  <si>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</si>
  <si>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</si>
  <si>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</si>
  <si>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</si>
  <si>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</si>
  <si>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</si>
  <si>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</si>
  <si>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</si>
  <si>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</si>
  <si>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</si>
  <si>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</si>
  <si>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</si>
  <si>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</si>
  <si>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</si>
  <si>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</si>
  <si>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</si>
  <si>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</si>
  <si>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</si>
  <si>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</si>
  <si>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</si>
  <si>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</si>
  <si>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</si>
  <si>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</si>
  <si>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</si>
  <si>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</si>
  <si>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</si>
  <si>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</si>
  <si>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</si>
  <si>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</si>
  <si>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</si>
  <si>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</si>
  <si>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</si>
  <si>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</si>
  <si>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</si>
  <si>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</si>
  <si>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</si>
  <si>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</si>
  <si>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</si>
  <si>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</si>
  <si>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</si>
  <si>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</si>
  <si>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</si>
  <si>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</si>
  <si>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</si>
  <si>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</si>
  <si>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</si>
  <si>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</si>
  <si>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</si>
  <si>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</si>
  <si>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</si>
  <si>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</si>
  <si>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</si>
  <si>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</si>
  <si>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</si>
  <si>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</si>
  <si>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</si>
  <si>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</si>
  <si>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</si>
  <si>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</si>
  <si>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</si>
  <si>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</si>
  <si>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</si>
  <si>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</si>
  <si>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</si>
  <si>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</si>
  <si>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</si>
  <si>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</si>
  <si>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</si>
  <si>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</si>
  <si>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</si>
  <si>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</si>
  <si>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</si>
  <si>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</si>
  <si>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</si>
  <si>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</si>
  <si>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</si>
  <si>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</si>
  <si>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</si>
  <si>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</si>
  <si>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</si>
  <si>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</si>
  <si>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</si>
  <si>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</si>
  <si>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</si>
  <si>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</si>
  <si>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</si>
  <si>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</si>
  <si>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</si>
  <si>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</si>
  <si>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</si>
  <si>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</si>
  <si>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</si>
  <si>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</si>
  <si>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</si>
  <si>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</si>
  <si>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</si>
  <si>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</si>
  <si>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</si>
  <si>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</si>
  <si>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</si>
  <si>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</si>
  <si>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</si>
  <si>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</si>
  <si>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</si>
  <si>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</si>
  <si>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</si>
  <si>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</si>
  <si>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</si>
  <si>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</si>
  <si>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</si>
  <si>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</si>
  <si>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</si>
  <si>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</si>
  <si>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</si>
  <si>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</si>
  <si>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</si>
  <si>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</si>
  <si>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</si>
  <si>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</si>
  <si>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</si>
  <si>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</si>
  <si>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</si>
  <si>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</si>
  <si>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</si>
  <si>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</si>
  <si>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</si>
  <si>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</si>
  <si>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</si>
  <si>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</si>
  <si>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</si>
  <si>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</si>
  <si>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</si>
  <si>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</si>
  <si>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</si>
  <si>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</si>
  <si>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</si>
  <si>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</si>
  <si>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</si>
  <si>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</si>
  <si>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</si>
  <si>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</si>
  <si>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</si>
  <si>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</si>
  <si>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</si>
  <si>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</si>
  <si>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</si>
  <si>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</si>
  <si>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</si>
  <si>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</si>
  <si>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</si>
  <si>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</si>
  <si>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</si>
  <si>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</si>
  <si>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</si>
  <si>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</si>
  <si>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</si>
  <si>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</si>
  <si>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</si>
  <si>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</si>
  <si>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</si>
  <si>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</si>
  <si>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</si>
  <si>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</si>
  <si>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</si>
  <si>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</si>
  <si>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</si>
  <si>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</si>
  <si>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</si>
  <si>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</si>
  <si>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</si>
  <si>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</si>
  <si>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</si>
  <si>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</si>
  <si>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</si>
  <si>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</si>
  <si>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</si>
  <si>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</si>
  <si>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</si>
  <si>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</si>
  <si>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</si>
  <si>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</si>
  <si>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</si>
  <si>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</si>
  <si>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</si>
  <si>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</si>
  <si>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</si>
  <si>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</si>
  <si>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</si>
  <si>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</si>
  <si>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</si>
  <si>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</si>
  <si>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</si>
  <si>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</si>
  <si>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</si>
  <si>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</si>
  <si>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</si>
  <si>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</si>
  <si>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</si>
  <si>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</si>
  <si>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</si>
  <si>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</si>
  <si>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</si>
  <si>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</si>
  <si>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</si>
  <si>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</si>
  <si>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</si>
  <si>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</si>
  <si>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</si>
  <si>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</si>
  <si>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</si>
  <si>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</si>
  <si>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</si>
  <si>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</si>
  <si>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</si>
  <si>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</si>
  <si>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</si>
  <si>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</si>
  <si>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</si>
  <si>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</si>
  <si>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</si>
  <si>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</si>
  <si>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</si>
  <si>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</si>
  <si>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</si>
  <si>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</si>
  <si>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</si>
  <si>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</si>
  <si>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</si>
  <si>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</si>
  <si>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</si>
  <si>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</si>
  <si>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</si>
  <si>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</si>
  <si>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</si>
  <si>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</si>
  <si>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</si>
  <si>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</si>
  <si>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</si>
  <si>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</si>
  <si>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</si>
  <si>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</si>
  <si>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</si>
  <si>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</si>
  <si>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</si>
  <si>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</si>
  <si>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</si>
  <si>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</si>
  <si>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</si>
  <si>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</si>
  <si>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</si>
  <si>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</si>
  <si>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</si>
  <si>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</si>
  <si>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</si>
  <si>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</si>
  <si>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</si>
  <si>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</si>
  <si>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</si>
  <si>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</si>
  <si>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</si>
  <si>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</si>
  <si>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</si>
  <si>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</si>
  <si>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</si>
  <si>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</si>
  <si>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</si>
  <si>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</si>
  <si>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</si>
  <si>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</si>
  <si>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</si>
  <si>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</si>
  <si>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</si>
  <si>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</si>
  <si>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</si>
  <si>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</si>
  <si>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</si>
  <si>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</si>
  <si>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</si>
  <si>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</si>
  <si>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</si>
  <si>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</si>
  <si>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</si>
  <si>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</si>
  <si>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</si>
  <si>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</si>
  <si>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</si>
  <si>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</si>
  <si>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</si>
  <si>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</si>
  <si>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</si>
  <si>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</si>
  <si>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</si>
  <si>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</si>
  <si>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</si>
  <si>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</si>
  <si>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</si>
  <si>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</si>
  <si>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</si>
  <si>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</si>
  <si>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</si>
  <si>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</si>
  <si>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</si>
  <si>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</si>
  <si>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</si>
  <si>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</si>
  <si>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</si>
  <si>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</si>
  <si>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</si>
  <si>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</si>
  <si>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</si>
  <si>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</si>
  <si>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</si>
  <si>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</si>
  <si>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</si>
  <si>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</si>
  <si>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</si>
  <si>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</si>
  <si>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</si>
  <si>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</si>
  <si>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</si>
  <si>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</si>
  <si>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</si>
  <si>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</si>
  <si>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</si>
  <si>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</si>
  <si>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</si>
  <si>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</si>
  <si>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</si>
  <si>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</si>
  <si>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</si>
  <si>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</si>
  <si>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</si>
  <si>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</si>
  <si>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</si>
  <si>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</si>
  <si>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</si>
  <si>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</si>
  <si>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</si>
  <si>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</si>
  <si>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</si>
  <si>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</si>
  <si>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</si>
  <si>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</si>
  <si>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</si>
  <si>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</si>
  <si>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</si>
  <si>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</si>
  <si>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</si>
  <si>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</si>
  <si>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</si>
  <si>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</si>
  <si>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</si>
  <si>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</si>
  <si>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</si>
  <si>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</si>
  <si>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</si>
  <si>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</si>
  <si>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</si>
  <si>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</si>
  <si>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</si>
  <si>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</si>
  <si>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</si>
  <si>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</si>
  <si>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</si>
  <si>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</si>
  <si>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</si>
  <si>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</si>
  <si>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</si>
  <si>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</si>
  <si>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</si>
  <si>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</si>
  <si>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</si>
  <si>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</si>
  <si>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</si>
  <si>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</si>
  <si>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</si>
  <si>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</si>
  <si>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</si>
  <si>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</si>
  <si>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</si>
  <si>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</si>
  <si>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</si>
  <si>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</si>
  <si>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</si>
  <si>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</si>
  <si>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</si>
  <si>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</si>
  <si>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</si>
  <si>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</si>
  <si>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</si>
  <si>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</si>
  <si>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</si>
  <si>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</si>
  <si>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</si>
  <si>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</si>
  <si>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</si>
  <si>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</si>
  <si>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</si>
  <si>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</si>
  <si>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</si>
  <si>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</si>
  <si>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</si>
  <si>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</si>
  <si>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</si>
  <si>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</si>
  <si>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</si>
  <si>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</si>
  <si>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</si>
  <si>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</si>
  <si>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</si>
  <si>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</si>
  <si>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</si>
  <si>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</si>
  <si>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</si>
  <si>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</si>
  <si>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</si>
  <si>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</si>
  <si>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</si>
  <si>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</si>
  <si>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</si>
  <si>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</si>
  <si>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</si>
  <si>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</si>
  <si>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</si>
  <si>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</si>
  <si>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</si>
  <si>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</si>
  <si>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</si>
  <si>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</si>
  <si>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</si>
  <si>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</si>
  <si>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</si>
  <si>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</si>
  <si>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</si>
  <si>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</si>
  <si>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</si>
  <si>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</si>
  <si>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</si>
  <si>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</si>
  <si>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</si>
  <si>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</si>
  <si>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</si>
  <si>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</si>
  <si>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</si>
  <si>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</si>
  <si>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</si>
  <si>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</si>
  <si>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</si>
  <si>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</si>
  <si>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</si>
  <si>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</si>
  <si>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</si>
  <si>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</si>
  <si>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</si>
  <si>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</si>
  <si>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</si>
  <si>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</si>
  <si>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</si>
  <si>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</si>
  <si>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</si>
  <si>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</si>
  <si>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</si>
  <si>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</si>
  <si>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</si>
  <si>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</si>
  <si>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</si>
  <si>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</si>
  <si>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</si>
  <si>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</si>
  <si>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</si>
  <si>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</si>
  <si>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</si>
  <si>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</si>
  <si>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</si>
  <si>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</si>
  <si>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</si>
  <si>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</si>
  <si>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</si>
  <si>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</si>
  <si>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</si>
  <si>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</si>
  <si>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</si>
  <si>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</si>
  <si>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</si>
  <si>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</si>
  <si>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</si>
  <si>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</si>
  <si>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</si>
  <si>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</si>
  <si>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</si>
  <si>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</si>
  <si>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</si>
  <si>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</si>
  <si>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</si>
  <si>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</si>
  <si>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</si>
  <si>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</si>
  <si>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</si>
  <si>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</si>
  <si>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</si>
  <si>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</si>
  <si>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</si>
  <si>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</si>
  <si>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</si>
  <si>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</si>
  <si>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</si>
  <si>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</si>
  <si>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</si>
  <si>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</si>
  <si>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</si>
  <si>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</si>
  <si>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</si>
  <si>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</si>
  <si>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</si>
  <si>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</si>
  <si>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</si>
  <si>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</si>
  <si>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</si>
  <si>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</si>
  <si>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</si>
  <si>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</si>
  <si>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</si>
  <si>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</si>
  <si>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</si>
  <si>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</si>
  <si>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</si>
  <si>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</si>
  <si>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</si>
  <si>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</si>
  <si>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</si>
  <si>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</si>
  <si>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</si>
  <si>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</si>
  <si>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</si>
  <si>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</si>
  <si>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</si>
  <si>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</si>
  <si>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</si>
  <si>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</si>
  <si>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</si>
  <si>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</si>
  <si>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</si>
  <si>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</si>
  <si>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</si>
  <si>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</si>
  <si>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</si>
  <si>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</si>
  <si>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</si>
  <si>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</si>
  <si>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</si>
  <si>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</si>
  <si>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</si>
  <si>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</si>
  <si>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</si>
  <si>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</si>
  <si>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</si>
  <si>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</si>
  <si>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</si>
  <si>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</si>
  <si>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</si>
  <si>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</si>
  <si>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</si>
  <si>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</si>
  <si>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</si>
  <si>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</si>
  <si>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</si>
  <si>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</si>
  <si>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</si>
  <si>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</si>
  <si>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</si>
  <si>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</si>
  <si>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</si>
  <si>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</si>
  <si>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</si>
  <si>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</si>
  <si>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</si>
  <si>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</si>
  <si>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</si>
  <si>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</si>
  <si>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</si>
  <si>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</si>
  <si>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</si>
  <si>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</si>
  <si>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</si>
  <si>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</si>
  <si>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</si>
  <si>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</si>
  <si>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</si>
  <si>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</si>
  <si>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</si>
  <si>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</si>
  <si>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</si>
  <si>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</si>
  <si>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</si>
  <si>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</si>
  <si>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</si>
  <si>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</si>
  <si>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</si>
  <si>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</si>
  <si>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</si>
  <si>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</si>
  <si>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</si>
  <si>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</si>
  <si>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</si>
  <si>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</si>
  <si>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</si>
  <si>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</si>
  <si>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</si>
  <si>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</si>
  <si>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</si>
  <si>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</si>
  <si>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</si>
  <si>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</si>
  <si>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</si>
  <si>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</si>
  <si>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</si>
  <si>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</si>
  <si>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</si>
  <si>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</si>
  <si>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</si>
  <si>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</si>
  <si>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</si>
  <si>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</si>
  <si>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</si>
  <si>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</si>
  <si>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</si>
  <si>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</si>
  <si>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</si>
  <si>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</si>
  <si>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</si>
  <si>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</si>
  <si>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</si>
  <si>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</si>
  <si>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</si>
  <si>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</si>
  <si>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</si>
  <si>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</si>
  <si>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</si>
  <si>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</si>
  <si>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</si>
  <si>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</si>
  <si>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</si>
  <si>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</si>
  <si>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</si>
  <si>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</si>
  <si>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</si>
  <si>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</si>
  <si>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</si>
  <si>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</si>
  <si>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</si>
  <si>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</si>
  <si>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</si>
  <si>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</si>
  <si>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</si>
  <si>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</si>
  <si>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</si>
  <si>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</si>
  <si>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</si>
  <si>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</si>
  <si>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</si>
  <si>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</si>
  <si>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</si>
  <si>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</si>
  <si>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</si>
  <si>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</si>
  <si>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</si>
  <si>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</si>
  <si>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</si>
  <si>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</si>
  <si>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</si>
  <si>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</si>
  <si>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</si>
  <si>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</si>
  <si>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</si>
  <si>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</si>
  <si>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</si>
  <si>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</si>
  <si>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</si>
  <si>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</si>
  <si>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</si>
  <si>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</si>
  <si>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</si>
  <si>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</si>
  <si>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</si>
  <si>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</si>
  <si>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</si>
  <si>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</si>
  <si>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</si>
  <si>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</si>
  <si>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</si>
  <si>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</si>
  <si>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</si>
  <si>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</si>
  <si>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</si>
  <si>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</si>
  <si>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</si>
  <si>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</si>
  <si>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</si>
  <si>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</si>
  <si>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</si>
  <si>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</si>
  <si>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</si>
  <si>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</si>
  <si>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</si>
  <si>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</si>
  <si>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</si>
  <si>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</si>
  <si>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</si>
  <si>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</si>
  <si>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</si>
  <si>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</si>
  <si>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</si>
  <si>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</si>
  <si>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</si>
  <si>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</si>
  <si>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</si>
  <si>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</si>
  <si>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</si>
  <si>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</si>
  <si>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</si>
  <si>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</si>
  <si>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</si>
  <si>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</si>
  <si>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</si>
  <si>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</si>
  <si>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</si>
  <si>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</si>
  <si>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</si>
  <si>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</si>
  <si>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</si>
  <si>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</si>
  <si>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</si>
  <si>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</si>
  <si>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</si>
  <si>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</si>
  <si>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</si>
  <si>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</si>
  <si>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</si>
  <si>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</si>
  <si>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</si>
  <si>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</si>
  <si>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</si>
  <si>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</si>
  <si>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</si>
  <si>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</si>
  <si>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</si>
  <si>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</si>
  <si>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</si>
  <si>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</si>
  <si>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</si>
  <si>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</si>
  <si>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</si>
  <si>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</si>
  <si>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</si>
  <si>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</si>
  <si>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</si>
  <si>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</si>
  <si>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</si>
  <si>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</si>
  <si>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</si>
  <si>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</si>
  <si>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</si>
  <si>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</si>
  <si>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</si>
  <si>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</si>
  <si>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</si>
  <si>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</si>
  <si>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</si>
  <si>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</si>
  <si>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</si>
  <si>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</si>
  <si>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</si>
  <si>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</si>
  <si>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</si>
  <si>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</si>
  <si>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</si>
  <si>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</si>
  <si>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</si>
  <si>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</si>
  <si>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</si>
  <si>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</si>
  <si>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</si>
  <si>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</si>
  <si>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</si>
  <si>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</si>
  <si>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</si>
  <si>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</si>
  <si>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</si>
  <si>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</si>
  <si>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</si>
  <si>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</si>
  <si>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</si>
  <si>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</si>
  <si>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</si>
  <si>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</si>
  <si>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</si>
  <si>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</si>
  <si>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</si>
  <si>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</si>
  <si>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</si>
  <si>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</si>
  <si>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</si>
  <si>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</si>
  <si>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</si>
  <si>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</si>
  <si>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</si>
  <si>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</si>
  <si>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</si>
  <si>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</si>
  <si>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</si>
  <si>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</si>
  <si>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</si>
  <si>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</si>
  <si>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</si>
  <si>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</si>
  <si>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</si>
  <si>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</si>
  <si>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</si>
  <si>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</si>
  <si>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</si>
  <si>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</si>
  <si>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</si>
  <si>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</si>
  <si>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</si>
  <si>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</si>
  <si>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</si>
  <si>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</si>
  <si>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</si>
  <si>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</si>
  <si>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</si>
  <si>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</si>
  <si>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</si>
  <si>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</si>
  <si>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</si>
  <si>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</si>
  <si>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</si>
  <si>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</si>
  <si>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</si>
  <si>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</si>
  <si>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</si>
  <si>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</si>
  <si>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</si>
  <si>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</si>
  <si>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</si>
  <si>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</si>
  <si>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</si>
  <si>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</si>
  <si>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</si>
  <si>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</si>
  <si>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</si>
  <si>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</si>
  <si>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</si>
  <si>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</si>
  <si>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</si>
  <si>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</si>
  <si>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</si>
  <si>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</si>
  <si>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</si>
  <si>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</si>
  <si>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</si>
  <si>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</si>
  <si>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</si>
  <si>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</si>
  <si>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</si>
  <si>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</si>
  <si>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</si>
  <si>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</si>
  <si>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</si>
  <si>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</si>
  <si>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</si>
  <si>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</si>
  <si>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</si>
  <si>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</si>
  <si>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</si>
  <si>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</si>
  <si>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</si>
  <si>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</si>
  <si>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</si>
  <si>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</si>
  <si>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</si>
  <si>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</si>
  <si>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</si>
  <si>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</si>
  <si>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</si>
  <si>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</si>
  <si>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</si>
  <si>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</si>
  <si>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</si>
  <si>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</si>
  <si>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</si>
  <si>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</si>
  <si>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</si>
  <si>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</si>
  <si>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</si>
  <si>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</si>
  <si>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</si>
  <si>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</si>
  <si>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</si>
  <si>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</si>
  <si>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</si>
  <si>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</si>
  <si>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</si>
  <si>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</si>
  <si>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</si>
  <si>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</si>
  <si>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</si>
  <si>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</si>
  <si>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</si>
  <si>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</si>
  <si>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</si>
  <si>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</si>
  <si>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</si>
  <si>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</si>
  <si>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</si>
  <si>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</si>
  <si>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</si>
  <si>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</si>
  <si>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</si>
  <si>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</si>
  <si>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</si>
  <si>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</si>
  <si>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</si>
  <si>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</si>
  <si>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</si>
  <si>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</si>
  <si>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</si>
  <si>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</si>
  <si>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</si>
  <si>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</si>
  <si>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</si>
  <si>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</si>
  <si>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</si>
  <si>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</si>
  <si>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</si>
  <si>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</si>
  <si>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</si>
  <si>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</si>
  <si>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</si>
  <si>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</si>
  <si>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</si>
  <si>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</si>
  <si>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</si>
  <si>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</si>
  <si>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</si>
  <si>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</si>
  <si>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</si>
  <si>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</si>
  <si>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</si>
  <si>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</si>
  <si>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</si>
  <si>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</si>
  <si>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</si>
  <si>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</si>
  <si>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</si>
  <si>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</si>
  <si>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</si>
  <si>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</si>
  <si>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</si>
  <si>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</si>
  <si>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</si>
  <si>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</si>
  <si>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</si>
  <si>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</si>
  <si>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</si>
  <si>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</si>
  <si>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</si>
  <si>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</si>
  <si>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</si>
  <si>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</si>
  <si>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</si>
  <si>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</si>
  <si>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</si>
  <si>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</si>
  <si>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</si>
  <si>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</si>
  <si>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</si>
  <si>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</si>
  <si>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</si>
  <si>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</si>
  <si>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</si>
  <si>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</si>
  <si>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</si>
  <si>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</si>
  <si>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</si>
  <si>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</si>
  <si>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</si>
  <si>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</si>
  <si>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</si>
  <si>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</si>
  <si>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</si>
  <si>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</si>
  <si>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</si>
  <si>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</si>
  <si>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</si>
  <si>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</si>
  <si>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</si>
  <si>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</si>
  <si>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</si>
  <si>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</si>
  <si>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</si>
  <si>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</si>
  <si>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</si>
  <si>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</si>
  <si>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</si>
  <si>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</si>
  <si>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</si>
  <si>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</si>
  <si>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</si>
  <si>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</si>
  <si>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</si>
  <si>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</si>
  <si>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</si>
  <si>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</si>
  <si>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</si>
  <si>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</si>
  <si>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</si>
  <si>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</si>
  <si>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</si>
  <si>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</si>
  <si>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</si>
  <si>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</si>
  <si>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</si>
  <si>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</si>
  <si>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</si>
  <si>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</si>
  <si>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</si>
  <si>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</si>
  <si>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</si>
  <si>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</si>
  <si>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</si>
  <si>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</si>
  <si>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</si>
  <si>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</si>
  <si>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</si>
  <si>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</si>
  <si>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</si>
  <si>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</si>
  <si>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</si>
  <si>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</si>
  <si>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</si>
  <si>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</si>
  <si>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</si>
  <si>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</si>
  <si>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</si>
  <si>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</si>
  <si>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</si>
  <si>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</si>
  <si>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</si>
  <si>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</si>
  <si>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</si>
  <si>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</si>
  <si>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</si>
  <si>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</si>
  <si>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</si>
  <si>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</si>
  <si>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</si>
  <si>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</si>
  <si>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</si>
  <si>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</si>
  <si>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</si>
  <si>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</si>
  <si>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</si>
  <si>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</si>
  <si>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</si>
  <si>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</si>
  <si>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</si>
  <si>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</si>
  <si>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</si>
  <si>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</si>
  <si>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</si>
  <si>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</si>
  <si>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</si>
  <si>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</si>
  <si>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</si>
  <si>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</si>
  <si>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</si>
  <si>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</si>
  <si>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</si>
  <si>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</si>
  <si>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</si>
  <si>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</si>
  <si>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</si>
  <si>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</si>
  <si>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</si>
  <si>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</si>
  <si>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</si>
  <si>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</si>
  <si>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</si>
  <si>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</si>
  <si>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</si>
  <si>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</si>
  <si>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</si>
  <si>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</si>
  <si>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</si>
  <si>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</si>
  <si>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</si>
  <si>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</si>
  <si>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</si>
  <si>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</si>
  <si>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</si>
  <si>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</si>
  <si>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</si>
  <si>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</si>
  <si>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</si>
  <si>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</si>
  <si>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</si>
  <si>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</si>
  <si>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</si>
  <si>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</si>
  <si>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</si>
  <si>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</si>
  <si>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</si>
  <si>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</si>
  <si>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</si>
  <si>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</si>
  <si>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</si>
  <si>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</si>
  <si>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</si>
  <si>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</si>
  <si>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</si>
  <si>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</si>
  <si>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</si>
  <si>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</si>
  <si>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</si>
  <si>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</si>
  <si>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</si>
  <si>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</si>
  <si>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</si>
  <si>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</si>
  <si>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</si>
  <si>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</si>
  <si>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</si>
  <si>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</si>
  <si>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</si>
  <si>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</si>
  <si>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</si>
  <si>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</si>
  <si>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</si>
  <si>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</si>
  <si>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</si>
  <si>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</si>
  <si>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</si>
  <si>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</si>
  <si>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</si>
  <si>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</si>
  <si>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</si>
  <si>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</si>
  <si>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</si>
  <si>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</si>
  <si>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</si>
  <si>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</si>
  <si>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</si>
  <si>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</si>
  <si>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</si>
  <si>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</si>
  <si>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</si>
  <si>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</si>
  <si>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</si>
  <si>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</si>
  <si>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</si>
  <si>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</si>
  <si>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</si>
  <si>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</si>
  <si>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</si>
  <si>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</si>
  <si>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</si>
  <si>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</si>
  <si>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</si>
  <si>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</si>
  <si>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</si>
  <si>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</si>
  <si>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</si>
  <si>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</si>
  <si>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</si>
  <si>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</si>
  <si>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</si>
  <si>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</si>
  <si>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</si>
  <si>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</si>
  <si>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</si>
  <si>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</si>
  <si>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</si>
  <si>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</si>
  <si>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</si>
  <si>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</si>
  <si>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</si>
  <si>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</si>
  <si>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</si>
  <si>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</si>
  <si>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</si>
  <si>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</si>
  <si>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</si>
  <si>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</si>
  <si>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</si>
  <si>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</si>
  <si>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</si>
  <si>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</si>
  <si>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</si>
  <si>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</si>
  <si>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</si>
  <si>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</si>
  <si>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</si>
  <si>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</si>
  <si>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</si>
  <si>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</si>
  <si>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</si>
  <si>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</si>
  <si>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</si>
  <si>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</si>
  <si>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</si>
  <si>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</si>
  <si>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</si>
  <si>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</si>
  <si>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</si>
  <si>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</si>
  <si>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</si>
  <si>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</si>
  <si>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</si>
  <si>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</si>
  <si>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</si>
  <si>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</si>
  <si>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</si>
  <si>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</si>
  <si>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</si>
  <si>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</si>
  <si>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</si>
  <si>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</si>
  <si>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</si>
  <si>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</si>
  <si>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</si>
  <si>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</si>
  <si>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</si>
  <si>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</si>
  <si>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</si>
  <si>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</si>
  <si>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</si>
  <si>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</si>
  <si>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</si>
  <si>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</si>
  <si>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</si>
  <si>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</si>
  <si>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</si>
  <si>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</si>
  <si>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</si>
  <si>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</si>
  <si>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</si>
  <si>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</si>
  <si>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</si>
  <si>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</si>
  <si>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</si>
  <si>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</si>
  <si>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</si>
  <si>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</si>
  <si>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</si>
  <si>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</si>
  <si>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</si>
  <si>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</si>
  <si>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</si>
  <si>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</si>
  <si>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</si>
  <si>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</si>
  <si>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</si>
  <si>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</si>
  <si>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</si>
  <si>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</si>
  <si>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</si>
  <si>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</si>
  <si>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</si>
  <si>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</si>
  <si>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</si>
  <si>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</si>
  <si>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</si>
  <si>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</si>
  <si>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</si>
  <si>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</si>
  <si>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</si>
  <si>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</si>
  <si>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</si>
  <si>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</si>
  <si>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</si>
  <si>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</si>
  <si>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</si>
  <si>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</si>
  <si>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</si>
  <si>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</si>
  <si>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</si>
  <si>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</si>
  <si>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</si>
  <si>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</si>
  <si>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</si>
  <si>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</si>
  <si>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</si>
  <si>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</si>
  <si>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</si>
  <si>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</si>
  <si>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</si>
  <si>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</si>
  <si>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</si>
  <si>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</si>
  <si>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</si>
  <si>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</si>
  <si>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</si>
  <si>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</si>
  <si>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</si>
  <si>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</si>
  <si>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</si>
  <si>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</si>
  <si>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</si>
  <si>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</si>
  <si>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</si>
  <si>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</si>
  <si>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</si>
  <si>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</si>
  <si>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</si>
  <si>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</si>
  <si>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</si>
  <si>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</si>
  <si>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</si>
  <si>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</si>
  <si>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</si>
  <si>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</si>
  <si>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</si>
  <si>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</si>
  <si>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</si>
  <si>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</si>
  <si>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</si>
  <si>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</si>
  <si>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</si>
  <si>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</si>
  <si>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</si>
  <si>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</si>
  <si>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</si>
  <si>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</si>
  <si>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</si>
  <si>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</si>
  <si>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</si>
  <si>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</si>
  <si>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</si>
  <si>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</si>
  <si>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</si>
  <si>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</si>
  <si>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</si>
  <si>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</si>
  <si>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</si>
  <si>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</si>
  <si>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</si>
  <si>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</si>
  <si>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</si>
  <si>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</si>
  <si>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</si>
  <si>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</si>
  <si>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</si>
  <si>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</si>
  <si>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</si>
  <si>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</si>
  <si>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</si>
  <si>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</si>
  <si>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</si>
  <si>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</si>
  <si>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</si>
  <si>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</si>
  <si>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</si>
  <si>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</si>
  <si>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</si>
  <si>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</si>
  <si>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</si>
  <si>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</si>
  <si>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</si>
  <si>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</si>
  <si>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</si>
  <si>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</si>
  <si>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</si>
  <si>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</si>
  <si>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</si>
  <si>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</si>
  <si>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</si>
  <si>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</si>
  <si>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</si>
  <si>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</si>
  <si>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</si>
  <si>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</si>
  <si>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</si>
  <si>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</si>
  <si>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</si>
  <si>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</si>
  <si>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</si>
  <si>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</si>
  <si>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</si>
  <si>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</si>
  <si>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</si>
  <si>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</si>
  <si>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</si>
  <si>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</si>
  <si>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</si>
  <si>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</si>
  <si>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</si>
  <si>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</si>
  <si>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</si>
  <si>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</si>
  <si>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</si>
  <si>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</si>
  <si>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</si>
  <si>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</si>
  <si>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</si>
  <si>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</si>
  <si>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</si>
  <si>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</si>
  <si>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</si>
  <si>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</si>
  <si>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</si>
  <si>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</si>
  <si>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</si>
  <si>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</si>
  <si>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</si>
  <si>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</si>
  <si>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</si>
  <si>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</si>
  <si>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</si>
  <si>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</si>
  <si>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</si>
  <si>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</si>
  <si>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</si>
  <si>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</si>
  <si>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</si>
  <si>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</si>
  <si>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</si>
  <si>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</si>
  <si>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</si>
  <si>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</si>
  <si>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</si>
  <si>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</si>
  <si>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</si>
  <si>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</si>
  <si>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</si>
  <si>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</si>
  <si>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</si>
  <si>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</si>
  <si>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</si>
  <si>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</si>
  <si>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</si>
  <si>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</si>
  <si>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</si>
  <si>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</si>
  <si>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</si>
  <si>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</si>
  <si>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</si>
  <si>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</si>
  <si>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</si>
  <si>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</si>
  <si>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</si>
  <si>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</si>
  <si>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</si>
  <si>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</si>
  <si>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</si>
  <si>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</si>
  <si>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</si>
  <si>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</si>
  <si>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</si>
  <si>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</si>
  <si>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</si>
  <si>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</si>
  <si>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</si>
  <si>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</si>
  <si>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</si>
  <si>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</si>
  <si>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</si>
  <si>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</si>
  <si>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</si>
  <si>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</si>
  <si>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</si>
  <si>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</si>
  <si>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</si>
  <si>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</si>
  <si>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</si>
  <si>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</si>
  <si>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</si>
  <si>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</si>
  <si>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</si>
  <si>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</si>
  <si>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</si>
  <si>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</si>
  <si>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</si>
  <si>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</si>
  <si>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</si>
  <si>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</si>
  <si>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</si>
  <si>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</si>
  <si>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</si>
  <si>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</si>
  <si>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</si>
  <si>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</si>
  <si>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</si>
  <si>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</si>
  <si>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</si>
  <si>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</si>
  <si>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</si>
  <si>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</si>
  <si>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</si>
  <si>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</si>
  <si>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</si>
  <si>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</si>
  <si>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</si>
  <si>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</si>
  <si>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</si>
  <si>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</si>
  <si>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</si>
  <si>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</si>
  <si>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</si>
  <si>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</si>
  <si>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</si>
  <si>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</si>
  <si>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</si>
  <si>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</si>
  <si>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</si>
  <si>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</si>
  <si>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</si>
  <si>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</si>
  <si>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</si>
  <si>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</si>
  <si>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</si>
  <si>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</si>
  <si>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</si>
  <si>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</si>
  <si>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</si>
  <si>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</si>
  <si>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</si>
  <si>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</si>
  <si>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</si>
  <si>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</si>
  <si>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</si>
  <si>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</si>
  <si>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</si>
  <si>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</si>
  <si>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</si>
  <si>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</si>
  <si>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</si>
  <si>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</si>
  <si>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</si>
  <si>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</si>
  <si>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</si>
  <si>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</si>
  <si>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</si>
  <si>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</si>
  <si>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</si>
  <si>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</si>
  <si>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</si>
  <si>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</si>
  <si>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</si>
  <si>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</si>
  <si>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</si>
  <si>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</si>
  <si>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</si>
  <si>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</si>
  <si>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</si>
  <si>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</si>
  <si>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</si>
  <si>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</si>
  <si>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</si>
  <si>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</si>
  <si>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</si>
  <si>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</si>
  <si>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</si>
  <si>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</si>
  <si>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</si>
  <si>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</si>
  <si>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</si>
  <si>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</si>
  <si>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</si>
  <si>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</si>
  <si>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</si>
  <si>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</si>
  <si>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</si>
  <si>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</si>
  <si>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</si>
  <si>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</si>
  <si>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</si>
  <si>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</si>
  <si>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</si>
  <si>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</si>
  <si>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</si>
  <si>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</si>
  <si>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</si>
  <si>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</si>
  <si>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</si>
  <si>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</si>
  <si>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</si>
  <si>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</si>
  <si>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</si>
  <si>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</si>
  <si>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</si>
  <si>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</si>
  <si>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</si>
  <si>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</si>
  <si>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</si>
  <si>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</si>
  <si>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</si>
  <si>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</si>
  <si>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</si>
  <si>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</si>
  <si>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</si>
  <si>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</si>
  <si>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</si>
  <si>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</si>
  <si>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</si>
  <si>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</si>
  <si>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</si>
  <si>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</si>
  <si>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</si>
  <si>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</si>
  <si>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</si>
  <si>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</si>
  <si>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</si>
  <si>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</si>
  <si>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</si>
  <si>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</si>
  <si>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</si>
  <si>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</si>
  <si>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</si>
  <si>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</si>
  <si>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</si>
  <si>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</si>
  <si>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</si>
  <si>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</si>
  <si>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</si>
  <si>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</si>
  <si>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</si>
  <si>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</si>
  <si>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</si>
  <si>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</si>
  <si>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</si>
  <si>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</si>
  <si>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</si>
  <si>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</si>
  <si>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</si>
  <si>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</si>
  <si>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</si>
  <si>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</si>
  <si>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</si>
  <si>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</si>
  <si>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</si>
  <si>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</si>
  <si>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</si>
  <si>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</si>
  <si>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</si>
  <si>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</si>
  <si>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</si>
  <si>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</si>
  <si>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</si>
  <si>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</si>
  <si>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</si>
  <si>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</si>
  <si>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</si>
  <si>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</si>
  <si>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</si>
  <si>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</si>
  <si>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</si>
  <si>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</si>
  <si>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</si>
  <si>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</si>
  <si>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</si>
  <si>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</si>
  <si>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</si>
  <si>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</si>
  <si>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</si>
  <si>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</si>
  <si>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</si>
  <si>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</si>
  <si>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</si>
  <si>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</si>
  <si>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</si>
  <si>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</si>
  <si>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</si>
  <si>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</si>
  <si>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</si>
  <si>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</si>
  <si>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</si>
  <si>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</si>
  <si>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</si>
  <si>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</si>
  <si>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</si>
  <si>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</si>
  <si>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</si>
  <si>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</si>
  <si>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</si>
  <si>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</si>
  <si>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</si>
  <si>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</si>
  <si>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</si>
  <si>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</si>
  <si>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</si>
  <si>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</si>
  <si>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</si>
  <si>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</si>
  <si>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</si>
  <si>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</si>
  <si>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</si>
  <si>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</si>
  <si>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</si>
  <si>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</si>
  <si>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</si>
  <si>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</si>
  <si>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</si>
  <si>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</si>
  <si>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</si>
  <si>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</si>
  <si>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</si>
  <si>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</si>
  <si>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</si>
  <si>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</si>
  <si>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</si>
  <si>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</si>
  <si>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</si>
  <si>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</si>
  <si>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</si>
  <si>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</si>
  <si>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</si>
  <si>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</si>
  <si>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</si>
  <si>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</si>
  <si>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</si>
  <si>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</si>
  <si>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</si>
  <si>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</si>
  <si>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</si>
  <si>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</si>
  <si>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</si>
  <si>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</si>
  <si>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</si>
  <si>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</si>
  <si>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</si>
  <si>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</si>
  <si>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</si>
  <si>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</si>
  <si>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</si>
  <si>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</si>
  <si>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</si>
  <si>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</si>
  <si>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</si>
  <si>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</si>
  <si>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</si>
  <si>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</si>
  <si>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</si>
  <si>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</si>
  <si>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</si>
  <si>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</si>
  <si>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</si>
  <si>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</si>
  <si>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</si>
  <si>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</si>
  <si>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</si>
  <si>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</si>
  <si>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</si>
  <si>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</si>
  <si>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</si>
  <si>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</si>
  <si>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</si>
  <si>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</si>
  <si>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</si>
  <si>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</si>
  <si>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</si>
  <si>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</si>
  <si>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</si>
  <si>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</si>
  <si>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</si>
  <si>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</si>
  <si>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</si>
  <si>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</si>
  <si>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</si>
  <si>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</si>
  <si>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</si>
  <si>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</si>
  <si>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</si>
  <si>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</si>
  <si>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</si>
  <si>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</si>
  <si>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</si>
  <si>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</si>
  <si>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</si>
  <si>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</si>
  <si>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</si>
  <si>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</si>
  <si>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</si>
  <si>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</si>
  <si>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</si>
  <si>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</si>
  <si>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</si>
  <si>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</si>
  <si>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</si>
  <si>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</si>
  <si>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</si>
  <si>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</si>
  <si>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</si>
  <si>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</si>
  <si>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</si>
  <si>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</si>
  <si>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</si>
  <si>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</si>
  <si>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</si>
  <si>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</si>
  <si>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</si>
  <si>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</si>
  <si>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</si>
  <si>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</si>
  <si>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</si>
  <si>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</si>
  <si>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</si>
  <si>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</si>
  <si>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</si>
  <si>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</si>
  <si>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</si>
  <si>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</si>
  <si>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</si>
  <si>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</si>
  <si>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</si>
  <si>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</si>
  <si>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</si>
  <si>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</si>
  <si>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</si>
  <si>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</si>
  <si>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</si>
  <si>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</si>
  <si>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</si>
  <si>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</si>
  <si>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</si>
  <si>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</si>
  <si>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</si>
  <si>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</si>
  <si>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</si>
  <si>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</si>
  <si>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</si>
  <si>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</si>
  <si>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</si>
  <si>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</si>
  <si>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</si>
  <si>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</si>
  <si>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</si>
  <si>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</si>
  <si>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</si>
  <si>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</si>
  <si>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</si>
  <si>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</si>
  <si>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</si>
  <si>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</si>
  <si>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</si>
  <si>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</si>
  <si>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</si>
  <si>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</si>
  <si>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</si>
  <si>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</si>
  <si>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</si>
  <si>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</si>
  <si>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</si>
  <si>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</si>
  <si>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</si>
  <si>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</si>
  <si>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</si>
  <si>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</si>
  <si>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</si>
  <si>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</si>
  <si>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</si>
  <si>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</si>
  <si>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</si>
  <si>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</si>
  <si>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</si>
  <si>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</si>
  <si>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</si>
  <si>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</si>
  <si>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</si>
  <si>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</si>
  <si>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</si>
  <si>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</si>
  <si>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</si>
  <si>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</si>
  <si>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</si>
  <si>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</si>
  <si>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</si>
  <si>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</si>
  <si>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</si>
  <si>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</si>
  <si>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</si>
  <si>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</si>
  <si>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</si>
  <si>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</si>
  <si>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</si>
  <si>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</si>
  <si>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</si>
  <si>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</si>
  <si>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</si>
  <si>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</si>
  <si>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</si>
  <si>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</si>
  <si>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</si>
  <si>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</si>
  <si>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</si>
  <si>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</si>
  <si>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</si>
  <si>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</si>
  <si>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</si>
  <si>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282014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</si>
</sst>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49" fontId="4" fillId="0" borderId="15" xfId="0" applyNumberFormat="1" applyFont="1" applyFill="1" applyBorder="1" applyAlignment="1" applyProtection="1">
      <alignment horizontal="center" vertical="center" wrapText="1"/>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4" fillId="0" borderId="1"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0" customWidth="1"/>
    <col min="213" max="213" width="10.26953125" style="190"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60" t="s">
        <v>59</v>
      </c>
      <c r="HG7" s="667" t="s">
        <v>60</v>
      </c>
      <c r="HH7" s="668"/>
      <c r="HI7" s="60" t="s">
        <v>61</v>
      </c>
      <c r="HJ7" s="667" t="s">
        <v>62</v>
      </c>
      <c r="HK7" s="669"/>
    </row>
    <row r="8" spans="1:219" ht="132" customHeight="1">
      <c r="A8" s="660"/>
      <c r="B8" s="619"/>
      <c r="C8" s="619"/>
      <c r="D8" s="618"/>
      <c r="E8" s="61" t="s">
        <v>63</v>
      </c>
      <c r="F8" s="662"/>
      <c r="G8" s="619"/>
      <c r="H8" s="61" t="s">
        <v>63</v>
      </c>
      <c r="I8" s="662"/>
      <c r="J8" s="619"/>
      <c r="K8" s="62" t="s">
        <v>63</v>
      </c>
      <c r="L8" s="662"/>
      <c r="M8" s="619"/>
      <c r="N8" s="63" t="s">
        <v>63</v>
      </c>
      <c r="O8" s="662"/>
      <c r="P8" s="619"/>
      <c r="Q8" s="63" t="s">
        <v>63</v>
      </c>
      <c r="R8" s="662"/>
      <c r="S8" s="619"/>
      <c r="T8" s="64" t="s">
        <v>63</v>
      </c>
      <c r="U8" s="662"/>
      <c r="V8" s="619"/>
      <c r="W8" s="64" t="s">
        <v>63</v>
      </c>
      <c r="X8" s="662"/>
      <c r="Y8" s="619"/>
      <c r="Z8" s="64" t="s">
        <v>63</v>
      </c>
      <c r="AA8" s="662"/>
      <c r="AB8" s="619"/>
      <c r="AC8" s="64" t="s">
        <v>63</v>
      </c>
      <c r="AD8" s="662"/>
      <c r="AE8" s="619"/>
      <c r="AF8" s="161" t="s">
        <v>63</v>
      </c>
      <c r="AG8" s="675"/>
      <c r="AH8" s="678"/>
      <c r="AI8" s="64" t="s">
        <v>63</v>
      </c>
      <c r="AJ8" s="662"/>
      <c r="AK8" s="619"/>
      <c r="AL8" s="64" t="s">
        <v>63</v>
      </c>
      <c r="AM8" s="662"/>
      <c r="AN8" s="619"/>
      <c r="AO8" s="64" t="s">
        <v>63</v>
      </c>
      <c r="AP8" s="662"/>
      <c r="AQ8" s="619"/>
      <c r="AR8" s="64" t="s">
        <v>63</v>
      </c>
      <c r="AS8" s="662"/>
      <c r="AT8" s="619"/>
      <c r="AU8" s="64" t="s">
        <v>63</v>
      </c>
      <c r="AV8" s="662"/>
      <c r="AW8" s="619"/>
      <c r="AX8" s="64" t="s">
        <v>63</v>
      </c>
      <c r="AY8" s="662"/>
      <c r="AZ8" s="619"/>
      <c r="BA8" s="64"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6" t="s">
        <v>64</v>
      </c>
      <c r="HE8" s="66" t="s">
        <v>128</v>
      </c>
      <c r="HF8" s="67"/>
      <c r="HG8" s="68"/>
      <c r="HH8" s="65" t="s">
        <v>65</v>
      </c>
      <c r="HI8" s="68"/>
      <c r="HJ8" s="68"/>
      <c r="HK8" s="181"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9">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69" t="s">
        <v>132</v>
      </c>
      <c r="F187" s="169"/>
      <c r="G187" s="239" t="s">
        <v>137</v>
      </c>
      <c r="H187" s="169" t="s">
        <v>132</v>
      </c>
      <c r="I187" s="169" t="s">
        <v>137</v>
      </c>
      <c r="J187" s="239" t="s">
        <v>137</v>
      </c>
      <c r="K187" s="341" t="s">
        <v>132</v>
      </c>
      <c r="L187" s="169" t="s">
        <v>137</v>
      </c>
      <c r="M187" s="342" t="s">
        <v>137</v>
      </c>
      <c r="N187" s="169" t="s">
        <v>138</v>
      </c>
      <c r="O187" s="169" t="s">
        <v>132</v>
      </c>
      <c r="P187" s="239" t="s">
        <v>1426</v>
      </c>
      <c r="Q187" s="169" t="s">
        <v>132</v>
      </c>
      <c r="R187" s="169" t="s">
        <v>137</v>
      </c>
      <c r="S187" s="239" t="s">
        <v>137</v>
      </c>
      <c r="T187" s="169" t="s">
        <v>138</v>
      </c>
      <c r="U187" s="169" t="s">
        <v>137</v>
      </c>
      <c r="V187" s="239" t="s">
        <v>137</v>
      </c>
      <c r="W187" s="169" t="s">
        <v>132</v>
      </c>
      <c r="X187" s="169" t="s">
        <v>137</v>
      </c>
      <c r="Y187" s="239" t="s">
        <v>137</v>
      </c>
      <c r="Z187" s="169" t="s">
        <v>132</v>
      </c>
      <c r="AA187" s="169" t="s">
        <v>137</v>
      </c>
      <c r="AB187" s="239" t="s">
        <v>137</v>
      </c>
      <c r="AC187" s="245" t="s">
        <v>132</v>
      </c>
      <c r="AD187" s="245" t="s">
        <v>137</v>
      </c>
      <c r="AE187" s="239" t="s">
        <v>137</v>
      </c>
      <c r="AF187" s="563" t="s">
        <v>148</v>
      </c>
      <c r="AG187" s="556" t="s">
        <v>132</v>
      </c>
      <c r="AH187" s="555" t="s">
        <v>16209</v>
      </c>
      <c r="AI187" s="169" t="s">
        <v>132</v>
      </c>
      <c r="AJ187" s="169" t="s">
        <v>137</v>
      </c>
      <c r="AK187" s="550" t="s">
        <v>137</v>
      </c>
      <c r="AL187" s="169" t="s">
        <v>132</v>
      </c>
      <c r="AM187" s="169" t="s">
        <v>137</v>
      </c>
      <c r="AN187" s="239" t="s">
        <v>137</v>
      </c>
      <c r="AO187" s="169" t="s">
        <v>138</v>
      </c>
      <c r="AP187" s="169" t="s">
        <v>137</v>
      </c>
      <c r="AQ187" s="239" t="s">
        <v>137</v>
      </c>
      <c r="AR187" s="169" t="s">
        <v>132</v>
      </c>
      <c r="AS187" s="169" t="s">
        <v>137</v>
      </c>
      <c r="AT187" s="239" t="s">
        <v>137</v>
      </c>
      <c r="AU187" s="169" t="s">
        <v>132</v>
      </c>
      <c r="AV187" s="169" t="s">
        <v>137</v>
      </c>
      <c r="AW187" s="239" t="s">
        <v>137</v>
      </c>
      <c r="AX187" s="169" t="s">
        <v>132</v>
      </c>
      <c r="AY187" s="169" t="s">
        <v>137</v>
      </c>
      <c r="AZ187" s="239" t="s">
        <v>137</v>
      </c>
      <c r="BA187" s="169" t="s">
        <v>132</v>
      </c>
      <c r="BB187" s="169"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9"/>
      <c r="GP187" s="169"/>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69" t="s">
        <v>132</v>
      </c>
      <c r="F227" s="169" t="s">
        <v>137</v>
      </c>
      <c r="G227" s="239" t="s">
        <v>137</v>
      </c>
      <c r="H227" s="169" t="s">
        <v>132</v>
      </c>
      <c r="I227" s="169" t="s">
        <v>137</v>
      </c>
      <c r="J227" s="239" t="s">
        <v>137</v>
      </c>
      <c r="K227" s="341" t="s">
        <v>132</v>
      </c>
      <c r="L227" s="169" t="s">
        <v>137</v>
      </c>
      <c r="M227" s="342" t="s">
        <v>137</v>
      </c>
      <c r="N227" s="169" t="s">
        <v>138</v>
      </c>
      <c r="O227" s="169" t="s">
        <v>137</v>
      </c>
      <c r="P227" s="239" t="s">
        <v>137</v>
      </c>
      <c r="Q227" s="169" t="s">
        <v>132</v>
      </c>
      <c r="R227" s="169" t="s">
        <v>137</v>
      </c>
      <c r="S227" s="239" t="s">
        <v>137</v>
      </c>
      <c r="T227" s="169" t="s">
        <v>132</v>
      </c>
      <c r="U227" s="169" t="s">
        <v>137</v>
      </c>
      <c r="V227" s="239" t="s">
        <v>137</v>
      </c>
      <c r="W227" s="169" t="s">
        <v>132</v>
      </c>
      <c r="X227" s="169" t="s">
        <v>137</v>
      </c>
      <c r="Y227" s="239" t="s">
        <v>137</v>
      </c>
      <c r="Z227" s="169" t="s">
        <v>132</v>
      </c>
      <c r="AA227" s="169" t="s">
        <v>137</v>
      </c>
      <c r="AB227" s="239" t="s">
        <v>137</v>
      </c>
      <c r="AC227" s="169" t="s">
        <v>132</v>
      </c>
      <c r="AD227" s="245" t="s">
        <v>137</v>
      </c>
      <c r="AE227" s="239" t="s">
        <v>137</v>
      </c>
      <c r="AF227" s="563" t="s">
        <v>148</v>
      </c>
      <c r="AG227" s="556" t="s">
        <v>132</v>
      </c>
      <c r="AH227" s="555" t="s">
        <v>1681</v>
      </c>
      <c r="AI227" s="169" t="s">
        <v>132</v>
      </c>
      <c r="AJ227" s="169" t="s">
        <v>137</v>
      </c>
      <c r="AK227" s="550" t="s">
        <v>137</v>
      </c>
      <c r="AL227" s="169" t="s">
        <v>132</v>
      </c>
      <c r="AM227" s="169" t="s">
        <v>137</v>
      </c>
      <c r="AN227" s="239" t="s">
        <v>137</v>
      </c>
      <c r="AO227" s="169" t="s">
        <v>138</v>
      </c>
      <c r="AP227" s="169" t="s">
        <v>137</v>
      </c>
      <c r="AQ227" s="239" t="s">
        <v>137</v>
      </c>
      <c r="AR227" s="169" t="s">
        <v>132</v>
      </c>
      <c r="AS227" s="169" t="s">
        <v>137</v>
      </c>
      <c r="AT227" s="239" t="s">
        <v>137</v>
      </c>
      <c r="AU227" s="169" t="s">
        <v>132</v>
      </c>
      <c r="AV227" s="169" t="s">
        <v>137</v>
      </c>
      <c r="AW227" s="239" t="s">
        <v>137</v>
      </c>
      <c r="AX227" s="169" t="s">
        <v>132</v>
      </c>
      <c r="AY227" s="169" t="s">
        <v>137</v>
      </c>
      <c r="AZ227" s="239" t="s">
        <v>137</v>
      </c>
      <c r="BA227" s="169" t="s">
        <v>132</v>
      </c>
      <c r="BB227" s="169"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9"/>
      <c r="GP227" s="169"/>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69" t="s">
        <v>132</v>
      </c>
      <c r="F260" s="169" t="s">
        <v>137</v>
      </c>
      <c r="G260" s="239" t="s">
        <v>137</v>
      </c>
      <c r="H260" s="169" t="s">
        <v>132</v>
      </c>
      <c r="I260" s="169" t="s">
        <v>137</v>
      </c>
      <c r="J260" s="239" t="s">
        <v>137</v>
      </c>
      <c r="K260" s="341" t="s">
        <v>132</v>
      </c>
      <c r="L260" s="169" t="s">
        <v>137</v>
      </c>
      <c r="M260" s="342" t="s">
        <v>137</v>
      </c>
      <c r="N260" s="169" t="s">
        <v>132</v>
      </c>
      <c r="O260" s="169" t="s">
        <v>137</v>
      </c>
      <c r="P260" s="239" t="s">
        <v>137</v>
      </c>
      <c r="Q260" s="169" t="s">
        <v>132</v>
      </c>
      <c r="R260" s="169" t="s">
        <v>137</v>
      </c>
      <c r="S260" s="239" t="s">
        <v>137</v>
      </c>
      <c r="T260" s="169" t="s">
        <v>132</v>
      </c>
      <c r="U260" s="169" t="s">
        <v>137</v>
      </c>
      <c r="V260" s="239"/>
      <c r="W260" s="169" t="s">
        <v>132</v>
      </c>
      <c r="X260" s="169" t="s">
        <v>137</v>
      </c>
      <c r="Y260" s="239" t="s">
        <v>137</v>
      </c>
      <c r="Z260" s="169" t="s">
        <v>132</v>
      </c>
      <c r="AA260" s="169"/>
      <c r="AB260" s="239"/>
      <c r="AC260" s="169" t="s">
        <v>132</v>
      </c>
      <c r="AD260" s="169"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9"/>
      <c r="GP260" s="169"/>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69" t="s">
        <v>132</v>
      </c>
      <c r="F294" s="169" t="s">
        <v>137</v>
      </c>
      <c r="G294" s="239" t="s">
        <v>137</v>
      </c>
      <c r="H294" s="169" t="s">
        <v>132</v>
      </c>
      <c r="I294" s="169" t="s">
        <v>137</v>
      </c>
      <c r="J294" s="239" t="s">
        <v>137</v>
      </c>
      <c r="K294" s="341" t="s">
        <v>132</v>
      </c>
      <c r="L294" s="169" t="s">
        <v>137</v>
      </c>
      <c r="M294" s="342" t="s">
        <v>137</v>
      </c>
      <c r="N294" s="169" t="s">
        <v>132</v>
      </c>
      <c r="O294" s="169" t="s">
        <v>137</v>
      </c>
      <c r="P294" s="239" t="s">
        <v>137</v>
      </c>
      <c r="Q294" s="169" t="s">
        <v>132</v>
      </c>
      <c r="R294" s="169"/>
      <c r="S294" s="239"/>
      <c r="T294" s="169" t="s">
        <v>132</v>
      </c>
      <c r="U294" s="169"/>
      <c r="V294" s="239"/>
      <c r="W294" s="169" t="s">
        <v>132</v>
      </c>
      <c r="X294" s="169"/>
      <c r="Y294" s="239"/>
      <c r="Z294" s="169" t="s">
        <v>132</v>
      </c>
      <c r="AA294" s="169" t="s">
        <v>137</v>
      </c>
      <c r="AB294" s="239" t="s">
        <v>137</v>
      </c>
      <c r="AC294" s="169" t="s">
        <v>132</v>
      </c>
      <c r="AD294" s="245" t="s">
        <v>137</v>
      </c>
      <c r="AE294" s="239" t="s">
        <v>137</v>
      </c>
      <c r="AF294" s="563" t="s">
        <v>148</v>
      </c>
      <c r="AG294" s="556" t="s">
        <v>132</v>
      </c>
      <c r="AH294" s="555" t="s">
        <v>18060</v>
      </c>
      <c r="AI294" s="169" t="s">
        <v>132</v>
      </c>
      <c r="AJ294" s="169" t="s">
        <v>137</v>
      </c>
      <c r="AK294" s="550" t="s">
        <v>137</v>
      </c>
      <c r="AL294" s="169" t="s">
        <v>132</v>
      </c>
      <c r="AM294" s="169"/>
      <c r="AN294" s="239"/>
      <c r="AO294" s="169"/>
      <c r="AP294" s="169"/>
      <c r="AQ294" s="239"/>
      <c r="AR294" s="169" t="s">
        <v>132</v>
      </c>
      <c r="AS294" s="169" t="s">
        <v>137</v>
      </c>
      <c r="AT294" s="239" t="s">
        <v>137</v>
      </c>
      <c r="AU294" s="169" t="s">
        <v>132</v>
      </c>
      <c r="AV294" s="169"/>
      <c r="AW294" s="239"/>
      <c r="AX294" s="169" t="s">
        <v>132</v>
      </c>
      <c r="AY294" s="169"/>
      <c r="AZ294" s="239"/>
      <c r="BA294" s="169" t="s">
        <v>132</v>
      </c>
      <c r="BB294" s="169"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9"/>
      <c r="GP294" s="169"/>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9" t="s">
        <v>132</v>
      </c>
      <c r="F319" s="169" t="s">
        <v>137</v>
      </c>
      <c r="G319" s="239" t="s">
        <v>137</v>
      </c>
      <c r="H319" s="169" t="s">
        <v>132</v>
      </c>
      <c r="I319" s="169" t="s">
        <v>137</v>
      </c>
      <c r="J319" s="239" t="s">
        <v>137</v>
      </c>
      <c r="K319" s="341" t="s">
        <v>132</v>
      </c>
      <c r="L319" s="169" t="s">
        <v>137</v>
      </c>
      <c r="M319" s="342" t="s">
        <v>137</v>
      </c>
      <c r="N319" s="169" t="s">
        <v>132</v>
      </c>
      <c r="O319" s="169" t="s">
        <v>137</v>
      </c>
      <c r="P319" s="239" t="s">
        <v>137</v>
      </c>
      <c r="Q319" s="169" t="s">
        <v>132</v>
      </c>
      <c r="R319" s="169" t="s">
        <v>137</v>
      </c>
      <c r="S319" s="239" t="s">
        <v>137</v>
      </c>
      <c r="T319" s="169" t="s">
        <v>132</v>
      </c>
      <c r="U319" s="169" t="s">
        <v>137</v>
      </c>
      <c r="V319" s="239" t="s">
        <v>137</v>
      </c>
      <c r="W319" s="169" t="s">
        <v>132</v>
      </c>
      <c r="X319" s="169" t="s">
        <v>137</v>
      </c>
      <c r="Y319" s="239" t="s">
        <v>137</v>
      </c>
      <c r="Z319" s="169" t="s">
        <v>132</v>
      </c>
      <c r="AA319" s="169" t="s">
        <v>137</v>
      </c>
      <c r="AB319" s="239" t="s">
        <v>137</v>
      </c>
      <c r="AC319" s="245" t="s">
        <v>132</v>
      </c>
      <c r="AD319" s="245" t="s">
        <v>137</v>
      </c>
      <c r="AE319" s="239" t="s">
        <v>137</v>
      </c>
      <c r="AF319" s="563" t="s">
        <v>148</v>
      </c>
      <c r="AG319" s="556" t="s">
        <v>132</v>
      </c>
      <c r="AH319" s="555" t="s">
        <v>2254</v>
      </c>
      <c r="AI319" s="169" t="s">
        <v>132</v>
      </c>
      <c r="AJ319" s="169" t="s">
        <v>137</v>
      </c>
      <c r="AK319" s="550" t="s">
        <v>137</v>
      </c>
      <c r="AL319" s="169" t="s">
        <v>132</v>
      </c>
      <c r="AM319" s="169" t="s">
        <v>137</v>
      </c>
      <c r="AN319" s="239" t="s">
        <v>137</v>
      </c>
      <c r="AO319" s="169" t="s">
        <v>132</v>
      </c>
      <c r="AP319" s="169" t="s">
        <v>137</v>
      </c>
      <c r="AQ319" s="239" t="s">
        <v>137</v>
      </c>
      <c r="AR319" s="169" t="s">
        <v>132</v>
      </c>
      <c r="AS319" s="169" t="s">
        <v>137</v>
      </c>
      <c r="AT319" s="239" t="s">
        <v>137</v>
      </c>
      <c r="AU319" s="169" t="s">
        <v>132</v>
      </c>
      <c r="AV319" s="169" t="s">
        <v>137</v>
      </c>
      <c r="AW319" s="239" t="s">
        <v>137</v>
      </c>
      <c r="AX319" s="169" t="s">
        <v>132</v>
      </c>
      <c r="AY319" s="169" t="s">
        <v>137</v>
      </c>
      <c r="AZ319" s="239" t="s">
        <v>137</v>
      </c>
      <c r="BA319" s="169" t="s">
        <v>132</v>
      </c>
      <c r="BB319" s="169"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9" t="s">
        <v>132</v>
      </c>
      <c r="GP319" s="169"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9"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9"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9"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9"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9"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9"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9"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9"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9"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9"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9"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9"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9"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9"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9"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9"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9"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9"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9"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9"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9"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69" t="s">
        <v>132</v>
      </c>
      <c r="F413" s="169" t="s">
        <v>137</v>
      </c>
      <c r="G413" s="239" t="s">
        <v>137</v>
      </c>
      <c r="H413" s="169" t="s">
        <v>132</v>
      </c>
      <c r="I413" s="169" t="s">
        <v>137</v>
      </c>
      <c r="J413" s="239" t="s">
        <v>137</v>
      </c>
      <c r="K413" s="341" t="s">
        <v>132</v>
      </c>
      <c r="L413" s="169" t="s">
        <v>137</v>
      </c>
      <c r="M413" s="342" t="s">
        <v>137</v>
      </c>
      <c r="N413" s="169" t="s">
        <v>132</v>
      </c>
      <c r="O413" s="169" t="s">
        <v>137</v>
      </c>
      <c r="P413" s="239" t="s">
        <v>137</v>
      </c>
      <c r="Q413" s="169" t="s">
        <v>138</v>
      </c>
      <c r="R413" s="169" t="s">
        <v>132</v>
      </c>
      <c r="S413" s="239" t="s">
        <v>2763</v>
      </c>
      <c r="T413" s="169" t="s">
        <v>132</v>
      </c>
      <c r="U413" s="169" t="s">
        <v>137</v>
      </c>
      <c r="V413" s="239" t="s">
        <v>137</v>
      </c>
      <c r="W413" s="169" t="s">
        <v>132</v>
      </c>
      <c r="X413" s="169" t="s">
        <v>137</v>
      </c>
      <c r="Y413" s="239" t="s">
        <v>137</v>
      </c>
      <c r="Z413" s="169" t="s">
        <v>132</v>
      </c>
      <c r="AA413" s="169" t="s">
        <v>137</v>
      </c>
      <c r="AB413" s="239" t="s">
        <v>137</v>
      </c>
      <c r="AC413" s="169" t="s">
        <v>132</v>
      </c>
      <c r="AD413" s="169" t="s">
        <v>137</v>
      </c>
      <c r="AE413" s="239" t="s">
        <v>137</v>
      </c>
      <c r="AF413" s="563" t="s">
        <v>148</v>
      </c>
      <c r="AG413" s="556" t="s">
        <v>132</v>
      </c>
      <c r="AH413" s="555" t="s">
        <v>14242</v>
      </c>
      <c r="AI413" s="169" t="s">
        <v>132</v>
      </c>
      <c r="AJ413" s="169" t="s">
        <v>137</v>
      </c>
      <c r="AK413" s="550" t="s">
        <v>137</v>
      </c>
      <c r="AL413" s="169" t="s">
        <v>132</v>
      </c>
      <c r="AM413" s="169" t="s">
        <v>137</v>
      </c>
      <c r="AN413" s="239" t="s">
        <v>137</v>
      </c>
      <c r="AO413" s="169" t="s">
        <v>138</v>
      </c>
      <c r="AP413" s="169" t="s">
        <v>137</v>
      </c>
      <c r="AQ413" s="239" t="s">
        <v>137</v>
      </c>
      <c r="AR413" s="169" t="s">
        <v>132</v>
      </c>
      <c r="AS413" s="169" t="s">
        <v>137</v>
      </c>
      <c r="AT413" s="239" t="s">
        <v>137</v>
      </c>
      <c r="AU413" s="169" t="s">
        <v>132</v>
      </c>
      <c r="AV413" s="169" t="s">
        <v>137</v>
      </c>
      <c r="AW413" s="239" t="s">
        <v>137</v>
      </c>
      <c r="AX413" s="169" t="s">
        <v>132</v>
      </c>
      <c r="AY413" s="169" t="s">
        <v>137</v>
      </c>
      <c r="AZ413" s="239" t="s">
        <v>137</v>
      </c>
      <c r="BA413" s="169" t="s">
        <v>132</v>
      </c>
      <c r="BB413" s="169"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9"/>
      <c r="GP413" s="169"/>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9" t="s">
        <v>137</v>
      </c>
      <c r="M432" s="342" t="s">
        <v>137</v>
      </c>
      <c r="N432" s="169" t="s">
        <v>132</v>
      </c>
      <c r="O432" s="169" t="s">
        <v>137</v>
      </c>
      <c r="P432" s="239" t="s">
        <v>137</v>
      </c>
      <c r="Q432" s="169" t="s">
        <v>132</v>
      </c>
      <c r="R432" s="169" t="s">
        <v>137</v>
      </c>
      <c r="S432" s="239" t="s">
        <v>137</v>
      </c>
      <c r="T432" s="169" t="s">
        <v>138</v>
      </c>
      <c r="U432" s="169"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69" t="s">
        <v>132</v>
      </c>
      <c r="F457" s="169" t="s">
        <v>137</v>
      </c>
      <c r="G457" s="239" t="s">
        <v>137</v>
      </c>
      <c r="H457" s="169" t="s">
        <v>132</v>
      </c>
      <c r="I457" s="169" t="s">
        <v>137</v>
      </c>
      <c r="J457" s="239" t="s">
        <v>137</v>
      </c>
      <c r="K457" s="341" t="s">
        <v>132</v>
      </c>
      <c r="L457" s="169" t="s">
        <v>137</v>
      </c>
      <c r="M457" s="342" t="s">
        <v>137</v>
      </c>
      <c r="N457" s="169" t="s">
        <v>132</v>
      </c>
      <c r="O457" s="169" t="s">
        <v>137</v>
      </c>
      <c r="P457" s="239" t="s">
        <v>137</v>
      </c>
      <c r="Q457" s="169" t="s">
        <v>132</v>
      </c>
      <c r="R457" s="169" t="s">
        <v>137</v>
      </c>
      <c r="S457" s="239" t="s">
        <v>137</v>
      </c>
      <c r="T457" s="169" t="s">
        <v>132</v>
      </c>
      <c r="U457" s="169" t="s">
        <v>137</v>
      </c>
      <c r="V457" s="239" t="s">
        <v>137</v>
      </c>
      <c r="W457" s="169" t="s">
        <v>132</v>
      </c>
      <c r="X457" s="169" t="s">
        <v>137</v>
      </c>
      <c r="Y457" s="239" t="s">
        <v>137</v>
      </c>
      <c r="Z457" s="169" t="s">
        <v>132</v>
      </c>
      <c r="AA457" s="169" t="s">
        <v>137</v>
      </c>
      <c r="AB457" s="239" t="s">
        <v>137</v>
      </c>
      <c r="AC457" s="169" t="s">
        <v>132</v>
      </c>
      <c r="AD457" s="245" t="s">
        <v>137</v>
      </c>
      <c r="AE457" s="239" t="s">
        <v>137</v>
      </c>
      <c r="AF457" s="563" t="s">
        <v>132</v>
      </c>
      <c r="AG457" s="556"/>
      <c r="AH457" s="555"/>
      <c r="AI457" s="169" t="s">
        <v>132</v>
      </c>
      <c r="AJ457" s="169" t="s">
        <v>137</v>
      </c>
      <c r="AK457" s="550" t="s">
        <v>137</v>
      </c>
      <c r="AL457" s="169" t="s">
        <v>132</v>
      </c>
      <c r="AM457" s="169" t="s">
        <v>137</v>
      </c>
      <c r="AN457" s="239" t="s">
        <v>137</v>
      </c>
      <c r="AO457" s="169" t="s">
        <v>138</v>
      </c>
      <c r="AP457" s="169" t="s">
        <v>137</v>
      </c>
      <c r="AQ457" s="239" t="s">
        <v>137</v>
      </c>
      <c r="AR457" s="169" t="s">
        <v>132</v>
      </c>
      <c r="AS457" s="169" t="s">
        <v>137</v>
      </c>
      <c r="AT457" s="239" t="s">
        <v>137</v>
      </c>
      <c r="AU457" s="169" t="s">
        <v>132</v>
      </c>
      <c r="AV457" s="169" t="s">
        <v>137</v>
      </c>
      <c r="AW457" s="239" t="s">
        <v>137</v>
      </c>
      <c r="AX457" s="169" t="s">
        <v>132</v>
      </c>
      <c r="AY457" s="169" t="s">
        <v>137</v>
      </c>
      <c r="AZ457" s="239" t="s">
        <v>137</v>
      </c>
      <c r="BA457" s="169" t="s">
        <v>132</v>
      </c>
      <c r="BB457" s="169"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9"/>
      <c r="GP457" s="169"/>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69" t="s">
        <v>132</v>
      </c>
      <c r="F482" s="169" t="s">
        <v>137</v>
      </c>
      <c r="G482" s="239" t="s">
        <v>137</v>
      </c>
      <c r="H482" s="169" t="s">
        <v>132</v>
      </c>
      <c r="I482" s="169" t="s">
        <v>137</v>
      </c>
      <c r="J482" s="239" t="s">
        <v>137</v>
      </c>
      <c r="K482" s="341" t="s">
        <v>132</v>
      </c>
      <c r="L482" s="169" t="s">
        <v>137</v>
      </c>
      <c r="M482" s="342" t="s">
        <v>137</v>
      </c>
      <c r="N482" s="169" t="s">
        <v>132</v>
      </c>
      <c r="O482" s="169" t="s">
        <v>137</v>
      </c>
      <c r="P482" s="239" t="s">
        <v>137</v>
      </c>
      <c r="Q482" s="169" t="s">
        <v>132</v>
      </c>
      <c r="R482" s="169" t="s">
        <v>137</v>
      </c>
      <c r="S482" s="239" t="s">
        <v>137</v>
      </c>
      <c r="T482" s="169" t="s">
        <v>132</v>
      </c>
      <c r="U482" s="169" t="s">
        <v>137</v>
      </c>
      <c r="V482" s="239" t="s">
        <v>137</v>
      </c>
      <c r="W482" s="169" t="s">
        <v>132</v>
      </c>
      <c r="X482" s="169" t="s">
        <v>137</v>
      </c>
      <c r="Y482" s="239" t="s">
        <v>137</v>
      </c>
      <c r="Z482" s="169" t="s">
        <v>132</v>
      </c>
      <c r="AA482" s="169" t="s">
        <v>137</v>
      </c>
      <c r="AB482" s="239" t="s">
        <v>137</v>
      </c>
      <c r="AC482" s="169" t="s">
        <v>132</v>
      </c>
      <c r="AD482" s="169" t="s">
        <v>137</v>
      </c>
      <c r="AE482" s="239" t="s">
        <v>137</v>
      </c>
      <c r="AF482" s="563" t="s">
        <v>148</v>
      </c>
      <c r="AG482" s="552" t="s">
        <v>132</v>
      </c>
      <c r="AH482" s="555" t="s">
        <v>18305</v>
      </c>
      <c r="AI482" s="169" t="s">
        <v>132</v>
      </c>
      <c r="AJ482" s="169" t="s">
        <v>137</v>
      </c>
      <c r="AK482" s="550" t="s">
        <v>137</v>
      </c>
      <c r="AL482" s="169" t="s">
        <v>132</v>
      </c>
      <c r="AM482" s="169" t="s">
        <v>137</v>
      </c>
      <c r="AN482" s="239" t="s">
        <v>137</v>
      </c>
      <c r="AO482" s="169"/>
      <c r="AP482" s="169" t="s">
        <v>137</v>
      </c>
      <c r="AQ482" s="239" t="s">
        <v>137</v>
      </c>
      <c r="AR482" s="169" t="s">
        <v>132</v>
      </c>
      <c r="AS482" s="169" t="s">
        <v>137</v>
      </c>
      <c r="AT482" s="239" t="s">
        <v>137</v>
      </c>
      <c r="AU482" s="169" t="s">
        <v>132</v>
      </c>
      <c r="AV482" s="169" t="s">
        <v>137</v>
      </c>
      <c r="AW482" s="239" t="s">
        <v>137</v>
      </c>
      <c r="AX482" s="169" t="s">
        <v>132</v>
      </c>
      <c r="AY482" s="169" t="s">
        <v>137</v>
      </c>
      <c r="AZ482" s="239" t="s">
        <v>137</v>
      </c>
      <c r="BA482" s="169"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9"/>
      <c r="GP482" s="169"/>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69"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9"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69"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69"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69"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69"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69"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2" t="s">
        <v>3199</v>
      </c>
      <c r="C489" s="182" t="s">
        <v>14340</v>
      </c>
      <c r="D489" s="197" t="s">
        <v>103</v>
      </c>
      <c r="E489" s="182" t="s">
        <v>132</v>
      </c>
      <c r="F489" s="182" t="s">
        <v>137</v>
      </c>
      <c r="G489" s="237" t="s">
        <v>137</v>
      </c>
      <c r="H489" s="169"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2" customFormat="1" ht="115" customHeight="1">
      <c r="A490" s="558" t="s">
        <v>18334</v>
      </c>
      <c r="B490" s="552" t="s">
        <v>3199</v>
      </c>
      <c r="C490" s="552" t="s">
        <v>3277</v>
      </c>
      <c r="D490" s="559" t="s">
        <v>103</v>
      </c>
      <c r="E490" s="557" t="s">
        <v>132</v>
      </c>
      <c r="F490" s="557" t="s">
        <v>137</v>
      </c>
      <c r="G490" s="554" t="s">
        <v>137</v>
      </c>
      <c r="H490" s="169"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69"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69"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69"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69"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69"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69"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69"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69"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69"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69"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69"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69"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69"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69"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9" t="s">
        <v>132</v>
      </c>
      <c r="F579" s="169" t="s">
        <v>137</v>
      </c>
      <c r="G579" s="239" t="s">
        <v>137</v>
      </c>
      <c r="H579" s="169" t="s">
        <v>132</v>
      </c>
      <c r="I579" s="169" t="s">
        <v>137</v>
      </c>
      <c r="J579" s="239" t="s">
        <v>137</v>
      </c>
      <c r="K579" s="341" t="s">
        <v>132</v>
      </c>
      <c r="L579" s="169" t="s">
        <v>137</v>
      </c>
      <c r="M579" s="342" t="s">
        <v>137</v>
      </c>
      <c r="N579" s="169" t="s">
        <v>132</v>
      </c>
      <c r="O579" s="169" t="s">
        <v>137</v>
      </c>
      <c r="P579" s="239" t="s">
        <v>137</v>
      </c>
      <c r="Q579" s="169" t="s">
        <v>138</v>
      </c>
      <c r="R579" s="169" t="s">
        <v>132</v>
      </c>
      <c r="S579" s="239" t="s">
        <v>3812</v>
      </c>
      <c r="T579" s="169" t="s">
        <v>132</v>
      </c>
      <c r="U579" s="169" t="s">
        <v>137</v>
      </c>
      <c r="V579" s="239" t="s">
        <v>137</v>
      </c>
      <c r="W579" s="169" t="s">
        <v>132</v>
      </c>
      <c r="X579" s="169" t="s">
        <v>137</v>
      </c>
      <c r="Y579" s="239" t="s">
        <v>137</v>
      </c>
      <c r="Z579" s="169" t="s">
        <v>132</v>
      </c>
      <c r="AA579" s="169" t="s">
        <v>137</v>
      </c>
      <c r="AB579" s="239" t="s">
        <v>137</v>
      </c>
      <c r="AC579" s="245" t="s">
        <v>132</v>
      </c>
      <c r="AD579" s="245" t="s">
        <v>137</v>
      </c>
      <c r="AE579" s="239" t="s">
        <v>137</v>
      </c>
      <c r="AF579" s="563" t="s">
        <v>148</v>
      </c>
      <c r="AG579" s="556" t="s">
        <v>132</v>
      </c>
      <c r="AH579" s="555" t="s">
        <v>10810</v>
      </c>
      <c r="AI579" s="169" t="s">
        <v>132</v>
      </c>
      <c r="AJ579" s="169" t="s">
        <v>137</v>
      </c>
      <c r="AK579" s="550" t="s">
        <v>137</v>
      </c>
      <c r="AL579" s="169" t="s">
        <v>132</v>
      </c>
      <c r="AM579" s="169" t="s">
        <v>137</v>
      </c>
      <c r="AN579" s="239" t="s">
        <v>137</v>
      </c>
      <c r="AO579" s="169" t="s">
        <v>138</v>
      </c>
      <c r="AP579" s="169" t="s">
        <v>137</v>
      </c>
      <c r="AQ579" s="239" t="s">
        <v>137</v>
      </c>
      <c r="AR579" s="169"/>
      <c r="AS579" s="169" t="s">
        <v>137</v>
      </c>
      <c r="AT579" s="239" t="s">
        <v>137</v>
      </c>
      <c r="AU579" s="169" t="s">
        <v>132</v>
      </c>
      <c r="AV579" s="169" t="s">
        <v>137</v>
      </c>
      <c r="AW579" s="239" t="s">
        <v>137</v>
      </c>
      <c r="AX579" s="169" t="s">
        <v>132</v>
      </c>
      <c r="AY579" s="169" t="s">
        <v>137</v>
      </c>
      <c r="AZ579" s="239" t="s">
        <v>137</v>
      </c>
      <c r="BA579" s="169" t="s">
        <v>132</v>
      </c>
      <c r="BB579" s="169"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9"/>
      <c r="GP579" s="169"/>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69" t="s">
        <v>132</v>
      </c>
      <c r="F632" s="169" t="s">
        <v>137</v>
      </c>
      <c r="G632" s="239" t="s">
        <v>137</v>
      </c>
      <c r="H632" s="169" t="s">
        <v>132</v>
      </c>
      <c r="I632" s="169" t="s">
        <v>137</v>
      </c>
      <c r="J632" s="239" t="s">
        <v>137</v>
      </c>
      <c r="K632" s="341" t="s">
        <v>132</v>
      </c>
      <c r="L632" s="169" t="s">
        <v>137</v>
      </c>
      <c r="M632" s="342" t="s">
        <v>137</v>
      </c>
      <c r="N632" s="169" t="s">
        <v>132</v>
      </c>
      <c r="O632" s="169" t="s">
        <v>137</v>
      </c>
      <c r="P632" s="239" t="s">
        <v>137</v>
      </c>
      <c r="Q632" s="169" t="s">
        <v>132</v>
      </c>
      <c r="R632" s="169" t="s">
        <v>137</v>
      </c>
      <c r="S632" s="239" t="s">
        <v>137</v>
      </c>
      <c r="T632" s="169" t="s">
        <v>138</v>
      </c>
      <c r="U632" s="169" t="s">
        <v>137</v>
      </c>
      <c r="V632" s="239" t="s">
        <v>137</v>
      </c>
      <c r="W632" s="169" t="s">
        <v>132</v>
      </c>
      <c r="X632" s="169"/>
      <c r="Y632" s="239"/>
      <c r="Z632" s="169" t="s">
        <v>132</v>
      </c>
      <c r="AA632" s="169" t="s">
        <v>137</v>
      </c>
      <c r="AB632" s="239" t="s">
        <v>137</v>
      </c>
      <c r="AC632" s="169" t="s">
        <v>132</v>
      </c>
      <c r="AD632" s="169" t="s">
        <v>137</v>
      </c>
      <c r="AE632" s="239" t="s">
        <v>137</v>
      </c>
      <c r="AF632" s="563" t="s">
        <v>132</v>
      </c>
      <c r="AG632" s="556"/>
      <c r="AH632" s="555"/>
      <c r="AI632" s="169" t="s">
        <v>138</v>
      </c>
      <c r="AJ632" s="169" t="s">
        <v>137</v>
      </c>
      <c r="AK632" s="550" t="s">
        <v>137</v>
      </c>
      <c r="AL632" s="169" t="s">
        <v>132</v>
      </c>
      <c r="AM632" s="169" t="s">
        <v>137</v>
      </c>
      <c r="AN632" s="239" t="s">
        <v>137</v>
      </c>
      <c r="AO632" s="169" t="s">
        <v>132</v>
      </c>
      <c r="AP632" s="169" t="s">
        <v>137</v>
      </c>
      <c r="AQ632" s="239" t="s">
        <v>137</v>
      </c>
      <c r="AR632" s="169" t="s">
        <v>132</v>
      </c>
      <c r="AS632" s="169" t="s">
        <v>137</v>
      </c>
      <c r="AT632" s="239" t="s">
        <v>137</v>
      </c>
      <c r="AU632" s="169" t="s">
        <v>132</v>
      </c>
      <c r="AV632" s="169" t="s">
        <v>137</v>
      </c>
      <c r="AW632" s="239" t="s">
        <v>137</v>
      </c>
      <c r="AX632" s="169" t="s">
        <v>132</v>
      </c>
      <c r="AY632" s="169" t="s">
        <v>137</v>
      </c>
      <c r="AZ632" s="239" t="s">
        <v>137</v>
      </c>
      <c r="BA632" s="169" t="s">
        <v>132</v>
      </c>
      <c r="BB632" s="169"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9"/>
      <c r="GP632" s="169"/>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69" t="s">
        <v>132</v>
      </c>
      <c r="F694" s="169" t="s">
        <v>137</v>
      </c>
      <c r="G694" s="239" t="s">
        <v>137</v>
      </c>
      <c r="H694" s="169" t="s">
        <v>138</v>
      </c>
      <c r="I694" s="169" t="s">
        <v>132</v>
      </c>
      <c r="J694" s="239" t="s">
        <v>4450</v>
      </c>
      <c r="K694" s="341" t="s">
        <v>132</v>
      </c>
      <c r="L694" s="169" t="s">
        <v>137</v>
      </c>
      <c r="M694" s="342" t="s">
        <v>137</v>
      </c>
      <c r="N694" s="169" t="s">
        <v>132</v>
      </c>
      <c r="O694" s="169"/>
      <c r="P694" s="239"/>
      <c r="Q694" s="169" t="s">
        <v>132</v>
      </c>
      <c r="R694" s="169" t="s">
        <v>137</v>
      </c>
      <c r="S694" s="239" t="s">
        <v>137</v>
      </c>
      <c r="T694" s="169" t="s">
        <v>132</v>
      </c>
      <c r="U694" s="169" t="s">
        <v>137</v>
      </c>
      <c r="V694" s="239" t="s">
        <v>137</v>
      </c>
      <c r="W694" s="169" t="s">
        <v>132</v>
      </c>
      <c r="X694" s="169" t="s">
        <v>137</v>
      </c>
      <c r="Y694" s="239" t="s">
        <v>137</v>
      </c>
      <c r="Z694" s="169" t="s">
        <v>138</v>
      </c>
      <c r="AA694" s="169" t="s">
        <v>132</v>
      </c>
      <c r="AB694" s="239" t="s">
        <v>4450</v>
      </c>
      <c r="AC694" s="169" t="s">
        <v>138</v>
      </c>
      <c r="AD694" s="245" t="s">
        <v>137</v>
      </c>
      <c r="AE694" s="239" t="s">
        <v>137</v>
      </c>
      <c r="AF694" s="563" t="s">
        <v>148</v>
      </c>
      <c r="AG694" s="552" t="s">
        <v>132</v>
      </c>
      <c r="AH694" s="555" t="s">
        <v>10825</v>
      </c>
      <c r="AI694" s="169" t="s">
        <v>132</v>
      </c>
      <c r="AJ694" s="169" t="s">
        <v>137</v>
      </c>
      <c r="AK694" s="550" t="s">
        <v>137</v>
      </c>
      <c r="AL694" s="169" t="s">
        <v>132</v>
      </c>
      <c r="AM694" s="169" t="s">
        <v>137</v>
      </c>
      <c r="AN694" s="239" t="s">
        <v>137</v>
      </c>
      <c r="AO694" s="169"/>
      <c r="AP694" s="169" t="s">
        <v>137</v>
      </c>
      <c r="AQ694" s="239"/>
      <c r="AR694" s="169"/>
      <c r="AS694" s="169" t="s">
        <v>137</v>
      </c>
      <c r="AT694" s="239"/>
      <c r="AU694" s="169" t="s">
        <v>132</v>
      </c>
      <c r="AV694" s="169" t="s">
        <v>137</v>
      </c>
      <c r="AW694" s="239" t="s">
        <v>137</v>
      </c>
      <c r="AX694" s="169" t="s">
        <v>132</v>
      </c>
      <c r="AY694" s="169"/>
      <c r="AZ694" s="239"/>
      <c r="BA694" s="169" t="s">
        <v>132</v>
      </c>
      <c r="BB694" s="169"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9"/>
      <c r="GP694" s="169"/>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9" t="s">
        <v>132</v>
      </c>
      <c r="AM695" s="557" t="s">
        <v>137</v>
      </c>
      <c r="AN695" s="554" t="s">
        <v>137</v>
      </c>
      <c r="AO695" s="557" t="s">
        <v>138</v>
      </c>
      <c r="AP695" s="557" t="s">
        <v>137</v>
      </c>
      <c r="AQ695" s="554" t="s">
        <v>137</v>
      </c>
      <c r="AR695" s="557"/>
      <c r="AS695" s="557" t="s">
        <v>137</v>
      </c>
      <c r="AT695" s="554" t="s">
        <v>137</v>
      </c>
      <c r="AU695" s="169" t="s">
        <v>132</v>
      </c>
      <c r="AV695" s="557" t="s">
        <v>137</v>
      </c>
      <c r="AW695" s="554" t="s">
        <v>137</v>
      </c>
      <c r="AX695" s="169" t="s">
        <v>132</v>
      </c>
      <c r="AY695" s="557" t="s">
        <v>137</v>
      </c>
      <c r="AZ695" s="554" t="s">
        <v>137</v>
      </c>
      <c r="BA695" s="169"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9" t="s">
        <v>132</v>
      </c>
      <c r="AM697" s="557" t="s">
        <v>137</v>
      </c>
      <c r="AN697" s="554" t="s">
        <v>137</v>
      </c>
      <c r="AO697" s="169" t="s">
        <v>132</v>
      </c>
      <c r="AP697" s="557" t="s">
        <v>137</v>
      </c>
      <c r="AQ697" s="554" t="s">
        <v>137</v>
      </c>
      <c r="AR697" s="557"/>
      <c r="AS697" s="557" t="s">
        <v>137</v>
      </c>
      <c r="AT697" s="554"/>
      <c r="AU697" s="169" t="s">
        <v>132</v>
      </c>
      <c r="AV697" s="557" t="s">
        <v>137</v>
      </c>
      <c r="AW697" s="554" t="s">
        <v>137</v>
      </c>
      <c r="AX697" s="169" t="s">
        <v>132</v>
      </c>
      <c r="AY697" s="557" t="s">
        <v>137</v>
      </c>
      <c r="AZ697" s="554" t="s">
        <v>137</v>
      </c>
      <c r="BA697" s="557" t="s">
        <v>138</v>
      </c>
      <c r="BB697" s="169"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9" t="s">
        <v>132</v>
      </c>
      <c r="AJ698" s="557" t="s">
        <v>137</v>
      </c>
      <c r="AK698" s="550" t="s">
        <v>137</v>
      </c>
      <c r="AL698" s="169" t="s">
        <v>132</v>
      </c>
      <c r="AM698" s="557" t="s">
        <v>137</v>
      </c>
      <c r="AN698" s="554" t="s">
        <v>137</v>
      </c>
      <c r="AO698" s="557" t="s">
        <v>138</v>
      </c>
      <c r="AP698" s="557" t="s">
        <v>137</v>
      </c>
      <c r="AQ698" s="554" t="s">
        <v>137</v>
      </c>
      <c r="AR698" s="169" t="s">
        <v>132</v>
      </c>
      <c r="AS698" s="557" t="s">
        <v>137</v>
      </c>
      <c r="AT698" s="554" t="s">
        <v>137</v>
      </c>
      <c r="AU698" s="169" t="s">
        <v>132</v>
      </c>
      <c r="AV698" s="557" t="s">
        <v>137</v>
      </c>
      <c r="AW698" s="554" t="s">
        <v>137</v>
      </c>
      <c r="AX698" s="169"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9" t="s">
        <v>132</v>
      </c>
      <c r="AM699" s="557" t="s">
        <v>137</v>
      </c>
      <c r="AN699" s="554" t="s">
        <v>137</v>
      </c>
      <c r="AO699" s="557" t="s">
        <v>138</v>
      </c>
      <c r="AP699" s="557" t="s">
        <v>137</v>
      </c>
      <c r="AQ699" s="554" t="s">
        <v>137</v>
      </c>
      <c r="AR699" s="557" t="s">
        <v>138</v>
      </c>
      <c r="AS699" s="557" t="s">
        <v>137</v>
      </c>
      <c r="AT699" s="554"/>
      <c r="AU699" s="169" t="s">
        <v>132</v>
      </c>
      <c r="AV699" s="557" t="s">
        <v>137</v>
      </c>
      <c r="AW699" s="554" t="s">
        <v>137</v>
      </c>
      <c r="AX699" s="169" t="s">
        <v>132</v>
      </c>
      <c r="AY699" s="557" t="s">
        <v>137</v>
      </c>
      <c r="AZ699" s="554" t="s">
        <v>137</v>
      </c>
      <c r="BA699" s="169"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9" t="s">
        <v>132</v>
      </c>
      <c r="AM700" s="557" t="s">
        <v>137</v>
      </c>
      <c r="AN700" s="554" t="s">
        <v>137</v>
      </c>
      <c r="AO700" s="557" t="s">
        <v>138</v>
      </c>
      <c r="AP700" s="557" t="s">
        <v>137</v>
      </c>
      <c r="AQ700" s="554" t="s">
        <v>137</v>
      </c>
      <c r="AR700" s="169" t="s">
        <v>132</v>
      </c>
      <c r="AS700" s="557" t="s">
        <v>137</v>
      </c>
      <c r="AT700" s="554" t="s">
        <v>137</v>
      </c>
      <c r="AU700" s="169" t="s">
        <v>132</v>
      </c>
      <c r="AV700" s="557" t="s">
        <v>137</v>
      </c>
      <c r="AW700" s="554" t="s">
        <v>137</v>
      </c>
      <c r="AX700" s="169"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9" t="s">
        <v>132</v>
      </c>
      <c r="AJ701" s="557" t="s">
        <v>137</v>
      </c>
      <c r="AK701" s="550" t="s">
        <v>137</v>
      </c>
      <c r="AL701" s="169" t="s">
        <v>132</v>
      </c>
      <c r="AM701" s="557" t="s">
        <v>137</v>
      </c>
      <c r="AN701" s="554" t="s">
        <v>137</v>
      </c>
      <c r="AO701" s="557" t="s">
        <v>138</v>
      </c>
      <c r="AP701" s="557" t="s">
        <v>137</v>
      </c>
      <c r="AQ701" s="554" t="s">
        <v>137</v>
      </c>
      <c r="AR701" s="169" t="s">
        <v>132</v>
      </c>
      <c r="AS701" s="557" t="s">
        <v>137</v>
      </c>
      <c r="AT701" s="554" t="s">
        <v>137</v>
      </c>
      <c r="AU701" s="169" t="s">
        <v>132</v>
      </c>
      <c r="AV701" s="557" t="s">
        <v>137</v>
      </c>
      <c r="AW701" s="554" t="s">
        <v>137</v>
      </c>
      <c r="AX701" s="169" t="s">
        <v>132</v>
      </c>
      <c r="AY701" s="557" t="s">
        <v>137</v>
      </c>
      <c r="AZ701" s="554" t="s">
        <v>137</v>
      </c>
      <c r="BA701" s="169"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9" t="s">
        <v>132</v>
      </c>
      <c r="AJ702" s="557" t="s">
        <v>137</v>
      </c>
      <c r="AK702" s="550" t="s">
        <v>137</v>
      </c>
      <c r="AL702" s="169" t="s">
        <v>132</v>
      </c>
      <c r="AM702" s="557" t="s">
        <v>137</v>
      </c>
      <c r="AN702" s="554" t="s">
        <v>137</v>
      </c>
      <c r="AO702" s="557" t="s">
        <v>138</v>
      </c>
      <c r="AP702" s="557" t="s">
        <v>137</v>
      </c>
      <c r="AQ702" s="554" t="s">
        <v>137</v>
      </c>
      <c r="AR702" s="169" t="s">
        <v>132</v>
      </c>
      <c r="AS702" s="557" t="s">
        <v>137</v>
      </c>
      <c r="AT702" s="554" t="s">
        <v>137</v>
      </c>
      <c r="AU702" s="169" t="s">
        <v>132</v>
      </c>
      <c r="AV702" s="557" t="s">
        <v>137</v>
      </c>
      <c r="AW702" s="554" t="s">
        <v>137</v>
      </c>
      <c r="AX702" s="169" t="s">
        <v>132</v>
      </c>
      <c r="AY702" s="557" t="s">
        <v>137</v>
      </c>
      <c r="AZ702" s="554" t="s">
        <v>137</v>
      </c>
      <c r="BA702" s="169"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9" t="s">
        <v>132</v>
      </c>
      <c r="AM703" s="557" t="s">
        <v>137</v>
      </c>
      <c r="AN703" s="554" t="s">
        <v>137</v>
      </c>
      <c r="AO703" s="169" t="s">
        <v>132</v>
      </c>
      <c r="AP703" s="557" t="s">
        <v>137</v>
      </c>
      <c r="AQ703" s="554" t="s">
        <v>137</v>
      </c>
      <c r="AR703" s="557"/>
      <c r="AS703" s="557" t="s">
        <v>137</v>
      </c>
      <c r="AT703" s="554" t="s">
        <v>137</v>
      </c>
      <c r="AU703" s="169" t="s">
        <v>132</v>
      </c>
      <c r="AV703" s="557" t="s">
        <v>137</v>
      </c>
      <c r="AW703" s="554" t="s">
        <v>137</v>
      </c>
      <c r="AX703" s="169" t="s">
        <v>132</v>
      </c>
      <c r="AY703" s="557" t="s">
        <v>137</v>
      </c>
      <c r="AZ703" s="554" t="s">
        <v>137</v>
      </c>
      <c r="BA703" s="169"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9" t="s">
        <v>132</v>
      </c>
      <c r="AM704" s="557" t="s">
        <v>137</v>
      </c>
      <c r="AN704" s="554" t="s">
        <v>137</v>
      </c>
      <c r="AO704" s="557" t="s">
        <v>138</v>
      </c>
      <c r="AP704" s="557" t="s">
        <v>137</v>
      </c>
      <c r="AQ704" s="554" t="s">
        <v>137</v>
      </c>
      <c r="AR704" s="557" t="s">
        <v>138</v>
      </c>
      <c r="AS704" s="557" t="s">
        <v>137</v>
      </c>
      <c r="AT704" s="554" t="s">
        <v>137</v>
      </c>
      <c r="AU704" s="169" t="s">
        <v>132</v>
      </c>
      <c r="AV704" s="557" t="s">
        <v>137</v>
      </c>
      <c r="AW704" s="554" t="s">
        <v>137</v>
      </c>
      <c r="AX704" s="169" t="s">
        <v>132</v>
      </c>
      <c r="AY704" s="557" t="s">
        <v>137</v>
      </c>
      <c r="AZ704" s="554" t="s">
        <v>137</v>
      </c>
      <c r="BA704" s="169"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9" t="s">
        <v>132</v>
      </c>
      <c r="AM705" s="557" t="s">
        <v>137</v>
      </c>
      <c r="AN705" s="554" t="s">
        <v>137</v>
      </c>
      <c r="AO705" s="557"/>
      <c r="AP705" s="557"/>
      <c r="AQ705" s="554"/>
      <c r="AR705" s="169" t="s">
        <v>132</v>
      </c>
      <c r="AS705" s="557" t="s">
        <v>137</v>
      </c>
      <c r="AT705" s="554" t="s">
        <v>137</v>
      </c>
      <c r="AU705" s="169" t="s">
        <v>132</v>
      </c>
      <c r="AV705" s="557" t="s">
        <v>137</v>
      </c>
      <c r="AW705" s="554" t="s">
        <v>137</v>
      </c>
      <c r="AX705" s="169" t="s">
        <v>132</v>
      </c>
      <c r="AY705" s="557" t="s">
        <v>137</v>
      </c>
      <c r="AZ705" s="554" t="s">
        <v>137</v>
      </c>
      <c r="BA705" s="169"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9" t="s">
        <v>132</v>
      </c>
      <c r="AM706" s="557" t="s">
        <v>137</v>
      </c>
      <c r="AN706" s="554" t="s">
        <v>137</v>
      </c>
      <c r="AO706" s="169"/>
      <c r="AP706" s="557" t="s">
        <v>137</v>
      </c>
      <c r="AQ706" s="554" t="s">
        <v>137</v>
      </c>
      <c r="AR706" s="169" t="s">
        <v>132</v>
      </c>
      <c r="AS706" s="557" t="s">
        <v>137</v>
      </c>
      <c r="AT706" s="554" t="s">
        <v>137</v>
      </c>
      <c r="AU706" s="169" t="s">
        <v>132</v>
      </c>
      <c r="AV706" s="557" t="s">
        <v>137</v>
      </c>
      <c r="AW706" s="554" t="s">
        <v>137</v>
      </c>
      <c r="AX706" s="169"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9" t="s">
        <v>132</v>
      </c>
      <c r="AJ707" s="557" t="s">
        <v>137</v>
      </c>
      <c r="AK707" s="550" t="s">
        <v>137</v>
      </c>
      <c r="AL707" s="169" t="s">
        <v>132</v>
      </c>
      <c r="AM707" s="557" t="s">
        <v>137</v>
      </c>
      <c r="AN707" s="554" t="s">
        <v>137</v>
      </c>
      <c r="AO707" s="169" t="s">
        <v>132</v>
      </c>
      <c r="AP707" s="557" t="s">
        <v>137</v>
      </c>
      <c r="AQ707" s="554" t="s">
        <v>137</v>
      </c>
      <c r="AR707" s="169" t="s">
        <v>132</v>
      </c>
      <c r="AS707" s="557" t="s">
        <v>137</v>
      </c>
      <c r="AT707" s="554" t="s">
        <v>137</v>
      </c>
      <c r="AU707" s="169" t="s">
        <v>132</v>
      </c>
      <c r="AV707" s="557" t="s">
        <v>137</v>
      </c>
      <c r="AW707" s="554" t="s">
        <v>137</v>
      </c>
      <c r="AX707" s="169" t="s">
        <v>132</v>
      </c>
      <c r="AY707" s="557" t="s">
        <v>137</v>
      </c>
      <c r="AZ707" s="554" t="s">
        <v>137</v>
      </c>
      <c r="BA707" s="169"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9" t="s">
        <v>132</v>
      </c>
      <c r="AJ708" s="557" t="s">
        <v>137</v>
      </c>
      <c r="AK708" s="550" t="s">
        <v>137</v>
      </c>
      <c r="AL708" s="169" t="s">
        <v>132</v>
      </c>
      <c r="AM708" s="557" t="s">
        <v>137</v>
      </c>
      <c r="AN708" s="554" t="s">
        <v>137</v>
      </c>
      <c r="AO708" s="557" t="s">
        <v>138</v>
      </c>
      <c r="AP708" s="557" t="s">
        <v>137</v>
      </c>
      <c r="AQ708" s="554" t="s">
        <v>137</v>
      </c>
      <c r="AR708" s="169" t="s">
        <v>132</v>
      </c>
      <c r="AS708" s="557" t="s">
        <v>137</v>
      </c>
      <c r="AT708" s="554" t="s">
        <v>137</v>
      </c>
      <c r="AU708" s="169" t="s">
        <v>132</v>
      </c>
      <c r="AV708" s="557" t="s">
        <v>137</v>
      </c>
      <c r="AW708" s="554" t="s">
        <v>137</v>
      </c>
      <c r="AX708" s="557" t="s">
        <v>138</v>
      </c>
      <c r="AY708" s="557" t="s">
        <v>137</v>
      </c>
      <c r="AZ708" s="554" t="s">
        <v>137</v>
      </c>
      <c r="BA708" s="169"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9" t="s">
        <v>132</v>
      </c>
      <c r="AM709" s="557" t="s">
        <v>137</v>
      </c>
      <c r="AN709" s="554" t="s">
        <v>137</v>
      </c>
      <c r="AO709" s="557" t="s">
        <v>138</v>
      </c>
      <c r="AP709" s="557" t="s">
        <v>137</v>
      </c>
      <c r="AQ709" s="554" t="s">
        <v>137</v>
      </c>
      <c r="AR709" s="169" t="s">
        <v>132</v>
      </c>
      <c r="AS709" s="557" t="s">
        <v>137</v>
      </c>
      <c r="AT709" s="554" t="s">
        <v>137</v>
      </c>
      <c r="AU709" s="169" t="s">
        <v>132</v>
      </c>
      <c r="AV709" s="557" t="s">
        <v>137</v>
      </c>
      <c r="AW709" s="554" t="s">
        <v>137</v>
      </c>
      <c r="AX709" s="169" t="s">
        <v>132</v>
      </c>
      <c r="AY709" s="557" t="s">
        <v>137</v>
      </c>
      <c r="AZ709" s="554" t="s">
        <v>137</v>
      </c>
      <c r="BA709" s="169"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9" t="s">
        <v>132</v>
      </c>
      <c r="AM711" s="557" t="s">
        <v>137</v>
      </c>
      <c r="AN711" s="554" t="s">
        <v>137</v>
      </c>
      <c r="AO711" s="557"/>
      <c r="AP711" s="557" t="s">
        <v>137</v>
      </c>
      <c r="AQ711" s="554" t="s">
        <v>137</v>
      </c>
      <c r="AR711" s="169" t="s">
        <v>132</v>
      </c>
      <c r="AS711" s="557" t="s">
        <v>137</v>
      </c>
      <c r="AT711" s="554" t="s">
        <v>137</v>
      </c>
      <c r="AU711" s="169" t="s">
        <v>132</v>
      </c>
      <c r="AV711" s="557" t="s">
        <v>137</v>
      </c>
      <c r="AW711" s="554" t="s">
        <v>137</v>
      </c>
      <c r="AX711" s="169" t="s">
        <v>132</v>
      </c>
      <c r="AY711" s="557" t="s">
        <v>137</v>
      </c>
      <c r="AZ711" s="554" t="s">
        <v>137</v>
      </c>
      <c r="BA711" s="169"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9" t="s">
        <v>132</v>
      </c>
      <c r="AM712" s="557" t="s">
        <v>137</v>
      </c>
      <c r="AN712" s="552" t="s">
        <v>137</v>
      </c>
      <c r="AO712" s="169" t="s">
        <v>132</v>
      </c>
      <c r="AP712" s="557" t="s">
        <v>137</v>
      </c>
      <c r="AQ712" s="552" t="s">
        <v>137</v>
      </c>
      <c r="AR712" s="169" t="s">
        <v>132</v>
      </c>
      <c r="AS712" s="557" t="s">
        <v>137</v>
      </c>
      <c r="AT712" s="552" t="s">
        <v>137</v>
      </c>
      <c r="AU712" s="169" t="s">
        <v>132</v>
      </c>
      <c r="AV712" s="557" t="s">
        <v>137</v>
      </c>
      <c r="AW712" s="552" t="s">
        <v>137</v>
      </c>
      <c r="AX712" s="169" t="s">
        <v>132</v>
      </c>
      <c r="AY712" s="557" t="s">
        <v>137</v>
      </c>
      <c r="AZ712" s="552" t="s">
        <v>137</v>
      </c>
      <c r="BA712" s="169"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9" t="s">
        <v>132</v>
      </c>
      <c r="AV713" s="557" t="s">
        <v>137</v>
      </c>
      <c r="AW713" s="554" t="s">
        <v>137</v>
      </c>
      <c r="AX713" s="169"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9" t="s">
        <v>132</v>
      </c>
      <c r="AJ714" s="557" t="s">
        <v>137</v>
      </c>
      <c r="AK714" s="550" t="s">
        <v>137</v>
      </c>
      <c r="AL714" s="169" t="s">
        <v>132</v>
      </c>
      <c r="AM714" s="557" t="s">
        <v>137</v>
      </c>
      <c r="AN714" s="554" t="s">
        <v>137</v>
      </c>
      <c r="AO714" s="557" t="s">
        <v>138</v>
      </c>
      <c r="AP714" s="557" t="s">
        <v>137</v>
      </c>
      <c r="AQ714" s="554" t="s">
        <v>137</v>
      </c>
      <c r="AR714" s="169" t="s">
        <v>132</v>
      </c>
      <c r="AS714" s="557" t="s">
        <v>137</v>
      </c>
      <c r="AT714" s="554" t="s">
        <v>137</v>
      </c>
      <c r="AU714" s="169" t="s">
        <v>132</v>
      </c>
      <c r="AV714" s="557" t="s">
        <v>137</v>
      </c>
      <c r="AW714" s="554" t="s">
        <v>137</v>
      </c>
      <c r="AX714" s="169" t="s">
        <v>132</v>
      </c>
      <c r="AY714" s="557" t="s">
        <v>137</v>
      </c>
      <c r="AZ714" s="554" t="s">
        <v>137</v>
      </c>
      <c r="BA714" s="169"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9" t="s">
        <v>132</v>
      </c>
      <c r="AJ715" s="557" t="s">
        <v>137</v>
      </c>
      <c r="AK715" s="550" t="s">
        <v>137</v>
      </c>
      <c r="AL715" s="169" t="s">
        <v>132</v>
      </c>
      <c r="AM715" s="557" t="s">
        <v>137</v>
      </c>
      <c r="AN715" s="554" t="s">
        <v>137</v>
      </c>
      <c r="AO715" s="557" t="s">
        <v>138</v>
      </c>
      <c r="AP715" s="557" t="s">
        <v>137</v>
      </c>
      <c r="AQ715" s="554" t="s">
        <v>137</v>
      </c>
      <c r="AR715" s="169" t="s">
        <v>132</v>
      </c>
      <c r="AS715" s="557" t="s">
        <v>137</v>
      </c>
      <c r="AT715" s="554" t="s">
        <v>137</v>
      </c>
      <c r="AU715" s="169" t="s">
        <v>132</v>
      </c>
      <c r="AV715" s="557" t="s">
        <v>137</v>
      </c>
      <c r="AW715" s="554" t="s">
        <v>137</v>
      </c>
      <c r="AX715" s="169" t="s">
        <v>132</v>
      </c>
      <c r="AY715" s="557" t="s">
        <v>137</v>
      </c>
      <c r="AZ715" s="554" t="s">
        <v>137</v>
      </c>
      <c r="BA715" s="169"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9" t="s">
        <v>132</v>
      </c>
      <c r="AM716" s="550" t="s">
        <v>137</v>
      </c>
      <c r="AN716" s="550" t="s">
        <v>137</v>
      </c>
      <c r="AO716" s="550" t="s">
        <v>138</v>
      </c>
      <c r="AP716" s="550" t="s">
        <v>137</v>
      </c>
      <c r="AQ716" s="550" t="s">
        <v>137</v>
      </c>
      <c r="AR716" s="169" t="s">
        <v>132</v>
      </c>
      <c r="AS716" s="550" t="s">
        <v>137</v>
      </c>
      <c r="AT716" s="550" t="s">
        <v>137</v>
      </c>
      <c r="AU716" s="169" t="s">
        <v>132</v>
      </c>
      <c r="AV716" s="550" t="s">
        <v>137</v>
      </c>
      <c r="AW716" s="550" t="s">
        <v>137</v>
      </c>
      <c r="AX716" s="550" t="s">
        <v>138</v>
      </c>
      <c r="AY716" s="550" t="s">
        <v>137</v>
      </c>
      <c r="AZ716" s="550" t="s">
        <v>137</v>
      </c>
      <c r="BA716" s="169"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9" t="s">
        <v>132</v>
      </c>
      <c r="AJ717" s="550" t="s">
        <v>137</v>
      </c>
      <c r="AK717" s="550" t="s">
        <v>137</v>
      </c>
      <c r="AL717" s="169" t="s">
        <v>132</v>
      </c>
      <c r="AM717" s="550" t="s">
        <v>137</v>
      </c>
      <c r="AN717" s="550" t="s">
        <v>137</v>
      </c>
      <c r="AO717" s="550" t="s">
        <v>138</v>
      </c>
      <c r="AP717" s="550" t="s">
        <v>137</v>
      </c>
      <c r="AQ717" s="550" t="s">
        <v>137</v>
      </c>
      <c r="AR717" s="169" t="s">
        <v>132</v>
      </c>
      <c r="AS717" s="550" t="s">
        <v>137</v>
      </c>
      <c r="AT717" s="550" t="s">
        <v>137</v>
      </c>
      <c r="AU717" s="169" t="s">
        <v>132</v>
      </c>
      <c r="AV717" s="550" t="s">
        <v>137</v>
      </c>
      <c r="AW717" s="550" t="s">
        <v>137</v>
      </c>
      <c r="AX717" s="169" t="s">
        <v>132</v>
      </c>
      <c r="AY717" s="550" t="s">
        <v>137</v>
      </c>
      <c r="AZ717" s="550" t="s">
        <v>137</v>
      </c>
      <c r="BA717" s="169"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9" t="s">
        <v>132</v>
      </c>
      <c r="AM718" s="550" t="s">
        <v>137</v>
      </c>
      <c r="AN718" s="550" t="s">
        <v>137</v>
      </c>
      <c r="AO718" s="550" t="s">
        <v>138</v>
      </c>
      <c r="AP718" s="550" t="s">
        <v>137</v>
      </c>
      <c r="AQ718" s="550" t="s">
        <v>137</v>
      </c>
      <c r="AR718" s="550"/>
      <c r="AS718" s="550" t="s">
        <v>137</v>
      </c>
      <c r="AT718" s="550" t="s">
        <v>137</v>
      </c>
      <c r="AU718" s="169" t="s">
        <v>132</v>
      </c>
      <c r="AV718" s="550" t="s">
        <v>137</v>
      </c>
      <c r="AW718" s="550" t="s">
        <v>137</v>
      </c>
      <c r="AX718" s="552" t="s">
        <v>132</v>
      </c>
      <c r="AY718" s="550" t="s">
        <v>137</v>
      </c>
      <c r="AZ718" s="550" t="s">
        <v>137</v>
      </c>
      <c r="BA718" s="169"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9" t="s">
        <v>132</v>
      </c>
      <c r="AJ719" s="550" t="s">
        <v>137</v>
      </c>
      <c r="AK719" s="550" t="s">
        <v>137</v>
      </c>
      <c r="AL719" s="550" t="s">
        <v>138</v>
      </c>
      <c r="AM719" s="550" t="s">
        <v>137</v>
      </c>
      <c r="AN719" s="550" t="s">
        <v>137</v>
      </c>
      <c r="AO719" s="550" t="s">
        <v>138</v>
      </c>
      <c r="AP719" s="550" t="s">
        <v>137</v>
      </c>
      <c r="AQ719" s="550" t="s">
        <v>137</v>
      </c>
      <c r="AR719" s="169" t="s">
        <v>132</v>
      </c>
      <c r="AS719" s="550" t="s">
        <v>137</v>
      </c>
      <c r="AT719" s="550" t="s">
        <v>137</v>
      </c>
      <c r="AU719" s="169" t="s">
        <v>132</v>
      </c>
      <c r="AV719" s="550" t="s">
        <v>137</v>
      </c>
      <c r="AW719" s="550" t="s">
        <v>137</v>
      </c>
      <c r="AX719" s="169" t="s">
        <v>132</v>
      </c>
      <c r="AY719" s="550" t="s">
        <v>137</v>
      </c>
      <c r="AZ719" s="550" t="s">
        <v>137</v>
      </c>
      <c r="BA719" s="169"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9" t="s">
        <v>132</v>
      </c>
      <c r="AJ720" s="552"/>
      <c r="AK720" s="550"/>
      <c r="AL720" s="169" t="s">
        <v>132</v>
      </c>
      <c r="AM720" s="169"/>
      <c r="AN720" s="550" t="s">
        <v>137</v>
      </c>
      <c r="AO720" s="169" t="s">
        <v>132</v>
      </c>
      <c r="AP720" s="550" t="s">
        <v>137</v>
      </c>
      <c r="AQ720" s="550" t="s">
        <v>137</v>
      </c>
      <c r="AR720" s="169" t="s">
        <v>132</v>
      </c>
      <c r="AS720" s="550" t="s">
        <v>137</v>
      </c>
      <c r="AT720" s="550" t="s">
        <v>137</v>
      </c>
      <c r="AU720" s="169" t="s">
        <v>132</v>
      </c>
      <c r="AV720" s="550" t="s">
        <v>137</v>
      </c>
      <c r="AW720" s="550" t="s">
        <v>137</v>
      </c>
      <c r="AX720" s="169" t="s">
        <v>132</v>
      </c>
      <c r="AY720" s="550" t="s">
        <v>137</v>
      </c>
      <c r="AZ720" s="550" t="s">
        <v>137</v>
      </c>
      <c r="BA720" s="169"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9" t="s">
        <v>132</v>
      </c>
      <c r="AJ721" s="550" t="s">
        <v>137</v>
      </c>
      <c r="AK721" s="550" t="s">
        <v>137</v>
      </c>
      <c r="AL721" s="169" t="s">
        <v>132</v>
      </c>
      <c r="AM721" s="550" t="s">
        <v>137</v>
      </c>
      <c r="AN721" s="550" t="s">
        <v>137</v>
      </c>
      <c r="AO721" s="550" t="s">
        <v>138</v>
      </c>
      <c r="AP721" s="550" t="s">
        <v>137</v>
      </c>
      <c r="AQ721" s="550" t="s">
        <v>137</v>
      </c>
      <c r="AR721" s="169" t="s">
        <v>132</v>
      </c>
      <c r="AS721" s="550" t="s">
        <v>137</v>
      </c>
      <c r="AT721" s="550" t="s">
        <v>137</v>
      </c>
      <c r="AU721" s="169" t="s">
        <v>132</v>
      </c>
      <c r="AV721" s="550" t="s">
        <v>137</v>
      </c>
      <c r="AW721" s="550" t="s">
        <v>137</v>
      </c>
      <c r="AX721" s="169" t="s">
        <v>132</v>
      </c>
      <c r="AY721" s="550"/>
      <c r="AZ721" s="550"/>
      <c r="BA721" s="169"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9" t="s">
        <v>132</v>
      </c>
      <c r="AJ722" s="550" t="s">
        <v>137</v>
      </c>
      <c r="AK722" s="550" t="s">
        <v>137</v>
      </c>
      <c r="AL722" s="169" t="s">
        <v>132</v>
      </c>
      <c r="AM722" s="550" t="s">
        <v>137</v>
      </c>
      <c r="AN722" s="550" t="s">
        <v>137</v>
      </c>
      <c r="AO722" s="550" t="s">
        <v>138</v>
      </c>
      <c r="AP722" s="550" t="s">
        <v>137</v>
      </c>
      <c r="AQ722" s="550" t="s">
        <v>137</v>
      </c>
      <c r="AR722" s="169" t="s">
        <v>132</v>
      </c>
      <c r="AS722" s="550" t="s">
        <v>137</v>
      </c>
      <c r="AT722" s="550" t="s">
        <v>137</v>
      </c>
      <c r="AU722" s="169" t="s">
        <v>132</v>
      </c>
      <c r="AV722" s="550" t="s">
        <v>137</v>
      </c>
      <c r="AW722" s="550" t="s">
        <v>137</v>
      </c>
      <c r="AX722" s="169" t="s">
        <v>132</v>
      </c>
      <c r="AY722" s="550" t="s">
        <v>137</v>
      </c>
      <c r="AZ722" s="550" t="s">
        <v>137</v>
      </c>
      <c r="BA722" s="169"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9" t="s">
        <v>132</v>
      </c>
      <c r="AJ723" s="550" t="s">
        <v>137</v>
      </c>
      <c r="AK723" s="550" t="s">
        <v>137</v>
      </c>
      <c r="AL723" s="169" t="s">
        <v>132</v>
      </c>
      <c r="AM723" s="550" t="s">
        <v>137</v>
      </c>
      <c r="AN723" s="550" t="s">
        <v>137</v>
      </c>
      <c r="AO723" s="169" t="s">
        <v>132</v>
      </c>
      <c r="AP723" s="550" t="s">
        <v>137</v>
      </c>
      <c r="AQ723" s="550" t="s">
        <v>137</v>
      </c>
      <c r="AR723" s="169" t="s">
        <v>132</v>
      </c>
      <c r="AS723" s="550" t="s">
        <v>137</v>
      </c>
      <c r="AT723" s="550" t="s">
        <v>137</v>
      </c>
      <c r="AU723" s="169" t="s">
        <v>132</v>
      </c>
      <c r="AV723" s="550" t="s">
        <v>137</v>
      </c>
      <c r="AW723" s="550" t="s">
        <v>137</v>
      </c>
      <c r="AX723" s="169"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69" t="s">
        <v>132</v>
      </c>
      <c r="F724" s="169" t="s">
        <v>137</v>
      </c>
      <c r="G724" s="239" t="s">
        <v>137</v>
      </c>
      <c r="H724" s="169" t="s">
        <v>132</v>
      </c>
      <c r="I724" s="169" t="s">
        <v>137</v>
      </c>
      <c r="J724" s="239" t="s">
        <v>137</v>
      </c>
      <c r="K724" s="341" t="s">
        <v>132</v>
      </c>
      <c r="L724" s="169" t="s">
        <v>137</v>
      </c>
      <c r="M724" s="342" t="s">
        <v>137</v>
      </c>
      <c r="N724" s="169" t="s">
        <v>132</v>
      </c>
      <c r="O724" s="169" t="s">
        <v>137</v>
      </c>
      <c r="P724" s="239" t="s">
        <v>137</v>
      </c>
      <c r="Q724" s="169" t="s">
        <v>132</v>
      </c>
      <c r="R724" s="169" t="s">
        <v>137</v>
      </c>
      <c r="S724" s="239" t="s">
        <v>137</v>
      </c>
      <c r="T724" s="169" t="s">
        <v>132</v>
      </c>
      <c r="U724" s="169" t="s">
        <v>137</v>
      </c>
      <c r="V724" s="239" t="s">
        <v>137</v>
      </c>
      <c r="W724" s="169" t="s">
        <v>132</v>
      </c>
      <c r="X724" s="169" t="s">
        <v>137</v>
      </c>
      <c r="Y724" s="239" t="s">
        <v>137</v>
      </c>
      <c r="Z724" s="169" t="s">
        <v>132</v>
      </c>
      <c r="AA724" s="169" t="s">
        <v>137</v>
      </c>
      <c r="AB724" s="239" t="s">
        <v>137</v>
      </c>
      <c r="AC724" s="169" t="s">
        <v>132</v>
      </c>
      <c r="AD724" s="245" t="s">
        <v>137</v>
      </c>
      <c r="AE724" s="239" t="s">
        <v>137</v>
      </c>
      <c r="AF724" s="563" t="s">
        <v>148</v>
      </c>
      <c r="AG724" s="556" t="s">
        <v>132</v>
      </c>
      <c r="AH724" s="555" t="s">
        <v>4631</v>
      </c>
      <c r="AI724" s="169" t="s">
        <v>132</v>
      </c>
      <c r="AJ724" s="169" t="s">
        <v>137</v>
      </c>
      <c r="AK724" s="550" t="s">
        <v>137</v>
      </c>
      <c r="AL724" s="169" t="s">
        <v>132</v>
      </c>
      <c r="AM724" s="169" t="s">
        <v>137</v>
      </c>
      <c r="AN724" s="239" t="s">
        <v>137</v>
      </c>
      <c r="AO724" s="169" t="s">
        <v>138</v>
      </c>
      <c r="AP724" s="169" t="s">
        <v>137</v>
      </c>
      <c r="AQ724" s="239" t="s">
        <v>137</v>
      </c>
      <c r="AR724" s="169" t="s">
        <v>138</v>
      </c>
      <c r="AS724" s="169" t="s">
        <v>137</v>
      </c>
      <c r="AT724" s="239" t="s">
        <v>137</v>
      </c>
      <c r="AU724" s="169" t="s">
        <v>132</v>
      </c>
      <c r="AV724" s="169" t="s">
        <v>137</v>
      </c>
      <c r="AW724" s="239" t="s">
        <v>137</v>
      </c>
      <c r="AX724" s="169" t="s">
        <v>132</v>
      </c>
      <c r="AY724" s="169" t="s">
        <v>137</v>
      </c>
      <c r="AZ724" s="239" t="s">
        <v>137</v>
      </c>
      <c r="BA724" s="169" t="s">
        <v>132</v>
      </c>
      <c r="BB724" s="169"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9" t="s">
        <v>132</v>
      </c>
      <c r="GP724" s="169"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69" t="s">
        <v>132</v>
      </c>
      <c r="F753" s="169" t="s">
        <v>137</v>
      </c>
      <c r="G753" s="556" t="s">
        <v>137</v>
      </c>
      <c r="H753" s="169" t="s">
        <v>132</v>
      </c>
      <c r="I753" s="169" t="s">
        <v>137</v>
      </c>
      <c r="J753" s="556" t="s">
        <v>137</v>
      </c>
      <c r="K753" s="341" t="s">
        <v>132</v>
      </c>
      <c r="L753" s="169" t="s">
        <v>137</v>
      </c>
      <c r="M753" s="424" t="s">
        <v>137</v>
      </c>
      <c r="N753" s="169" t="s">
        <v>132</v>
      </c>
      <c r="O753" s="169" t="s">
        <v>137</v>
      </c>
      <c r="P753" s="556" t="s">
        <v>137</v>
      </c>
      <c r="Q753" s="169" t="s">
        <v>132</v>
      </c>
      <c r="R753" s="169" t="s">
        <v>137</v>
      </c>
      <c r="S753" s="556" t="s">
        <v>137</v>
      </c>
      <c r="T753" s="169" t="s">
        <v>132</v>
      </c>
      <c r="U753" s="169" t="s">
        <v>137</v>
      </c>
      <c r="V753" s="556" t="s">
        <v>137</v>
      </c>
      <c r="W753" s="169" t="s">
        <v>132</v>
      </c>
      <c r="X753" s="169" t="s">
        <v>137</v>
      </c>
      <c r="Y753" s="556" t="s">
        <v>137</v>
      </c>
      <c r="Z753" s="169" t="s">
        <v>132</v>
      </c>
      <c r="AA753" s="169" t="s">
        <v>137</v>
      </c>
      <c r="AB753" s="556" t="s">
        <v>137</v>
      </c>
      <c r="AC753" s="169" t="s">
        <v>132</v>
      </c>
      <c r="AD753" s="169" t="s">
        <v>137</v>
      </c>
      <c r="AE753" s="556" t="s">
        <v>137</v>
      </c>
      <c r="AF753" s="563" t="s">
        <v>148</v>
      </c>
      <c r="AG753" s="556" t="s">
        <v>132</v>
      </c>
      <c r="AH753" s="556" t="s">
        <v>4793</v>
      </c>
      <c r="AI753" s="169" t="s">
        <v>132</v>
      </c>
      <c r="AJ753" s="169" t="s">
        <v>137</v>
      </c>
      <c r="AK753" s="556" t="s">
        <v>137</v>
      </c>
      <c r="AL753" s="169" t="s">
        <v>132</v>
      </c>
      <c r="AM753" s="169" t="s">
        <v>137</v>
      </c>
      <c r="AN753" s="556" t="s">
        <v>137</v>
      </c>
      <c r="AO753" s="169" t="s">
        <v>132</v>
      </c>
      <c r="AP753" s="169"/>
      <c r="AQ753" s="556"/>
      <c r="AR753" s="169" t="s">
        <v>132</v>
      </c>
      <c r="AS753" s="169" t="s">
        <v>137</v>
      </c>
      <c r="AT753" s="556" t="s">
        <v>137</v>
      </c>
      <c r="AU753" s="169" t="s">
        <v>132</v>
      </c>
      <c r="AV753" s="169" t="s">
        <v>137</v>
      </c>
      <c r="AW753" s="556" t="s">
        <v>137</v>
      </c>
      <c r="AX753" s="169" t="s">
        <v>132</v>
      </c>
      <c r="AY753" s="169" t="s">
        <v>137</v>
      </c>
      <c r="AZ753" s="556" t="s">
        <v>137</v>
      </c>
      <c r="BA753" s="169" t="s">
        <v>132</v>
      </c>
      <c r="BB753" s="169"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9"/>
      <c r="GP753" s="169"/>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69" t="s">
        <v>132</v>
      </c>
      <c r="F768" s="169" t="s">
        <v>137</v>
      </c>
      <c r="G768" s="239" t="s">
        <v>137</v>
      </c>
      <c r="H768" s="169" t="s">
        <v>132</v>
      </c>
      <c r="I768" s="169" t="s">
        <v>137</v>
      </c>
      <c r="J768" s="239" t="s">
        <v>137</v>
      </c>
      <c r="K768" s="341" t="s">
        <v>138</v>
      </c>
      <c r="L768" s="169" t="s">
        <v>137</v>
      </c>
      <c r="M768" s="342" t="s">
        <v>137</v>
      </c>
      <c r="N768" s="169" t="s">
        <v>132</v>
      </c>
      <c r="O768" s="169" t="s">
        <v>137</v>
      </c>
      <c r="P768" s="239" t="s">
        <v>137</v>
      </c>
      <c r="Q768" s="169" t="s">
        <v>132</v>
      </c>
      <c r="R768" s="169" t="s">
        <v>137</v>
      </c>
      <c r="S768" s="239" t="s">
        <v>137</v>
      </c>
      <c r="T768" s="169" t="s">
        <v>138</v>
      </c>
      <c r="U768" s="169" t="s">
        <v>137</v>
      </c>
      <c r="V768" s="239"/>
      <c r="W768" s="169" t="s">
        <v>132</v>
      </c>
      <c r="X768" s="169" t="s">
        <v>137</v>
      </c>
      <c r="Y768" s="239" t="s">
        <v>137</v>
      </c>
      <c r="Z768" s="169" t="s">
        <v>132</v>
      </c>
      <c r="AA768" s="169" t="s">
        <v>137</v>
      </c>
      <c r="AB768" s="239" t="s">
        <v>137</v>
      </c>
      <c r="AC768" s="245" t="s">
        <v>132</v>
      </c>
      <c r="AD768" s="245" t="s">
        <v>137</v>
      </c>
      <c r="AE768" s="239" t="s">
        <v>137</v>
      </c>
      <c r="AF768" s="563" t="s">
        <v>132</v>
      </c>
      <c r="AG768" s="556"/>
      <c r="AH768" s="555"/>
      <c r="AI768" s="169" t="s">
        <v>132</v>
      </c>
      <c r="AJ768" s="169" t="s">
        <v>137</v>
      </c>
      <c r="AK768" s="239" t="s">
        <v>137</v>
      </c>
      <c r="AL768" s="169" t="s">
        <v>132</v>
      </c>
      <c r="AM768" s="169" t="s">
        <v>137</v>
      </c>
      <c r="AN768" s="239" t="s">
        <v>137</v>
      </c>
      <c r="AO768" s="169" t="s">
        <v>138</v>
      </c>
      <c r="AP768" s="169" t="s">
        <v>137</v>
      </c>
      <c r="AQ768" s="239" t="s">
        <v>137</v>
      </c>
      <c r="AR768" s="169" t="s">
        <v>132</v>
      </c>
      <c r="AS768" s="169" t="s">
        <v>137</v>
      </c>
      <c r="AT768" s="239" t="s">
        <v>137</v>
      </c>
      <c r="AU768" s="169" t="s">
        <v>132</v>
      </c>
      <c r="AV768" s="169" t="s">
        <v>137</v>
      </c>
      <c r="AW768" s="239" t="s">
        <v>137</v>
      </c>
      <c r="AX768" s="169" t="s">
        <v>132</v>
      </c>
      <c r="AY768" s="169" t="s">
        <v>137</v>
      </c>
      <c r="AZ768" s="239" t="s">
        <v>137</v>
      </c>
      <c r="BA768" s="169" t="s">
        <v>132</v>
      </c>
      <c r="BB768" s="169"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9"/>
      <c r="GP768" s="169"/>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4" customFormat="1" ht="115" customHeight="1">
      <c r="A831" s="336" t="s">
        <v>18632</v>
      </c>
      <c r="B831" s="556" t="s">
        <v>5346</v>
      </c>
      <c r="C831" s="556" t="s">
        <v>5347</v>
      </c>
      <c r="D831" s="556" t="s">
        <v>95</v>
      </c>
      <c r="E831" s="169" t="s">
        <v>132</v>
      </c>
      <c r="F831" s="169"/>
      <c r="G831" s="239" t="s">
        <v>137</v>
      </c>
      <c r="H831" s="169" t="s">
        <v>132</v>
      </c>
      <c r="I831" s="169"/>
      <c r="J831" s="239"/>
      <c r="K831" s="341" t="s">
        <v>138</v>
      </c>
      <c r="L831" s="169"/>
      <c r="M831" s="342"/>
      <c r="N831" s="169" t="s">
        <v>138</v>
      </c>
      <c r="O831" s="169"/>
      <c r="P831" s="239"/>
      <c r="Q831" s="169" t="s">
        <v>132</v>
      </c>
      <c r="R831" s="169" t="s">
        <v>137</v>
      </c>
      <c r="S831" s="239" t="s">
        <v>137</v>
      </c>
      <c r="T831" s="169" t="s">
        <v>132</v>
      </c>
      <c r="U831" s="169" t="s">
        <v>137</v>
      </c>
      <c r="V831" s="239" t="s">
        <v>137</v>
      </c>
      <c r="W831" s="169" t="s">
        <v>132</v>
      </c>
      <c r="X831" s="169" t="s">
        <v>137</v>
      </c>
      <c r="Y831" s="239" t="s">
        <v>137</v>
      </c>
      <c r="Z831" s="169" t="s">
        <v>132</v>
      </c>
      <c r="AA831" s="169" t="s">
        <v>137</v>
      </c>
      <c r="AB831" s="239" t="s">
        <v>137</v>
      </c>
      <c r="AC831" s="245" t="s">
        <v>132</v>
      </c>
      <c r="AD831" s="245" t="s">
        <v>137</v>
      </c>
      <c r="AE831" s="239" t="s">
        <v>137</v>
      </c>
      <c r="AF831" s="563" t="s">
        <v>148</v>
      </c>
      <c r="AG831" s="556" t="s">
        <v>132</v>
      </c>
      <c r="AH831" s="555" t="s">
        <v>14726</v>
      </c>
      <c r="AI831" s="169" t="s">
        <v>132</v>
      </c>
      <c r="AJ831" s="169" t="s">
        <v>137</v>
      </c>
      <c r="AK831" s="239" t="s">
        <v>137</v>
      </c>
      <c r="AL831" s="169" t="s">
        <v>132</v>
      </c>
      <c r="AM831" s="169" t="s">
        <v>137</v>
      </c>
      <c r="AN831" s="239" t="s">
        <v>137</v>
      </c>
      <c r="AO831" s="169" t="s">
        <v>138</v>
      </c>
      <c r="AP831" s="169" t="s">
        <v>137</v>
      </c>
      <c r="AQ831" s="239" t="s">
        <v>137</v>
      </c>
      <c r="AR831" s="169" t="s">
        <v>132</v>
      </c>
      <c r="AS831" s="169" t="s">
        <v>137</v>
      </c>
      <c r="AT831" s="239" t="s">
        <v>137</v>
      </c>
      <c r="AU831" s="169" t="s">
        <v>132</v>
      </c>
      <c r="AV831" s="169" t="s">
        <v>137</v>
      </c>
      <c r="AW831" s="239" t="s">
        <v>137</v>
      </c>
      <c r="AX831" s="169" t="s">
        <v>132</v>
      </c>
      <c r="AY831" s="169" t="s">
        <v>137</v>
      </c>
      <c r="AZ831" s="239" t="s">
        <v>137</v>
      </c>
      <c r="BA831" s="169" t="s">
        <v>132</v>
      </c>
      <c r="BB831" s="169"/>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9"/>
      <c r="GP831" s="169"/>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69" t="s">
        <v>132</v>
      </c>
      <c r="F908" s="169" t="s">
        <v>137</v>
      </c>
      <c r="G908" s="239" t="s">
        <v>137</v>
      </c>
      <c r="H908" s="169" t="s">
        <v>132</v>
      </c>
      <c r="I908" s="169" t="s">
        <v>137</v>
      </c>
      <c r="J908" s="239" t="s">
        <v>137</v>
      </c>
      <c r="K908" s="341" t="s">
        <v>132</v>
      </c>
      <c r="L908" s="169" t="s">
        <v>137</v>
      </c>
      <c r="M908" s="342" t="s">
        <v>137</v>
      </c>
      <c r="N908" s="169" t="s">
        <v>138</v>
      </c>
      <c r="O908" s="169" t="s">
        <v>132</v>
      </c>
      <c r="P908" s="239" t="s">
        <v>5869</v>
      </c>
      <c r="Q908" s="169" t="s">
        <v>138</v>
      </c>
      <c r="R908" s="169" t="s">
        <v>132</v>
      </c>
      <c r="S908" s="239" t="s">
        <v>5870</v>
      </c>
      <c r="T908" s="169" t="s">
        <v>132</v>
      </c>
      <c r="U908" s="169" t="s">
        <v>137</v>
      </c>
      <c r="V908" s="239" t="s">
        <v>137</v>
      </c>
      <c r="W908" s="169" t="s">
        <v>132</v>
      </c>
      <c r="X908" s="169" t="s">
        <v>137</v>
      </c>
      <c r="Y908" s="239" t="s">
        <v>137</v>
      </c>
      <c r="Z908" s="169" t="s">
        <v>132</v>
      </c>
      <c r="AA908" s="169" t="s">
        <v>137</v>
      </c>
      <c r="AB908" s="239" t="s">
        <v>137</v>
      </c>
      <c r="AC908" s="245" t="s">
        <v>132</v>
      </c>
      <c r="AD908" s="245" t="s">
        <v>137</v>
      </c>
      <c r="AE908" s="239" t="s">
        <v>137</v>
      </c>
      <c r="AF908" s="563" t="s">
        <v>148</v>
      </c>
      <c r="AG908" s="556" t="s">
        <v>132</v>
      </c>
      <c r="AH908" s="555" t="s">
        <v>16432</v>
      </c>
      <c r="AI908" s="169" t="s">
        <v>132</v>
      </c>
      <c r="AJ908" s="169" t="s">
        <v>137</v>
      </c>
      <c r="AK908" s="239" t="s">
        <v>137</v>
      </c>
      <c r="AL908" s="169" t="s">
        <v>132</v>
      </c>
      <c r="AM908" s="169" t="s">
        <v>137</v>
      </c>
      <c r="AN908" s="239" t="s">
        <v>137</v>
      </c>
      <c r="AO908" s="169" t="s">
        <v>138</v>
      </c>
      <c r="AP908" s="169" t="s">
        <v>137</v>
      </c>
      <c r="AQ908" s="239" t="s">
        <v>137</v>
      </c>
      <c r="AR908" s="169" t="s">
        <v>132</v>
      </c>
      <c r="AS908" s="169" t="s">
        <v>137</v>
      </c>
      <c r="AT908" s="239" t="s">
        <v>137</v>
      </c>
      <c r="AU908" s="169" t="s">
        <v>132</v>
      </c>
      <c r="AV908" s="169" t="s">
        <v>137</v>
      </c>
      <c r="AW908" s="239" t="s">
        <v>137</v>
      </c>
      <c r="AX908" s="169" t="s">
        <v>132</v>
      </c>
      <c r="AY908" s="169" t="s">
        <v>137</v>
      </c>
      <c r="AZ908" s="239" t="s">
        <v>137</v>
      </c>
      <c r="BA908" s="169" t="s">
        <v>132</v>
      </c>
      <c r="BB908" s="169"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9" t="s">
        <v>132</v>
      </c>
      <c r="GP908" s="169"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9" t="s">
        <v>132</v>
      </c>
      <c r="F950" s="169" t="s">
        <v>137</v>
      </c>
      <c r="G950" s="239" t="s">
        <v>137</v>
      </c>
      <c r="H950" s="169" t="s">
        <v>132</v>
      </c>
      <c r="I950" s="169" t="s">
        <v>137</v>
      </c>
      <c r="J950" s="239" t="s">
        <v>137</v>
      </c>
      <c r="K950" s="341" t="s">
        <v>132</v>
      </c>
      <c r="L950" s="169" t="s">
        <v>137</v>
      </c>
      <c r="M950" s="342" t="s">
        <v>137</v>
      </c>
      <c r="N950" s="169" t="s">
        <v>132</v>
      </c>
      <c r="O950" s="169" t="s">
        <v>137</v>
      </c>
      <c r="P950" s="239" t="s">
        <v>137</v>
      </c>
      <c r="Q950" s="169" t="s">
        <v>132</v>
      </c>
      <c r="R950" s="169" t="s">
        <v>137</v>
      </c>
      <c r="S950" s="239" t="s">
        <v>137</v>
      </c>
      <c r="T950" s="169"/>
      <c r="U950" s="169" t="s">
        <v>137</v>
      </c>
      <c r="V950" s="239" t="s">
        <v>137</v>
      </c>
      <c r="W950" s="169" t="s">
        <v>132</v>
      </c>
      <c r="X950" s="169" t="s">
        <v>137</v>
      </c>
      <c r="Y950" s="239" t="s">
        <v>137</v>
      </c>
      <c r="Z950" s="169" t="s">
        <v>132</v>
      </c>
      <c r="AA950" s="169" t="s">
        <v>137</v>
      </c>
      <c r="AB950" s="239" t="s">
        <v>137</v>
      </c>
      <c r="AC950" s="169" t="s">
        <v>132</v>
      </c>
      <c r="AD950" s="245" t="s">
        <v>137</v>
      </c>
      <c r="AE950" s="239" t="s">
        <v>137</v>
      </c>
      <c r="AF950" s="563" t="s">
        <v>132</v>
      </c>
      <c r="AG950" s="556"/>
      <c r="AH950" s="555"/>
      <c r="AI950" s="169" t="s">
        <v>132</v>
      </c>
      <c r="AJ950" s="169" t="s">
        <v>137</v>
      </c>
      <c r="AK950" s="239" t="s">
        <v>137</v>
      </c>
      <c r="AL950" s="169" t="s">
        <v>132</v>
      </c>
      <c r="AM950" s="169" t="s">
        <v>137</v>
      </c>
      <c r="AN950" s="239" t="s">
        <v>137</v>
      </c>
      <c r="AO950" s="169"/>
      <c r="AP950" s="169"/>
      <c r="AQ950" s="239" t="s">
        <v>137</v>
      </c>
      <c r="AR950" s="169" t="s">
        <v>132</v>
      </c>
      <c r="AS950" s="169" t="s">
        <v>137</v>
      </c>
      <c r="AT950" s="239" t="s">
        <v>137</v>
      </c>
      <c r="AU950" s="169" t="s">
        <v>132</v>
      </c>
      <c r="AV950" s="169" t="s">
        <v>137</v>
      </c>
      <c r="AW950" s="239" t="s">
        <v>137</v>
      </c>
      <c r="AX950" s="169" t="s">
        <v>132</v>
      </c>
      <c r="AY950" s="169" t="s">
        <v>137</v>
      </c>
      <c r="AZ950" s="239" t="s">
        <v>137</v>
      </c>
      <c r="BA950" s="169" t="s">
        <v>132</v>
      </c>
      <c r="BB950" s="169"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9"/>
      <c r="GP950" s="169"/>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9" t="s">
        <v>133</v>
      </c>
      <c r="GO983" s="169"/>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69" t="s">
        <v>132</v>
      </c>
      <c r="F1036" s="169" t="s">
        <v>137</v>
      </c>
      <c r="G1036" s="239" t="s">
        <v>137</v>
      </c>
      <c r="H1036" s="169" t="s">
        <v>138</v>
      </c>
      <c r="I1036" s="169"/>
      <c r="J1036" s="239" t="s">
        <v>137</v>
      </c>
      <c r="K1036" s="341" t="s">
        <v>132</v>
      </c>
      <c r="L1036" s="169" t="s">
        <v>137</v>
      </c>
      <c r="M1036" s="342" t="s">
        <v>137</v>
      </c>
      <c r="N1036" s="169" t="s">
        <v>138</v>
      </c>
      <c r="O1036" s="169" t="s">
        <v>137</v>
      </c>
      <c r="P1036" s="239" t="s">
        <v>137</v>
      </c>
      <c r="Q1036" s="169" t="s">
        <v>132</v>
      </c>
      <c r="R1036" s="169" t="s">
        <v>137</v>
      </c>
      <c r="S1036" s="239" t="s">
        <v>137</v>
      </c>
      <c r="T1036" s="169" t="s">
        <v>132</v>
      </c>
      <c r="U1036" s="169" t="s">
        <v>137</v>
      </c>
      <c r="V1036" s="239" t="s">
        <v>137</v>
      </c>
      <c r="W1036" s="169" t="s">
        <v>132</v>
      </c>
      <c r="X1036" s="169" t="s">
        <v>137</v>
      </c>
      <c r="Y1036" s="239" t="s">
        <v>137</v>
      </c>
      <c r="Z1036" s="169" t="s">
        <v>132</v>
      </c>
      <c r="AA1036" s="169" t="s">
        <v>137</v>
      </c>
      <c r="AB1036" s="239" t="s">
        <v>137</v>
      </c>
      <c r="AC1036" s="245" t="s">
        <v>132</v>
      </c>
      <c r="AD1036" s="245" t="s">
        <v>137</v>
      </c>
      <c r="AE1036" s="239" t="s">
        <v>137</v>
      </c>
      <c r="AF1036" s="563" t="s">
        <v>148</v>
      </c>
      <c r="AG1036" s="556" t="s">
        <v>132</v>
      </c>
      <c r="AH1036" s="555" t="s">
        <v>6620</v>
      </c>
      <c r="AI1036" s="169" t="s">
        <v>132</v>
      </c>
      <c r="AJ1036" s="169" t="s">
        <v>137</v>
      </c>
      <c r="AK1036" s="239" t="s">
        <v>137</v>
      </c>
      <c r="AL1036" s="169" t="s">
        <v>132</v>
      </c>
      <c r="AM1036" s="169" t="s">
        <v>137</v>
      </c>
      <c r="AN1036" s="239" t="s">
        <v>137</v>
      </c>
      <c r="AO1036" s="169" t="s">
        <v>138</v>
      </c>
      <c r="AP1036" s="169" t="s">
        <v>137</v>
      </c>
      <c r="AQ1036" s="239" t="s">
        <v>137</v>
      </c>
      <c r="AR1036" s="169" t="s">
        <v>132</v>
      </c>
      <c r="AS1036" s="169" t="s">
        <v>137</v>
      </c>
      <c r="AT1036" s="239" t="s">
        <v>137</v>
      </c>
      <c r="AU1036" s="169" t="s">
        <v>132</v>
      </c>
      <c r="AV1036" s="169" t="s">
        <v>137</v>
      </c>
      <c r="AW1036" s="239" t="s">
        <v>137</v>
      </c>
      <c r="AX1036" s="169" t="s">
        <v>132</v>
      </c>
      <c r="AY1036" s="169" t="s">
        <v>137</v>
      </c>
      <c r="AZ1036" s="239" t="s">
        <v>137</v>
      </c>
      <c r="BA1036" s="169" t="s">
        <v>138</v>
      </c>
      <c r="BB1036" s="169"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9"/>
      <c r="GP1036" s="169"/>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69"/>
      <c r="HF1036" s="560" t="s">
        <v>132</v>
      </c>
      <c r="HG1036" s="169"/>
      <c r="HH1036" s="169"/>
      <c r="HI1036" s="557" t="s">
        <v>132</v>
      </c>
      <c r="HJ1036" s="169" t="s">
        <v>148</v>
      </c>
      <c r="HK1036" s="169"/>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9" t="s">
        <v>132</v>
      </c>
      <c r="F1065" s="169" t="s">
        <v>137</v>
      </c>
      <c r="G1065" s="239" t="s">
        <v>137</v>
      </c>
      <c r="H1065" s="169" t="s">
        <v>132</v>
      </c>
      <c r="I1065" s="169" t="s">
        <v>137</v>
      </c>
      <c r="J1065" s="239" t="s">
        <v>137</v>
      </c>
      <c r="K1065" s="341"/>
      <c r="L1065" s="169" t="s">
        <v>132</v>
      </c>
      <c r="M1065" s="342" t="s">
        <v>17014</v>
      </c>
      <c r="N1065" s="169" t="s">
        <v>132</v>
      </c>
      <c r="O1065" s="169" t="s">
        <v>137</v>
      </c>
      <c r="P1065" s="239" t="s">
        <v>137</v>
      </c>
      <c r="Q1065" s="169" t="s">
        <v>132</v>
      </c>
      <c r="R1065" s="169" t="s">
        <v>137</v>
      </c>
      <c r="S1065" s="239" t="s">
        <v>137</v>
      </c>
      <c r="T1065" s="169" t="s">
        <v>132</v>
      </c>
      <c r="U1065" s="169" t="s">
        <v>137</v>
      </c>
      <c r="V1065" s="239"/>
      <c r="W1065" s="169" t="s">
        <v>132</v>
      </c>
      <c r="X1065" s="169" t="s">
        <v>137</v>
      </c>
      <c r="Y1065" s="239" t="s">
        <v>137</v>
      </c>
      <c r="Z1065" s="169" t="s">
        <v>132</v>
      </c>
      <c r="AA1065" s="169" t="s">
        <v>137</v>
      </c>
      <c r="AB1065" s="239" t="s">
        <v>137</v>
      </c>
      <c r="AC1065" s="245" t="s">
        <v>132</v>
      </c>
      <c r="AD1065" s="245" t="s">
        <v>137</v>
      </c>
      <c r="AE1065" s="239" t="s">
        <v>137</v>
      </c>
      <c r="AF1065" s="563" t="s">
        <v>132</v>
      </c>
      <c r="AG1065" s="556"/>
      <c r="AH1065" s="555"/>
      <c r="AI1065" s="169" t="s">
        <v>132</v>
      </c>
      <c r="AJ1065" s="169" t="s">
        <v>137</v>
      </c>
      <c r="AK1065" s="239" t="s">
        <v>137</v>
      </c>
      <c r="AL1065" s="169" t="s">
        <v>132</v>
      </c>
      <c r="AM1065" s="169" t="s">
        <v>137</v>
      </c>
      <c r="AN1065" s="239" t="s">
        <v>137</v>
      </c>
      <c r="AO1065" s="169" t="s">
        <v>132</v>
      </c>
      <c r="AP1065" s="169" t="s">
        <v>137</v>
      </c>
      <c r="AQ1065" s="239" t="s">
        <v>137</v>
      </c>
      <c r="AR1065" s="169" t="s">
        <v>132</v>
      </c>
      <c r="AS1065" s="169" t="s">
        <v>137</v>
      </c>
      <c r="AT1065" s="239" t="s">
        <v>137</v>
      </c>
      <c r="AU1065" s="169" t="s">
        <v>132</v>
      </c>
      <c r="AV1065" s="169" t="s">
        <v>137</v>
      </c>
      <c r="AW1065" s="239" t="s">
        <v>137</v>
      </c>
      <c r="AX1065" s="169" t="s">
        <v>132</v>
      </c>
      <c r="AY1065" s="169" t="s">
        <v>137</v>
      </c>
      <c r="AZ1065" s="239" t="s">
        <v>137</v>
      </c>
      <c r="BA1065" s="169" t="s">
        <v>132</v>
      </c>
      <c r="BB1065" s="169"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9"/>
      <c r="GP1065" s="169"/>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69" t="s">
        <v>132</v>
      </c>
      <c r="F1084" s="169" t="s">
        <v>137</v>
      </c>
      <c r="G1084" s="239" t="s">
        <v>137</v>
      </c>
      <c r="H1084" s="169" t="s">
        <v>132</v>
      </c>
      <c r="I1084" s="169" t="s">
        <v>137</v>
      </c>
      <c r="J1084" s="239" t="s">
        <v>137</v>
      </c>
      <c r="K1084" s="341" t="s">
        <v>138</v>
      </c>
      <c r="L1084" s="169" t="s">
        <v>137</v>
      </c>
      <c r="M1084" s="342" t="s">
        <v>137</v>
      </c>
      <c r="N1084" s="169" t="s">
        <v>132</v>
      </c>
      <c r="O1084" s="169" t="s">
        <v>137</v>
      </c>
      <c r="P1084" s="239" t="s">
        <v>137</v>
      </c>
      <c r="Q1084" s="545" t="s">
        <v>132</v>
      </c>
      <c r="R1084" s="169" t="s">
        <v>137</v>
      </c>
      <c r="S1084" s="239" t="s">
        <v>137</v>
      </c>
      <c r="T1084" s="169" t="s">
        <v>132</v>
      </c>
      <c r="U1084" s="169" t="s">
        <v>137</v>
      </c>
      <c r="V1084" s="239"/>
      <c r="W1084" s="169" t="s">
        <v>132</v>
      </c>
      <c r="X1084" s="169" t="s">
        <v>137</v>
      </c>
      <c r="Y1084" s="239" t="s">
        <v>137</v>
      </c>
      <c r="Z1084" s="169" t="s">
        <v>132</v>
      </c>
      <c r="AA1084" s="169" t="s">
        <v>137</v>
      </c>
      <c r="AB1084" s="239" t="s">
        <v>137</v>
      </c>
      <c r="AC1084" s="245" t="s">
        <v>132</v>
      </c>
      <c r="AD1084" s="245" t="s">
        <v>137</v>
      </c>
      <c r="AE1084" s="239" t="s">
        <v>137</v>
      </c>
      <c r="AF1084" s="563" t="s">
        <v>148</v>
      </c>
      <c r="AG1084" s="556"/>
      <c r="AH1084" s="555"/>
      <c r="AI1084" s="169" t="s">
        <v>132</v>
      </c>
      <c r="AJ1084" s="169" t="s">
        <v>137</v>
      </c>
      <c r="AK1084" s="239" t="s">
        <v>137</v>
      </c>
      <c r="AL1084" s="169" t="s">
        <v>132</v>
      </c>
      <c r="AM1084" s="169" t="s">
        <v>137</v>
      </c>
      <c r="AN1084" s="239" t="s">
        <v>137</v>
      </c>
      <c r="AO1084" s="169" t="s">
        <v>138</v>
      </c>
      <c r="AP1084" s="169" t="s">
        <v>137</v>
      </c>
      <c r="AQ1084" s="239" t="s">
        <v>137</v>
      </c>
      <c r="AR1084" s="169" t="s">
        <v>132</v>
      </c>
      <c r="AS1084" s="169" t="s">
        <v>137</v>
      </c>
      <c r="AT1084" s="239" t="s">
        <v>137</v>
      </c>
      <c r="AU1084" s="169" t="s">
        <v>132</v>
      </c>
      <c r="AV1084" s="169" t="s">
        <v>137</v>
      </c>
      <c r="AW1084" s="239" t="s">
        <v>137</v>
      </c>
      <c r="AX1084" s="169" t="s">
        <v>132</v>
      </c>
      <c r="AY1084" s="169" t="s">
        <v>137</v>
      </c>
      <c r="AZ1084" s="239" t="s">
        <v>137</v>
      </c>
      <c r="BA1084" s="169" t="s">
        <v>132</v>
      </c>
      <c r="BB1084" s="169"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9"/>
      <c r="GP1084" s="169"/>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69" t="s">
        <v>132</v>
      </c>
      <c r="F1150" s="169"/>
      <c r="G1150" s="239"/>
      <c r="H1150" s="169" t="s">
        <v>132</v>
      </c>
      <c r="I1150" s="169"/>
      <c r="J1150" s="239"/>
      <c r="K1150" s="341" t="s">
        <v>132</v>
      </c>
      <c r="L1150" s="169"/>
      <c r="M1150" s="342"/>
      <c r="N1150" s="169" t="s">
        <v>132</v>
      </c>
      <c r="O1150" s="169"/>
      <c r="P1150" s="239"/>
      <c r="Q1150" s="169"/>
      <c r="R1150" s="169" t="s">
        <v>132</v>
      </c>
      <c r="S1150" s="239" t="s">
        <v>7304</v>
      </c>
      <c r="T1150" s="169" t="s">
        <v>132</v>
      </c>
      <c r="U1150" s="169"/>
      <c r="V1150" s="239"/>
      <c r="W1150" s="169" t="s">
        <v>132</v>
      </c>
      <c r="X1150" s="169"/>
      <c r="Y1150" s="239"/>
      <c r="Z1150" s="169" t="s">
        <v>132</v>
      </c>
      <c r="AA1150" s="169"/>
      <c r="AB1150" s="239"/>
      <c r="AC1150" s="245" t="s">
        <v>132</v>
      </c>
      <c r="AD1150" s="245"/>
      <c r="AE1150" s="239"/>
      <c r="AF1150" s="563" t="s">
        <v>148</v>
      </c>
      <c r="AG1150" s="556" t="s">
        <v>132</v>
      </c>
      <c r="AH1150" s="555" t="s">
        <v>15089</v>
      </c>
      <c r="AI1150" s="169" t="s">
        <v>132</v>
      </c>
      <c r="AJ1150" s="169"/>
      <c r="AK1150" s="239"/>
      <c r="AL1150" s="169" t="s">
        <v>132</v>
      </c>
      <c r="AM1150" s="169"/>
      <c r="AN1150" s="239"/>
      <c r="AO1150" s="169" t="s">
        <v>132</v>
      </c>
      <c r="AP1150" s="169"/>
      <c r="AQ1150" s="239"/>
      <c r="AR1150" s="169"/>
      <c r="AS1150" s="169"/>
      <c r="AT1150" s="239"/>
      <c r="AU1150" s="169" t="s">
        <v>132</v>
      </c>
      <c r="AV1150" s="169"/>
      <c r="AW1150" s="239"/>
      <c r="AX1150" s="169" t="s">
        <v>132</v>
      </c>
      <c r="AY1150" s="169"/>
      <c r="AZ1150" s="239"/>
      <c r="BA1150" s="169" t="s">
        <v>132</v>
      </c>
      <c r="BB1150" s="169"/>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9"/>
      <c r="GP1150" s="169"/>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2"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3"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2"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2"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2"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2"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2"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2"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2"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2"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2"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2"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2"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2"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2"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2"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2"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2"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2"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2"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4"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4"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4"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4"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4"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4"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4"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4"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4"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4"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4"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4"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69" t="s">
        <v>132</v>
      </c>
      <c r="F1259" s="169" t="s">
        <v>137</v>
      </c>
      <c r="G1259" s="239" t="s">
        <v>137</v>
      </c>
      <c r="H1259" s="169" t="s">
        <v>132</v>
      </c>
      <c r="I1259" s="169" t="s">
        <v>137</v>
      </c>
      <c r="J1259" s="239"/>
      <c r="K1259" s="341" t="s">
        <v>132</v>
      </c>
      <c r="L1259" s="169"/>
      <c r="M1259" s="342"/>
      <c r="N1259" s="169" t="s">
        <v>132</v>
      </c>
      <c r="O1259" s="169" t="s">
        <v>137</v>
      </c>
      <c r="P1259" s="239" t="s">
        <v>137</v>
      </c>
      <c r="Q1259" s="169" t="s">
        <v>132</v>
      </c>
      <c r="R1259" s="169" t="s">
        <v>137</v>
      </c>
      <c r="S1259" s="239"/>
      <c r="T1259" s="169" t="s">
        <v>132</v>
      </c>
      <c r="U1259" s="169" t="s">
        <v>137</v>
      </c>
      <c r="V1259" s="239" t="s">
        <v>137</v>
      </c>
      <c r="W1259" s="169" t="s">
        <v>132</v>
      </c>
      <c r="X1259" s="169" t="s">
        <v>137</v>
      </c>
      <c r="Y1259" s="239" t="s">
        <v>137</v>
      </c>
      <c r="Z1259" s="169" t="s">
        <v>132</v>
      </c>
      <c r="AA1259" s="169" t="s">
        <v>137</v>
      </c>
      <c r="AB1259" s="239" t="s">
        <v>137</v>
      </c>
      <c r="AC1259" s="245" t="s">
        <v>132</v>
      </c>
      <c r="AD1259" s="245" t="s">
        <v>137</v>
      </c>
      <c r="AE1259" s="239" t="s">
        <v>137</v>
      </c>
      <c r="AF1259" s="563" t="s">
        <v>148</v>
      </c>
      <c r="AG1259" s="556"/>
      <c r="AH1259" s="555"/>
      <c r="AI1259" s="169" t="s">
        <v>132</v>
      </c>
      <c r="AJ1259" s="169" t="s">
        <v>137</v>
      </c>
      <c r="AK1259" s="239" t="s">
        <v>137</v>
      </c>
      <c r="AL1259" s="169" t="s">
        <v>132</v>
      </c>
      <c r="AM1259" s="169" t="s">
        <v>137</v>
      </c>
      <c r="AN1259" s="239" t="s">
        <v>137</v>
      </c>
      <c r="AO1259" s="169" t="s">
        <v>132</v>
      </c>
      <c r="AP1259" s="169" t="s">
        <v>137</v>
      </c>
      <c r="AQ1259" s="239" t="s">
        <v>137</v>
      </c>
      <c r="AR1259" s="169"/>
      <c r="AS1259" s="169" t="s">
        <v>137</v>
      </c>
      <c r="AT1259" s="239" t="s">
        <v>137</v>
      </c>
      <c r="AU1259" s="169" t="s">
        <v>132</v>
      </c>
      <c r="AV1259" s="169" t="s">
        <v>137</v>
      </c>
      <c r="AW1259" s="239" t="s">
        <v>137</v>
      </c>
      <c r="AX1259" s="169" t="s">
        <v>132</v>
      </c>
      <c r="AY1259" s="169" t="s">
        <v>137</v>
      </c>
      <c r="AZ1259" s="239" t="s">
        <v>137</v>
      </c>
      <c r="BA1259" s="169" t="s">
        <v>132</v>
      </c>
      <c r="BB1259" s="169"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9" t="s">
        <v>132</v>
      </c>
      <c r="GP1259" s="169"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69" t="s">
        <v>132</v>
      </c>
      <c r="F1278" s="169" t="s">
        <v>137</v>
      </c>
      <c r="G1278" s="239" t="s">
        <v>137</v>
      </c>
      <c r="H1278" s="169" t="s">
        <v>132</v>
      </c>
      <c r="I1278" s="169" t="s">
        <v>137</v>
      </c>
      <c r="J1278" s="239" t="s">
        <v>137</v>
      </c>
      <c r="K1278" s="341" t="s">
        <v>132</v>
      </c>
      <c r="L1278" s="169" t="s">
        <v>137</v>
      </c>
      <c r="M1278" s="342" t="s">
        <v>137</v>
      </c>
      <c r="N1278" s="169" t="s">
        <v>132</v>
      </c>
      <c r="O1278" s="169" t="s">
        <v>137</v>
      </c>
      <c r="P1278" s="239" t="s">
        <v>137</v>
      </c>
      <c r="Q1278" s="169" t="s">
        <v>132</v>
      </c>
      <c r="R1278" s="169" t="s">
        <v>137</v>
      </c>
      <c r="S1278" s="239" t="s">
        <v>137</v>
      </c>
      <c r="T1278" s="169" t="s">
        <v>132</v>
      </c>
      <c r="U1278" s="169" t="s">
        <v>137</v>
      </c>
      <c r="V1278" s="239" t="s">
        <v>137</v>
      </c>
      <c r="W1278" s="169" t="s">
        <v>132</v>
      </c>
      <c r="X1278" s="169" t="s">
        <v>137</v>
      </c>
      <c r="Y1278" s="239" t="s">
        <v>137</v>
      </c>
      <c r="Z1278" s="169" t="s">
        <v>132</v>
      </c>
      <c r="AA1278" s="169" t="s">
        <v>137</v>
      </c>
      <c r="AB1278" s="239" t="s">
        <v>137</v>
      </c>
      <c r="AC1278" s="245" t="s">
        <v>132</v>
      </c>
      <c r="AD1278" s="245" t="s">
        <v>137</v>
      </c>
      <c r="AE1278" s="239" t="s">
        <v>137</v>
      </c>
      <c r="AF1278" s="563" t="s">
        <v>148</v>
      </c>
      <c r="AG1278" s="556"/>
      <c r="AH1278" s="555"/>
      <c r="AI1278" s="169" t="s">
        <v>132</v>
      </c>
      <c r="AJ1278" s="169" t="s">
        <v>137</v>
      </c>
      <c r="AK1278" s="239" t="s">
        <v>137</v>
      </c>
      <c r="AL1278" s="169" t="s">
        <v>132</v>
      </c>
      <c r="AM1278" s="169" t="s">
        <v>137</v>
      </c>
      <c r="AN1278" s="239" t="s">
        <v>137</v>
      </c>
      <c r="AO1278" s="169" t="s">
        <v>138</v>
      </c>
      <c r="AP1278" s="169" t="s">
        <v>137</v>
      </c>
      <c r="AQ1278" s="239" t="s">
        <v>137</v>
      </c>
      <c r="AR1278" s="169" t="s">
        <v>132</v>
      </c>
      <c r="AS1278" s="169" t="s">
        <v>137</v>
      </c>
      <c r="AT1278" s="239" t="s">
        <v>137</v>
      </c>
      <c r="AU1278" s="169" t="s">
        <v>132</v>
      </c>
      <c r="AV1278" s="169" t="s">
        <v>137</v>
      </c>
      <c r="AW1278" s="239" t="s">
        <v>137</v>
      </c>
      <c r="AX1278" s="169" t="s">
        <v>132</v>
      </c>
      <c r="AY1278" s="169" t="s">
        <v>137</v>
      </c>
      <c r="AZ1278" s="239" t="s">
        <v>137</v>
      </c>
      <c r="BA1278" s="169" t="s">
        <v>132</v>
      </c>
      <c r="BB1278" s="169"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9"/>
      <c r="GP1278" s="169"/>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69" t="s">
        <v>132</v>
      </c>
      <c r="F1364" s="169" t="s">
        <v>137</v>
      </c>
      <c r="G1364" s="239" t="s">
        <v>137</v>
      </c>
      <c r="H1364" s="169" t="s">
        <v>132</v>
      </c>
      <c r="I1364" s="169" t="s">
        <v>137</v>
      </c>
      <c r="J1364" s="239" t="s">
        <v>137</v>
      </c>
      <c r="K1364" s="341" t="s">
        <v>132</v>
      </c>
      <c r="L1364" s="169" t="s">
        <v>137</v>
      </c>
      <c r="M1364" s="342" t="s">
        <v>137</v>
      </c>
      <c r="N1364" s="169" t="s">
        <v>132</v>
      </c>
      <c r="O1364" s="169" t="s">
        <v>137</v>
      </c>
      <c r="P1364" s="239" t="s">
        <v>137</v>
      </c>
      <c r="Q1364" s="169" t="s">
        <v>138</v>
      </c>
      <c r="R1364" s="169" t="s">
        <v>132</v>
      </c>
      <c r="S1364" s="239" t="s">
        <v>8785</v>
      </c>
      <c r="T1364" s="169" t="s">
        <v>132</v>
      </c>
      <c r="U1364" s="169" t="s">
        <v>137</v>
      </c>
      <c r="V1364" s="239" t="s">
        <v>137</v>
      </c>
      <c r="W1364" s="169" t="s">
        <v>132</v>
      </c>
      <c r="X1364" s="169" t="s">
        <v>137</v>
      </c>
      <c r="Y1364" s="239" t="s">
        <v>137</v>
      </c>
      <c r="Z1364" s="169" t="s">
        <v>132</v>
      </c>
      <c r="AA1364" s="169"/>
      <c r="AB1364" s="239"/>
      <c r="AC1364" s="169" t="s">
        <v>138</v>
      </c>
      <c r="AD1364" s="169" t="s">
        <v>137</v>
      </c>
      <c r="AE1364" s="239" t="s">
        <v>137</v>
      </c>
      <c r="AF1364" s="563" t="s">
        <v>148</v>
      </c>
      <c r="AG1364" s="556" t="s">
        <v>132</v>
      </c>
      <c r="AH1364" s="555" t="s">
        <v>8786</v>
      </c>
      <c r="AI1364" s="169" t="s">
        <v>132</v>
      </c>
      <c r="AJ1364" s="169" t="s">
        <v>137</v>
      </c>
      <c r="AK1364" s="239" t="s">
        <v>137</v>
      </c>
      <c r="AL1364" s="169" t="s">
        <v>132</v>
      </c>
      <c r="AM1364" s="169" t="s">
        <v>137</v>
      </c>
      <c r="AN1364" s="239" t="s">
        <v>137</v>
      </c>
      <c r="AO1364" s="169" t="s">
        <v>132</v>
      </c>
      <c r="AP1364" s="169" t="s">
        <v>137</v>
      </c>
      <c r="AQ1364" s="239" t="s">
        <v>137</v>
      </c>
      <c r="AR1364" s="169" t="s">
        <v>132</v>
      </c>
      <c r="AS1364" s="169" t="s">
        <v>137</v>
      </c>
      <c r="AT1364" s="239" t="s">
        <v>137</v>
      </c>
      <c r="AU1364" s="169" t="s">
        <v>132</v>
      </c>
      <c r="AV1364" s="169" t="s">
        <v>137</v>
      </c>
      <c r="AW1364" s="239" t="s">
        <v>137</v>
      </c>
      <c r="AX1364" s="169" t="s">
        <v>132</v>
      </c>
      <c r="AY1364" s="169" t="s">
        <v>137</v>
      </c>
      <c r="AZ1364" s="239" t="s">
        <v>137</v>
      </c>
      <c r="BA1364" s="169" t="s">
        <v>132</v>
      </c>
      <c r="BB1364" s="169"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9"/>
      <c r="GP1364" s="169"/>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9" t="s">
        <v>132</v>
      </c>
      <c r="F1388" s="169" t="s">
        <v>137</v>
      </c>
      <c r="G1388" s="239" t="s">
        <v>137</v>
      </c>
      <c r="H1388" s="169" t="s">
        <v>138</v>
      </c>
      <c r="I1388" s="169" t="s">
        <v>132</v>
      </c>
      <c r="J1388" s="239" t="s">
        <v>12438</v>
      </c>
      <c r="K1388" s="341" t="s">
        <v>138</v>
      </c>
      <c r="L1388" s="169" t="s">
        <v>137</v>
      </c>
      <c r="M1388" s="342" t="s">
        <v>137</v>
      </c>
      <c r="N1388" s="169" t="s">
        <v>138</v>
      </c>
      <c r="O1388" s="169" t="s">
        <v>137</v>
      </c>
      <c r="P1388" s="239" t="s">
        <v>137</v>
      </c>
      <c r="Q1388" s="169" t="s">
        <v>132</v>
      </c>
      <c r="R1388" s="169" t="s">
        <v>137</v>
      </c>
      <c r="S1388" s="239" t="s">
        <v>137</v>
      </c>
      <c r="T1388" s="169" t="s">
        <v>132</v>
      </c>
      <c r="U1388" s="169" t="s">
        <v>137</v>
      </c>
      <c r="V1388" s="239"/>
      <c r="W1388" s="169" t="s">
        <v>132</v>
      </c>
      <c r="X1388" s="169" t="s">
        <v>137</v>
      </c>
      <c r="Y1388" s="239" t="s">
        <v>137</v>
      </c>
      <c r="Z1388" s="169" t="s">
        <v>132</v>
      </c>
      <c r="AA1388" s="169"/>
      <c r="AB1388" s="239"/>
      <c r="AC1388" s="245" t="s">
        <v>132</v>
      </c>
      <c r="AD1388" s="245" t="s">
        <v>137</v>
      </c>
      <c r="AE1388" s="239" t="s">
        <v>137</v>
      </c>
      <c r="AF1388" s="563" t="s">
        <v>148</v>
      </c>
      <c r="AG1388" s="556" t="s">
        <v>132</v>
      </c>
      <c r="AH1388" s="555" t="s">
        <v>8936</v>
      </c>
      <c r="AI1388" s="169" t="s">
        <v>138</v>
      </c>
      <c r="AJ1388" s="169" t="s">
        <v>137</v>
      </c>
      <c r="AK1388" s="239" t="s">
        <v>137</v>
      </c>
      <c r="AL1388" s="169" t="s">
        <v>132</v>
      </c>
      <c r="AM1388" s="169"/>
      <c r="AN1388" s="239"/>
      <c r="AO1388" s="169" t="s">
        <v>138</v>
      </c>
      <c r="AP1388" s="169" t="s">
        <v>137</v>
      </c>
      <c r="AQ1388" s="239" t="s">
        <v>137</v>
      </c>
      <c r="AR1388" s="169" t="s">
        <v>132</v>
      </c>
      <c r="AS1388" s="169" t="s">
        <v>137</v>
      </c>
      <c r="AT1388" s="239" t="s">
        <v>137</v>
      </c>
      <c r="AU1388" s="169" t="s">
        <v>132</v>
      </c>
      <c r="AV1388" s="169" t="s">
        <v>137</v>
      </c>
      <c r="AW1388" s="239" t="s">
        <v>137</v>
      </c>
      <c r="AX1388" s="169" t="s">
        <v>132</v>
      </c>
      <c r="AY1388" s="169" t="s">
        <v>137</v>
      </c>
      <c r="AZ1388" s="239" t="s">
        <v>137</v>
      </c>
      <c r="BA1388" s="169"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9"/>
      <c r="GP1388" s="169"/>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4"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4"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4"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4"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4"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4"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4"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4"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3"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2"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2"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2"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2"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2"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2"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2"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2"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2"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2"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2"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2"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2"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4"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4"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4"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4"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4"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4"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4"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4"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4"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4"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4"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4"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4"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4"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4"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4"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4"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4"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4"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4"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4"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4"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4"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4"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4"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4"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4"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4"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4"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4"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4"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4"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4"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60">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2"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3"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2"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2"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2"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2"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2"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2"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2"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2"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2"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2"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2"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2"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2"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2"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2"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2"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2"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4"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4"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4"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4"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4"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4"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4"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4"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4"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4"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4"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4"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4"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4"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4"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69" t="s">
        <v>132</v>
      </c>
      <c r="F1689" s="169" t="s">
        <v>137</v>
      </c>
      <c r="G1689" s="239"/>
      <c r="H1689" s="169" t="s">
        <v>132</v>
      </c>
      <c r="I1689" s="169" t="s">
        <v>137</v>
      </c>
      <c r="J1689" s="239" t="s">
        <v>137</v>
      </c>
      <c r="K1689" s="341" t="s">
        <v>138</v>
      </c>
      <c r="L1689" s="169" t="s">
        <v>137</v>
      </c>
      <c r="M1689" s="342" t="s">
        <v>137</v>
      </c>
      <c r="N1689" s="169" t="s">
        <v>138</v>
      </c>
      <c r="O1689" s="169" t="s">
        <v>137</v>
      </c>
      <c r="P1689" s="239" t="s">
        <v>137</v>
      </c>
      <c r="Q1689" s="169" t="s">
        <v>132</v>
      </c>
      <c r="R1689" s="169" t="s">
        <v>137</v>
      </c>
      <c r="S1689" s="239" t="s">
        <v>137</v>
      </c>
      <c r="T1689" s="169" t="s">
        <v>132</v>
      </c>
      <c r="U1689" s="169" t="s">
        <v>137</v>
      </c>
      <c r="V1689" s="239" t="s">
        <v>137</v>
      </c>
      <c r="W1689" s="169" t="s">
        <v>132</v>
      </c>
      <c r="X1689" s="169" t="s">
        <v>137</v>
      </c>
      <c r="Y1689" s="239" t="s">
        <v>137</v>
      </c>
      <c r="Z1689" s="169" t="s">
        <v>132</v>
      </c>
      <c r="AA1689" s="169" t="s">
        <v>137</v>
      </c>
      <c r="AB1689" s="239" t="s">
        <v>137</v>
      </c>
      <c r="AC1689" s="245" t="s">
        <v>132</v>
      </c>
      <c r="AD1689" s="245" t="s">
        <v>137</v>
      </c>
      <c r="AE1689" s="239" t="s">
        <v>137</v>
      </c>
      <c r="AF1689" s="563" t="s">
        <v>148</v>
      </c>
      <c r="AG1689" s="556" t="s">
        <v>132</v>
      </c>
      <c r="AH1689" s="555" t="s">
        <v>15673</v>
      </c>
      <c r="AI1689" s="169" t="s">
        <v>132</v>
      </c>
      <c r="AJ1689" s="169" t="s">
        <v>137</v>
      </c>
      <c r="AK1689" s="239" t="s">
        <v>137</v>
      </c>
      <c r="AL1689" s="169" t="s">
        <v>132</v>
      </c>
      <c r="AM1689" s="169" t="s">
        <v>137</v>
      </c>
      <c r="AN1689" s="239" t="s">
        <v>137</v>
      </c>
      <c r="AO1689" s="169" t="s">
        <v>132</v>
      </c>
      <c r="AP1689" s="169" t="s">
        <v>137</v>
      </c>
      <c r="AQ1689" s="239" t="s">
        <v>137</v>
      </c>
      <c r="AR1689" s="169" t="s">
        <v>132</v>
      </c>
      <c r="AS1689" s="169" t="s">
        <v>137</v>
      </c>
      <c r="AT1689" s="239" t="s">
        <v>137</v>
      </c>
      <c r="AU1689" s="169" t="s">
        <v>132</v>
      </c>
      <c r="AV1689" s="169" t="s">
        <v>137</v>
      </c>
      <c r="AW1689" s="239" t="s">
        <v>137</v>
      </c>
      <c r="AX1689" s="169" t="s">
        <v>132</v>
      </c>
      <c r="AY1689" s="169" t="s">
        <v>137</v>
      </c>
      <c r="AZ1689" s="239" t="s">
        <v>137</v>
      </c>
      <c r="BA1689" s="169" t="s">
        <v>132</v>
      </c>
      <c r="BB1689" s="169"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9"/>
      <c r="GP1689" s="169"/>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9" t="s">
        <v>132</v>
      </c>
      <c r="AZ1715" s="550" t="s">
        <v>16726</v>
      </c>
      <c r="BA1715" s="169"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9"/>
      <c r="C1730" s="70"/>
      <c r="D1730" s="29"/>
      <c r="E1730" s="24">
        <f>COUNTIF(E9:E1729,"○")</f>
        <v>1558</v>
      </c>
      <c r="F1730" s="24">
        <f>COUNTIF(F9:F1729,"○")</f>
        <v>7</v>
      </c>
      <c r="G1730" s="29"/>
      <c r="H1730" s="24">
        <f>COUNTIF(H9:H1729,"○")</f>
        <v>1432</v>
      </c>
      <c r="I1730" s="24">
        <f>COUNTIF(I9:I1729,"○")</f>
        <v>22</v>
      </c>
      <c r="J1730" s="29"/>
      <c r="K1730" s="25">
        <f>COUNTIF(K9:K1729,"○")</f>
        <v>481</v>
      </c>
      <c r="L1730" s="24">
        <f>COUNTIF(L9:L1729,"○")</f>
        <v>54</v>
      </c>
      <c r="M1730" s="71"/>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2">
        <f>SUM(BD9:BD1729)</f>
        <v>6043</v>
      </c>
      <c r="BE1730" s="72">
        <f>SUM(BE9:BE1729)</f>
        <v>2426</v>
      </c>
      <c r="BF1730" s="73">
        <f>BE1730/BD1730</f>
        <v>0.40145623034916433</v>
      </c>
      <c r="BG1730" s="74"/>
      <c r="BH1730" s="72">
        <f>SUM(BH9:BH1729)</f>
        <v>737</v>
      </c>
      <c r="BI1730" s="74"/>
      <c r="BJ1730" s="72">
        <f>SUM(BJ9:BJ1729)</f>
        <v>11647</v>
      </c>
      <c r="BK1730" s="72">
        <f>SUM(BK9:BK1729)</f>
        <v>5640</v>
      </c>
      <c r="BL1730" s="73">
        <f>BK1730/BJ1730</f>
        <v>0.48424486992358545</v>
      </c>
      <c r="BM1730" s="74"/>
      <c r="BN1730" s="72">
        <f>SUM(BN9:BN1729)</f>
        <v>469</v>
      </c>
      <c r="BO1730" s="74"/>
      <c r="BP1730" s="72">
        <f>SUM(BP9:BP1729)</f>
        <v>2231</v>
      </c>
      <c r="BQ1730" s="72">
        <f>SUM(BQ9:BQ1729)</f>
        <v>1160</v>
      </c>
      <c r="BR1730" s="73">
        <f>BQ1730/BP1730</f>
        <v>0.51994621246077988</v>
      </c>
      <c r="BS1730" s="74"/>
      <c r="BT1730" s="75">
        <f>SUM(BT9:BT1729)</f>
        <v>362</v>
      </c>
      <c r="BU1730" s="74"/>
      <c r="BV1730" s="76">
        <f>SUM(BV9:BV1729)</f>
        <v>388</v>
      </c>
      <c r="BW1730" s="76">
        <f>SUM(BW9:BW1729)</f>
        <v>53</v>
      </c>
      <c r="BX1730" s="73">
        <f>BW1730/BV1730</f>
        <v>0.13659793814432988</v>
      </c>
      <c r="BY1730" s="74"/>
      <c r="BZ1730" s="75">
        <f>SUM(BZ9:BZ1729)</f>
        <v>38</v>
      </c>
      <c r="CA1730" s="74"/>
      <c r="CB1730" s="72">
        <f>SUM(CB9:CB1729)</f>
        <v>1091</v>
      </c>
      <c r="CC1730" s="72">
        <f>SUM(CC9:CC1729)</f>
        <v>927</v>
      </c>
      <c r="CD1730" s="73">
        <f>CC1730/CB1730</f>
        <v>0.84967919340054998</v>
      </c>
      <c r="CE1730" s="74"/>
      <c r="CF1730" s="75">
        <f>SUM(CF9:CF1729)</f>
        <v>54</v>
      </c>
      <c r="CG1730" s="74"/>
      <c r="CH1730" s="72">
        <f>SUM(CH9:CH1729)</f>
        <v>1551</v>
      </c>
      <c r="CI1730" s="72">
        <f>SUM(CI9:CI1729)</f>
        <v>1173</v>
      </c>
      <c r="CJ1730" s="73">
        <f>CI1730/CH1730</f>
        <v>0.7562862669245648</v>
      </c>
      <c r="CK1730" s="74"/>
      <c r="CL1730" s="75">
        <f>SUM(CL9:CL1729)</f>
        <v>101</v>
      </c>
      <c r="CM1730" s="74"/>
      <c r="CN1730" s="72">
        <f>SUM(CN9:CN1729)</f>
        <v>1681</v>
      </c>
      <c r="CO1730" s="72">
        <f>SUM(CO9:CO1729)</f>
        <v>995</v>
      </c>
      <c r="CP1730" s="73">
        <f>CO1730/CN1730</f>
        <v>0.59190957763236174</v>
      </c>
      <c r="CQ1730" s="74"/>
      <c r="CR1730" s="75">
        <f>SUM(CR9:CR1729)</f>
        <v>96</v>
      </c>
      <c r="CS1730" s="74"/>
      <c r="CT1730" s="72">
        <f>SUM(CT9:CT1729)</f>
        <v>1116</v>
      </c>
      <c r="CU1730" s="72">
        <f>SUM(CU9:CU1729)</f>
        <v>837</v>
      </c>
      <c r="CV1730" s="73">
        <f>CU1730/CT1730</f>
        <v>0.75</v>
      </c>
      <c r="CW1730" s="74"/>
      <c r="CX1730" s="75">
        <f>SUM(CX9:CX1729)</f>
        <v>85</v>
      </c>
      <c r="CY1730" s="74"/>
      <c r="CZ1730" s="76">
        <f>SUM(CZ9:CZ1729)</f>
        <v>295</v>
      </c>
      <c r="DA1730" s="76">
        <f>SUM(DA9:DA1729)</f>
        <v>194</v>
      </c>
      <c r="DB1730" s="73">
        <f>DA1730/CZ1730</f>
        <v>0.65762711864406775</v>
      </c>
      <c r="DC1730" s="74"/>
      <c r="DD1730" s="75">
        <f>SUM(DD9:DD1729)</f>
        <v>31</v>
      </c>
      <c r="DE1730" s="74"/>
      <c r="DF1730" s="76">
        <f>SUM(DF9:DF1729)</f>
        <v>87</v>
      </c>
      <c r="DG1730" s="76">
        <f>SUM(DG9:DG1729)</f>
        <v>35</v>
      </c>
      <c r="DH1730" s="73">
        <f>DG1730/DF1730</f>
        <v>0.40229885057471265</v>
      </c>
      <c r="DI1730" s="74"/>
      <c r="DJ1730" s="75">
        <f>SUM(DJ9:DJ1729)</f>
        <v>31</v>
      </c>
      <c r="DK1730" s="74"/>
      <c r="DL1730" s="72">
        <f>SUM(DL9:DL1729)</f>
        <v>1637</v>
      </c>
      <c r="DM1730" s="72">
        <f>SUM(DM9:DM1729)</f>
        <v>723</v>
      </c>
      <c r="DN1730" s="73">
        <f>DM1730/DL1730</f>
        <v>0.44166157605375689</v>
      </c>
      <c r="DO1730" s="74"/>
      <c r="DP1730" s="75">
        <f>SUM(DP9:DP1729)</f>
        <v>119</v>
      </c>
      <c r="DQ1730" s="74"/>
      <c r="DR1730" s="72">
        <f>SUM(DR9:DR1729)</f>
        <v>31058</v>
      </c>
      <c r="DS1730" s="72">
        <f>SUM(DS9:DS1729)</f>
        <v>5024</v>
      </c>
      <c r="DT1730" s="73">
        <f>DS1730/DR1730</f>
        <v>0.1617618648979329</v>
      </c>
      <c r="DU1730" s="74"/>
      <c r="DV1730" s="75">
        <f>SUM(DV9:DV1729)</f>
        <v>36</v>
      </c>
      <c r="DW1730" s="74"/>
      <c r="DX1730" s="72">
        <f>SUM(DX9:DX1729)</f>
        <v>3480</v>
      </c>
      <c r="DY1730" s="72">
        <f>SUM(DY9:DY1729)</f>
        <v>1291</v>
      </c>
      <c r="DZ1730" s="77">
        <f>DY1730/DX1730</f>
        <v>0.37097701149425288</v>
      </c>
      <c r="EA1730" s="74"/>
      <c r="EB1730" s="75">
        <f>SUM(EB9:EB1729)</f>
        <v>15</v>
      </c>
      <c r="EC1730" s="74"/>
      <c r="ED1730" s="72">
        <f>SUM(ED9:ED1729)</f>
        <v>1591</v>
      </c>
      <c r="EE1730" s="76">
        <f>SUM(EE9:EE1729)</f>
        <v>363</v>
      </c>
      <c r="EF1730" s="73">
        <f>EE1730/ED1730</f>
        <v>0.22815839094908863</v>
      </c>
      <c r="EG1730" s="74"/>
      <c r="EH1730" s="75">
        <f>SUM(EH9:EH1729)</f>
        <v>226</v>
      </c>
      <c r="EI1730" s="74"/>
      <c r="EJ1730" s="72">
        <f>SUM(EJ9:EJ1729)</f>
        <v>3056</v>
      </c>
      <c r="EK1730" s="76">
        <f>SUM(EK9:EK1729)</f>
        <v>618</v>
      </c>
      <c r="EL1730" s="73">
        <f>EK1730/EJ1730</f>
        <v>0.20222513089005237</v>
      </c>
      <c r="EM1730" s="74"/>
      <c r="EN1730" s="72">
        <f>SUM(EN9:EN1729)</f>
        <v>2119</v>
      </c>
      <c r="EO1730" s="74"/>
      <c r="EP1730" s="72">
        <f>SUM(EP9:EP1729)</f>
        <v>3161</v>
      </c>
      <c r="EQ1730" s="76">
        <f>SUM(EQ9:EQ1729)</f>
        <v>887</v>
      </c>
      <c r="ER1730" s="73">
        <f>EQ1730/EP1730</f>
        <v>0.28060740272065804</v>
      </c>
      <c r="ES1730" s="74"/>
      <c r="ET1730" s="72">
        <f>SUM(ET9:ET1729)</f>
        <v>1541</v>
      </c>
      <c r="EU1730" s="74"/>
      <c r="EV1730" s="72">
        <f>SUM(EV9:EV1729)</f>
        <v>14654</v>
      </c>
      <c r="EW1730" s="72">
        <f>SUM(EW9:EW1729)</f>
        <v>3338</v>
      </c>
      <c r="EX1730" s="73">
        <f>EW1730/EV1730</f>
        <v>0.22778763477548791</v>
      </c>
      <c r="EY1730" s="74"/>
      <c r="EZ1730" s="72">
        <f>SUM(EZ9:EZ1729)</f>
        <v>6951</v>
      </c>
      <c r="FA1730" s="74"/>
      <c r="FB1730" s="72">
        <f>SUM(FB9:FB1729)</f>
        <v>1473</v>
      </c>
      <c r="FC1730" s="72">
        <f>SUM(FC9:FC1729)</f>
        <v>759</v>
      </c>
      <c r="FD1730" s="73">
        <f>FC1730/FB1730</f>
        <v>0.51527494908350302</v>
      </c>
      <c r="FE1730" s="74"/>
      <c r="FF1730" s="75">
        <f>SUM(FF9:FF1729)</f>
        <v>497</v>
      </c>
      <c r="FG1730" s="74"/>
      <c r="FH1730" s="76">
        <f>SUM(FH9:FH1729)</f>
        <v>885</v>
      </c>
      <c r="FI1730" s="76">
        <f>SUM(FI9:FI1729)</f>
        <v>443</v>
      </c>
      <c r="FJ1730" s="73">
        <f>FI1730/FH1730</f>
        <v>0.50056497175141246</v>
      </c>
      <c r="FK1730" s="74"/>
      <c r="FL1730" s="75">
        <f>SUM(FL9:FL1729)</f>
        <v>188</v>
      </c>
      <c r="FM1730" s="74"/>
      <c r="FN1730" s="76">
        <f>SUM(FN9:FN1729)</f>
        <v>225</v>
      </c>
      <c r="FO1730" s="76">
        <f>SUM(FO9:FO1729)</f>
        <v>168</v>
      </c>
      <c r="FP1730" s="73">
        <f>FO1730/FN1730</f>
        <v>0.7466666666666667</v>
      </c>
      <c r="FQ1730" s="74"/>
      <c r="FR1730" s="75">
        <f>SUM(FR9:FR1729)</f>
        <v>45</v>
      </c>
      <c r="FS1730" s="74"/>
      <c r="FT1730" s="76">
        <f>SUM(FT9:FT1729)</f>
        <v>529</v>
      </c>
      <c r="FU1730" s="76">
        <f>SUM(FU9:FU1729)</f>
        <v>259</v>
      </c>
      <c r="FV1730" s="73">
        <f>FU1730/FT1730</f>
        <v>0.4896030245746692</v>
      </c>
      <c r="FW1730" s="74"/>
      <c r="FX1730" s="75">
        <f>SUM(FX9:FX1729)</f>
        <v>87</v>
      </c>
      <c r="FY1730" s="74"/>
      <c r="FZ1730" s="72">
        <f>SUM(FZ9:FZ1729)</f>
        <v>5593</v>
      </c>
      <c r="GA1730" s="72">
        <f>SUM(GA9:GA1729)</f>
        <v>2964</v>
      </c>
      <c r="GB1730" s="73">
        <f>GA1730/FZ1730</f>
        <v>0.52994814947255497</v>
      </c>
      <c r="GC1730" s="74"/>
      <c r="GD1730" s="72">
        <f>SUM(GD9:GD1729)</f>
        <v>1421</v>
      </c>
      <c r="GE1730" s="78"/>
      <c r="GF1730" s="72">
        <f>SUM(GF9:GF1729)</f>
        <v>13010</v>
      </c>
      <c r="GG1730" s="72">
        <f>SUM(GG9:GG1729)</f>
        <v>3184</v>
      </c>
      <c r="GH1730" s="73">
        <f>GG1730/GF1730</f>
        <v>0.24473481936971561</v>
      </c>
      <c r="GI1730" s="74"/>
      <c r="GJ1730" s="72">
        <f>SUM(GJ9:GJ1729)</f>
        <v>5440</v>
      </c>
      <c r="GK1730" s="74"/>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8"/>
      <c r="B1731" s="49"/>
      <c r="C1731" s="50"/>
      <c r="D1731" s="30"/>
      <c r="E1731" s="51">
        <f>E1730/(E1730+F1730)</f>
        <v>0.99552715654952073</v>
      </c>
      <c r="F1731" s="51"/>
      <c r="G1731" s="51"/>
      <c r="H1731" s="51">
        <f>H1730/(H1730+I1730)</f>
        <v>0.98486932599724897</v>
      </c>
      <c r="I1731" s="51"/>
      <c r="J1731" s="51"/>
      <c r="K1731" s="51">
        <f>K1730/(K1730+L1730)</f>
        <v>0.89906542056074767</v>
      </c>
      <c r="L1731" s="51"/>
      <c r="M1731" s="51"/>
      <c r="N1731" s="52">
        <f>N1730/(N1730+O1730)</f>
        <v>0.92835820895522392</v>
      </c>
      <c r="O1731" s="52"/>
      <c r="P1731" s="52"/>
      <c r="Q1731" s="52">
        <f>Q1730/(Q1730+R1730)</f>
        <v>0.88569321533923306</v>
      </c>
      <c r="R1731" s="52"/>
      <c r="S1731" s="52"/>
      <c r="T1731" s="52">
        <f>T1730/(T1730+U1730)</f>
        <v>0.98208469055374592</v>
      </c>
      <c r="U1731" s="52"/>
      <c r="V1731" s="52"/>
      <c r="W1731" s="52">
        <f>W1730/(W1730+X1730)</f>
        <v>0.97490092470277412</v>
      </c>
      <c r="X1731" s="52"/>
      <c r="Y1731" s="52"/>
      <c r="Z1731" s="52">
        <f>Z1730/(Z1730+AA1730)</f>
        <v>0.72546419098143233</v>
      </c>
      <c r="AA1731" s="52"/>
      <c r="AB1731" s="52"/>
      <c r="AC1731" s="52">
        <f>AC1730/(AC1730+AD1730)</f>
        <v>0.91211401425178151</v>
      </c>
      <c r="AD1731" s="52"/>
      <c r="AE1731" s="52"/>
      <c r="AF1731" s="32">
        <f>AF1730/(AF1730+AG1730)</f>
        <v>0.37983034872761545</v>
      </c>
      <c r="AG1731" s="23"/>
      <c r="AH1731" s="23"/>
      <c r="AI1731" s="52">
        <f>AI1730/(AI1730+AJ1730)</f>
        <v>0.98991935483870963</v>
      </c>
      <c r="AJ1731" s="52"/>
      <c r="AK1731" s="52"/>
      <c r="AL1731" s="52">
        <f>AL1730/(AL1730+AM1730)</f>
        <v>0.97131931166347996</v>
      </c>
      <c r="AM1731" s="52"/>
      <c r="AN1731" s="52"/>
      <c r="AO1731" s="52">
        <f>AO1730/(AO1730+AP1730)</f>
        <v>0.99052132701421802</v>
      </c>
      <c r="AP1731" s="52"/>
      <c r="AQ1731" s="52"/>
      <c r="AR1731" s="52">
        <f>AR1730/(AR1730+AS1730)</f>
        <v>0.99852507374631272</v>
      </c>
      <c r="AS1731" s="52"/>
      <c r="AT1731" s="52"/>
      <c r="AU1731" s="52">
        <f>AU1730/(AU1730+AV1730)</f>
        <v>0.99706916764361075</v>
      </c>
      <c r="AV1731" s="52"/>
      <c r="AW1731" s="52"/>
      <c r="AX1731" s="52">
        <f>AX1730/(AX1730+AY1730)</f>
        <v>0.9783301465901848</v>
      </c>
      <c r="AY1731" s="52"/>
      <c r="AZ1731" s="52"/>
      <c r="BA1731" s="52">
        <f>BA1730/(BA1730+BB1730)</f>
        <v>0.9625876851130164</v>
      </c>
      <c r="BB1731" s="52"/>
      <c r="BC1731" s="52"/>
      <c r="BD1731" s="53"/>
      <c r="BE1731" s="53"/>
      <c r="BF1731" s="54"/>
      <c r="BG1731" s="55"/>
      <c r="BH1731" s="53"/>
      <c r="BI1731" s="55"/>
      <c r="BJ1731" s="53"/>
      <c r="BK1731" s="53"/>
      <c r="BL1731" s="54"/>
      <c r="BM1731" s="55"/>
      <c r="BN1731" s="53"/>
      <c r="BO1731" s="55"/>
      <c r="BP1731" s="53"/>
      <c r="BQ1731" s="53"/>
      <c r="BR1731" s="54"/>
      <c r="BS1731" s="55"/>
      <c r="BT1731" s="56"/>
      <c r="BU1731" s="55"/>
      <c r="BV1731" s="57"/>
      <c r="BW1731" s="57"/>
      <c r="BX1731" s="54"/>
      <c r="BY1731" s="55"/>
      <c r="BZ1731" s="56"/>
      <c r="CA1731" s="55"/>
      <c r="CB1731" s="53"/>
      <c r="CC1731" s="53"/>
      <c r="CD1731" s="54"/>
      <c r="CE1731" s="55"/>
      <c r="CF1731" s="56"/>
      <c r="CG1731" s="55"/>
      <c r="CH1731" s="53"/>
      <c r="CI1731" s="53"/>
      <c r="CJ1731" s="54"/>
      <c r="CK1731" s="55"/>
      <c r="CL1731" s="56"/>
      <c r="CM1731" s="55"/>
      <c r="CN1731" s="53"/>
      <c r="CO1731" s="53"/>
      <c r="CP1731" s="54"/>
      <c r="CQ1731" s="55"/>
      <c r="CR1731" s="56"/>
      <c r="CS1731" s="55"/>
      <c r="CT1731" s="53"/>
      <c r="CU1731" s="53"/>
      <c r="CV1731" s="54"/>
      <c r="CW1731" s="55"/>
      <c r="CX1731" s="56"/>
      <c r="CY1731" s="55"/>
      <c r="CZ1731" s="57"/>
      <c r="DA1731" s="57"/>
      <c r="DB1731" s="54"/>
      <c r="DC1731" s="55"/>
      <c r="DD1731" s="56"/>
      <c r="DE1731" s="55"/>
      <c r="DF1731" s="57"/>
      <c r="DG1731" s="57"/>
      <c r="DH1731" s="54"/>
      <c r="DI1731" s="55"/>
      <c r="DJ1731" s="56"/>
      <c r="DK1731" s="55"/>
      <c r="DL1731" s="53"/>
      <c r="DM1731" s="53"/>
      <c r="DN1731" s="54"/>
      <c r="DO1731" s="55"/>
      <c r="DP1731" s="56"/>
      <c r="DQ1731" s="55"/>
      <c r="DR1731" s="53"/>
      <c r="DS1731" s="53"/>
      <c r="DT1731" s="54"/>
      <c r="DU1731" s="55"/>
      <c r="DV1731" s="56"/>
      <c r="DW1731" s="55"/>
      <c r="DX1731" s="53"/>
      <c r="DY1731" s="53"/>
      <c r="DZ1731" s="58"/>
      <c r="EA1731" s="55"/>
      <c r="EB1731" s="56"/>
      <c r="EC1731" s="55"/>
      <c r="ED1731" s="53"/>
      <c r="EE1731" s="57"/>
      <c r="EF1731" s="54"/>
      <c r="EG1731" s="55"/>
      <c r="EH1731" s="56"/>
      <c r="EI1731" s="55"/>
      <c r="EJ1731" s="53"/>
      <c r="EK1731" s="57"/>
      <c r="EL1731" s="54"/>
      <c r="EM1731" s="55"/>
      <c r="EN1731" s="53"/>
      <c r="EO1731" s="55"/>
      <c r="EP1731" s="53"/>
      <c r="EQ1731" s="57"/>
      <c r="ER1731" s="54"/>
      <c r="ES1731" s="55"/>
      <c r="ET1731" s="53"/>
      <c r="EU1731" s="55"/>
      <c r="EV1731" s="53"/>
      <c r="EW1731" s="53"/>
      <c r="EX1731" s="54"/>
      <c r="EY1731" s="55"/>
      <c r="EZ1731" s="53"/>
      <c r="FA1731" s="55"/>
      <c r="FB1731" s="53"/>
      <c r="FC1731" s="53"/>
      <c r="FD1731" s="54"/>
      <c r="FE1731" s="55"/>
      <c r="FF1731" s="56"/>
      <c r="FG1731" s="55"/>
      <c r="FH1731" s="57"/>
      <c r="FI1731" s="57"/>
      <c r="FJ1731" s="54"/>
      <c r="FK1731" s="55"/>
      <c r="FL1731" s="56"/>
      <c r="FM1731" s="55"/>
      <c r="FN1731" s="57"/>
      <c r="FO1731" s="57"/>
      <c r="FP1731" s="54"/>
      <c r="FQ1731" s="55"/>
      <c r="FR1731" s="56"/>
      <c r="FS1731" s="55"/>
      <c r="FT1731" s="57"/>
      <c r="FU1731" s="57"/>
      <c r="FV1731" s="54"/>
      <c r="FW1731" s="55"/>
      <c r="FX1731" s="56"/>
      <c r="FY1731" s="55"/>
      <c r="FZ1731" s="53"/>
      <c r="GA1731" s="53"/>
      <c r="GB1731" s="54"/>
      <c r="GC1731" s="55"/>
      <c r="GD1731" s="53"/>
      <c r="GE1731" s="59"/>
      <c r="GF1731" s="53"/>
      <c r="GG1731" s="53"/>
      <c r="GH1731" s="54"/>
      <c r="GI1731" s="55"/>
      <c r="GJ1731" s="53"/>
      <c r="GK1731" s="55"/>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9"/>
      <c r="D2" s="80"/>
      <c r="E2" s="80"/>
      <c r="F2" s="81"/>
      <c r="S2" s="82"/>
      <c r="T2" s="82"/>
      <c r="U2" s="82"/>
      <c r="V2" s="82"/>
      <c r="X2" s="79"/>
      <c r="Y2" s="80"/>
      <c r="Z2" s="80"/>
      <c r="AA2" s="81"/>
      <c r="AN2" s="82"/>
      <c r="AO2" s="82"/>
      <c r="AP2" s="82"/>
      <c r="AQ2" s="82"/>
      <c r="AR2" s="82"/>
      <c r="AS2" s="82"/>
      <c r="AT2" s="82"/>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4"/>
      <c r="DE2" s="84"/>
      <c r="DF2" s="84"/>
      <c r="DG2" s="84"/>
      <c r="DH2" s="84"/>
      <c r="DI2" s="84"/>
      <c r="DJ2" s="84"/>
      <c r="DK2" s="84"/>
      <c r="DL2" s="84"/>
      <c r="DM2" s="84"/>
      <c r="DN2" s="84"/>
      <c r="DO2" s="84"/>
      <c r="DP2" s="84"/>
      <c r="DQ2" s="84"/>
      <c r="DR2" s="84"/>
      <c r="DS2" s="84"/>
      <c r="DT2" s="84"/>
      <c r="DU2" s="84"/>
      <c r="DV2" s="84"/>
      <c r="DW2" s="84"/>
      <c r="DX2" s="84"/>
      <c r="DY2" s="85"/>
      <c r="DZ2" s="85"/>
    </row>
    <row r="3" spans="3:143" ht="12.65" customHeight="1">
      <c r="C3" s="82"/>
      <c r="D3" s="82"/>
      <c r="E3" s="82"/>
      <c r="S3" s="82"/>
      <c r="T3" s="82"/>
      <c r="U3" s="82"/>
      <c r="V3" s="82"/>
      <c r="X3" s="82"/>
      <c r="Y3" s="82"/>
      <c r="Z3" s="82"/>
      <c r="AN3" s="82"/>
      <c r="AO3" s="82"/>
      <c r="AP3" s="82"/>
      <c r="AQ3" s="82"/>
      <c r="AR3" s="86"/>
      <c r="AS3" s="86"/>
      <c r="AT3" s="86"/>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4"/>
      <c r="DE3" s="84"/>
      <c r="DF3" s="84"/>
      <c r="DG3" s="84"/>
      <c r="DH3" s="84"/>
      <c r="DI3" s="84"/>
      <c r="DJ3" s="84"/>
      <c r="DK3" s="84"/>
      <c r="DL3" s="84"/>
      <c r="DM3" s="84"/>
      <c r="DN3" s="84"/>
      <c r="DO3" s="84"/>
      <c r="DP3" s="84"/>
      <c r="DQ3" s="84"/>
      <c r="DR3" s="84"/>
      <c r="DS3" s="84"/>
      <c r="DT3" s="84"/>
      <c r="DU3" s="84"/>
      <c r="DV3" s="84"/>
      <c r="DW3" s="84"/>
      <c r="DX3" s="84"/>
      <c r="DY3" s="85"/>
      <c r="DZ3" s="85"/>
    </row>
    <row r="4" spans="3:143" ht="12.65" customHeight="1">
      <c r="C4" s="82"/>
      <c r="D4" s="82"/>
      <c r="E4" s="82"/>
      <c r="H4" s="86"/>
      <c r="I4" s="86"/>
      <c r="J4" s="86"/>
      <c r="K4" s="86"/>
      <c r="L4" s="86"/>
      <c r="M4" s="86"/>
      <c r="N4" s="86"/>
      <c r="O4" s="86"/>
      <c r="P4" s="86"/>
      <c r="Q4" s="86"/>
      <c r="R4" s="86"/>
      <c r="S4" s="86"/>
      <c r="T4" s="86"/>
      <c r="U4" s="86"/>
      <c r="V4" s="86"/>
      <c r="X4" s="82"/>
      <c r="Y4" s="82"/>
      <c r="Z4" s="82"/>
      <c r="AC4" s="86"/>
      <c r="AD4" s="86"/>
      <c r="AE4" s="86"/>
      <c r="AF4" s="86"/>
      <c r="AG4" s="86"/>
      <c r="AH4" s="86"/>
      <c r="AI4" s="86"/>
      <c r="AJ4" s="86"/>
      <c r="AK4" s="86"/>
      <c r="AL4" s="86"/>
      <c r="AM4" s="86"/>
      <c r="AN4" s="86"/>
      <c r="AO4" s="86"/>
      <c r="AP4" s="86"/>
      <c r="AQ4" s="86"/>
      <c r="AR4" s="82"/>
      <c r="AS4" s="82"/>
      <c r="AT4" s="82"/>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4"/>
      <c r="DE4" s="84"/>
      <c r="DF4" s="84"/>
      <c r="DG4" s="84"/>
      <c r="DH4" s="84"/>
      <c r="DI4" s="84"/>
      <c r="DJ4" s="84"/>
      <c r="DK4" s="84"/>
      <c r="DL4" s="84"/>
      <c r="DM4" s="84"/>
      <c r="DN4" s="84"/>
      <c r="DO4" s="84"/>
      <c r="DP4" s="84"/>
      <c r="DQ4" s="84"/>
      <c r="DR4" s="84"/>
      <c r="DS4" s="84"/>
      <c r="DT4" s="84"/>
      <c r="DU4" s="84"/>
      <c r="DV4" s="84"/>
      <c r="DW4" s="84"/>
      <c r="DX4" s="84"/>
      <c r="DY4" s="85"/>
      <c r="DZ4" s="85"/>
    </row>
    <row r="5" spans="3:143" ht="12.65" customHeight="1">
      <c r="S5" s="82"/>
      <c r="T5" s="82"/>
      <c r="U5" s="82"/>
      <c r="V5" s="82"/>
      <c r="AN5" s="82"/>
      <c r="AO5" s="82"/>
      <c r="AP5" s="82"/>
      <c r="AQ5" s="82"/>
      <c r="AR5" s="87"/>
      <c r="AS5" s="87"/>
      <c r="AT5" s="87"/>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4"/>
      <c r="DE5" s="84"/>
      <c r="DF5" s="84"/>
      <c r="DG5" s="84"/>
      <c r="DH5" s="84"/>
      <c r="DI5" s="84"/>
      <c r="DJ5" s="84"/>
      <c r="DK5" s="84"/>
      <c r="DL5" s="84"/>
      <c r="DM5" s="84"/>
      <c r="DN5" s="84"/>
      <c r="DO5" s="84"/>
      <c r="DP5" s="84"/>
      <c r="DQ5" s="84"/>
      <c r="DR5" s="84"/>
      <c r="DS5" s="84"/>
      <c r="DT5" s="84"/>
      <c r="DU5" s="84"/>
      <c r="DV5" s="84"/>
      <c r="DW5" s="84"/>
      <c r="DX5" s="84"/>
      <c r="DY5" s="85"/>
      <c r="DZ5" s="85"/>
    </row>
    <row r="6" spans="3:143" ht="12.65" customHeight="1">
      <c r="AN6" s="87"/>
      <c r="AO6" s="87"/>
      <c r="AP6" s="87"/>
      <c r="AQ6" s="87"/>
      <c r="AR6" s="87"/>
      <c r="AS6" s="87"/>
      <c r="AT6" s="87"/>
      <c r="AU6" s="87"/>
      <c r="DD6" s="88"/>
      <c r="DE6" s="88"/>
      <c r="DF6" s="88"/>
      <c r="DG6" s="88"/>
      <c r="DH6" s="88"/>
      <c r="DI6" s="88"/>
      <c r="DJ6" s="88"/>
      <c r="DK6" s="88"/>
      <c r="DL6" s="88"/>
      <c r="DM6" s="88"/>
      <c r="DN6" s="88"/>
      <c r="DO6" s="88"/>
      <c r="DP6" s="88"/>
      <c r="DQ6" s="88"/>
      <c r="DR6" s="88"/>
      <c r="DS6" s="88"/>
      <c r="DT6" s="88"/>
      <c r="DU6" s="88"/>
      <c r="DV6" s="88"/>
      <c r="DW6" s="88"/>
      <c r="DX6" s="88"/>
      <c r="DY6" s="88"/>
      <c r="DZ6" s="88"/>
    </row>
    <row r="7" spans="3:143" ht="12.65" customHeight="1">
      <c r="AN7" s="87"/>
      <c r="AO7" s="87"/>
      <c r="AP7" s="87"/>
      <c r="AQ7" s="87"/>
      <c r="AR7" s="87"/>
      <c r="AS7" s="87"/>
      <c r="AT7" s="87"/>
      <c r="AU7" s="87"/>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7"/>
      <c r="AX8" s="87"/>
      <c r="AY8" s="87"/>
      <c r="AZ8" s="87"/>
      <c r="BA8" s="87"/>
      <c r="BB8" s="87"/>
      <c r="BC8" s="87"/>
      <c r="BD8" s="87"/>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7"/>
      <c r="AX9" s="87"/>
      <c r="AY9" s="87"/>
      <c r="AZ9" s="87"/>
      <c r="BA9" s="87"/>
      <c r="BB9" s="87"/>
      <c r="BC9" s="87"/>
      <c r="BD9" s="87"/>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7"/>
      <c r="AS10" s="87"/>
      <c r="AT10" s="87"/>
      <c r="AW10" s="87"/>
      <c r="AX10" s="87"/>
      <c r="AY10" s="87"/>
      <c r="AZ10" s="87"/>
      <c r="BA10" s="87"/>
      <c r="BB10" s="87"/>
      <c r="BC10" s="87"/>
      <c r="BD10" s="87"/>
    </row>
    <row r="11" spans="3:143" ht="12.65" customHeight="1">
      <c r="D11" s="938" t="s">
        <v>19620</v>
      </c>
      <c r="E11" s="939"/>
      <c r="F11" s="939"/>
      <c r="G11" s="939"/>
      <c r="H11" s="939"/>
      <c r="I11" s="939"/>
      <c r="J11" s="939"/>
      <c r="K11" s="939"/>
      <c r="L11" s="939"/>
      <c r="M11" s="939"/>
      <c r="N11" s="940" t="str">
        <f>VLOOKUP($D$11,調査票①!$A$2:$HK$1735,2,FALSE)&amp;""</f>
        <v>兵庫県</v>
      </c>
      <c r="O11" s="940"/>
      <c r="P11" s="940"/>
      <c r="Q11" s="940"/>
      <c r="R11" s="940"/>
      <c r="S11" s="940"/>
      <c r="T11" s="940"/>
      <c r="U11" s="940"/>
      <c r="V11" s="940"/>
      <c r="W11" s="940"/>
      <c r="X11" s="940"/>
      <c r="Y11" s="940"/>
      <c r="Z11" s="940"/>
      <c r="AA11" s="940" t="str">
        <f>VLOOKUP($D$11,調査票①!$A$3:$HK$1735,3,FALSE)&amp;""</f>
        <v>姫路市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9"/>
      <c r="AS11" s="89"/>
      <c r="AT11" s="87"/>
      <c r="AW11" s="87"/>
      <c r="AX11" s="87"/>
      <c r="AY11" s="87"/>
      <c r="AZ11" s="87"/>
      <c r="BA11" s="87"/>
      <c r="BB11" s="87"/>
      <c r="BC11" s="87"/>
      <c r="BD11" s="87"/>
      <c r="CC11" s="82"/>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9"/>
      <c r="AS12" s="89"/>
      <c r="AT12" s="87"/>
      <c r="AW12" s="87"/>
      <c r="AX12" s="87"/>
      <c r="AY12" s="87"/>
      <c r="AZ12" s="87"/>
      <c r="BA12" s="87"/>
      <c r="BB12" s="87"/>
      <c r="BC12" s="87"/>
      <c r="BD12" s="87"/>
      <c r="CC12" s="82"/>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B12" s="90"/>
      <c r="DC12" s="90"/>
      <c r="DD12" s="90"/>
      <c r="DE12" s="90"/>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9"/>
      <c r="AS13" s="89"/>
      <c r="AT13" s="87"/>
      <c r="AW13" s="87"/>
      <c r="AX13" s="87"/>
      <c r="AY13" s="87"/>
      <c r="AZ13" s="87"/>
      <c r="BA13" s="87"/>
      <c r="BB13" s="87"/>
      <c r="BC13" s="87"/>
      <c r="BD13" s="87"/>
      <c r="CC13" s="82"/>
      <c r="CD13" s="82"/>
      <c r="CE13" s="82"/>
      <c r="CF13" s="82"/>
      <c r="CG13" s="82"/>
      <c r="CH13" s="82"/>
      <c r="CI13" s="82"/>
      <c r="CJ13" s="82"/>
      <c r="CK13" s="82"/>
      <c r="CL13" s="82"/>
      <c r="CM13" s="82"/>
      <c r="CN13" s="82"/>
      <c r="CO13" s="82"/>
      <c r="CP13" s="82"/>
      <c r="CQ13" s="82"/>
      <c r="CR13" s="82"/>
      <c r="CS13" s="82"/>
      <c r="CT13" s="90"/>
      <c r="CU13" s="90"/>
      <c r="CV13" s="90"/>
      <c r="CW13" s="90"/>
      <c r="CX13" s="90"/>
      <c r="CY13" s="90"/>
      <c r="CZ13" s="90"/>
      <c r="DA13" s="90"/>
      <c r="DB13" s="90"/>
      <c r="DC13" s="90"/>
      <c r="DD13" s="90"/>
      <c r="DE13" s="90"/>
      <c r="DF13" s="82"/>
      <c r="DG13" s="82"/>
      <c r="DH13" s="82"/>
      <c r="DI13" s="82"/>
    </row>
    <row r="14" spans="3:143" ht="12.65" customHeight="1">
      <c r="C14" s="88"/>
      <c r="D14" s="91"/>
      <c r="E14" s="91"/>
      <c r="F14" s="91"/>
      <c r="G14" s="91"/>
      <c r="H14" s="91"/>
      <c r="I14" s="91"/>
      <c r="J14" s="91"/>
      <c r="K14" s="91"/>
      <c r="L14" s="91"/>
      <c r="M14" s="91"/>
      <c r="N14" s="92"/>
      <c r="O14" s="87"/>
      <c r="P14" s="87"/>
      <c r="Q14" s="87"/>
      <c r="R14" s="87"/>
      <c r="S14" s="87"/>
      <c r="T14" s="87"/>
      <c r="U14" s="87"/>
      <c r="V14" s="87"/>
      <c r="W14" s="87"/>
      <c r="X14" s="87"/>
      <c r="Y14" s="87"/>
      <c r="Z14" s="87"/>
      <c r="AA14" s="87"/>
      <c r="AB14" s="87"/>
      <c r="AC14" s="87"/>
      <c r="AD14" s="87"/>
      <c r="AE14" s="87"/>
      <c r="AF14" s="87"/>
      <c r="AG14" s="87"/>
      <c r="AH14" s="87"/>
      <c r="AI14" s="87"/>
      <c r="AJ14" s="87"/>
      <c r="AK14" s="92"/>
      <c r="AL14" s="92"/>
      <c r="AM14" s="92"/>
      <c r="AN14" s="92"/>
      <c r="AO14" s="92"/>
      <c r="AP14" s="92"/>
      <c r="AQ14" s="92"/>
      <c r="AR14" s="87"/>
      <c r="AS14" s="87"/>
      <c r="AT14" s="87"/>
      <c r="AW14" s="87"/>
      <c r="AX14" s="87"/>
      <c r="AY14" s="87"/>
      <c r="AZ14" s="87"/>
      <c r="BA14" s="87"/>
      <c r="BB14" s="87"/>
      <c r="BC14" s="87"/>
      <c r="BD14" s="87"/>
      <c r="CC14" s="82"/>
      <c r="CD14" s="82"/>
      <c r="CE14" s="82"/>
      <c r="CF14" s="82"/>
      <c r="CG14" s="82"/>
      <c r="CH14" s="82"/>
      <c r="CI14" s="82"/>
      <c r="CJ14" s="82"/>
      <c r="CK14" s="82"/>
      <c r="CL14" s="82"/>
      <c r="CM14" s="82"/>
      <c r="CN14" s="82"/>
      <c r="CO14" s="82"/>
      <c r="CP14" s="82"/>
      <c r="CQ14" s="82"/>
      <c r="CR14" s="82"/>
      <c r="CS14" s="82"/>
      <c r="CT14" s="90"/>
      <c r="CU14" s="90"/>
      <c r="CV14" s="90"/>
      <c r="CW14" s="90"/>
      <c r="CX14" s="90"/>
      <c r="CY14" s="90"/>
      <c r="CZ14" s="90"/>
      <c r="DA14" s="90"/>
      <c r="DB14" s="90"/>
      <c r="DC14" s="90"/>
      <c r="DD14" s="90"/>
      <c r="DE14" s="90"/>
      <c r="DF14" s="82"/>
      <c r="DG14" s="82"/>
      <c r="DH14" s="82"/>
      <c r="DI14" s="82"/>
    </row>
    <row r="15" spans="3:143" ht="12.65" customHeight="1">
      <c r="CS15" s="82"/>
      <c r="CT15" s="82"/>
      <c r="CU15" s="82"/>
      <c r="CV15" s="82"/>
      <c r="CW15" s="82"/>
      <c r="CX15" s="82"/>
      <c r="CY15" s="82"/>
      <c r="CZ15" s="82"/>
      <c r="DA15" s="82"/>
      <c r="DB15" s="82"/>
      <c r="DC15" s="82"/>
      <c r="DD15" s="82"/>
      <c r="DE15" s="82"/>
      <c r="DF15" s="82"/>
      <c r="DG15" s="82"/>
      <c r="DH15" s="82"/>
      <c r="DI15" s="82"/>
    </row>
    <row r="16" spans="3:143" ht="12.65" customHeight="1">
      <c r="C16" s="88"/>
      <c r="D16" s="93"/>
      <c r="E16" s="93"/>
      <c r="F16" s="93"/>
      <c r="G16" s="93"/>
      <c r="H16" s="93"/>
      <c r="I16" s="93"/>
      <c r="J16" s="93"/>
      <c r="K16" s="93"/>
      <c r="L16" s="93"/>
      <c r="M16" s="93"/>
      <c r="N16" s="93"/>
      <c r="O16" s="93"/>
      <c r="P16" s="93"/>
      <c r="Q16" s="93"/>
      <c r="R16" s="93"/>
      <c r="S16" s="93"/>
      <c r="T16" s="93"/>
      <c r="U16" s="93"/>
      <c r="V16" s="93"/>
      <c r="W16" s="93"/>
      <c r="X16" s="93"/>
      <c r="Y16" s="93"/>
      <c r="Z16" s="93"/>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CB16" s="82"/>
      <c r="CC16" s="93"/>
      <c r="CD16" s="93"/>
      <c r="CE16" s="93"/>
      <c r="CF16" s="93"/>
      <c r="CG16" s="93"/>
      <c r="CH16" s="93"/>
      <c r="CI16" s="93"/>
      <c r="CJ16" s="93"/>
      <c r="CK16" s="93"/>
      <c r="CL16" s="93"/>
      <c r="CM16" s="93"/>
      <c r="CN16" s="93"/>
      <c r="CO16" s="93"/>
      <c r="CP16" s="93"/>
      <c r="CQ16" s="93"/>
      <c r="CR16" s="93"/>
      <c r="CS16" s="93"/>
      <c r="CT16" s="93"/>
      <c r="CU16" s="93"/>
      <c r="CV16" s="93"/>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row>
    <row r="17" spans="3:149" ht="12.65" customHeight="1">
      <c r="C17" s="94"/>
      <c r="D17" s="95"/>
      <c r="E17" s="95"/>
      <c r="F17" s="95"/>
      <c r="G17" s="95"/>
      <c r="H17" s="95"/>
      <c r="I17" s="95"/>
      <c r="J17" s="95"/>
      <c r="K17" s="95"/>
      <c r="L17" s="95"/>
      <c r="M17" s="95"/>
      <c r="N17" s="95"/>
      <c r="O17" s="95"/>
      <c r="P17" s="95"/>
      <c r="Q17" s="95"/>
      <c r="R17" s="95"/>
      <c r="S17" s="95"/>
      <c r="T17" s="95"/>
      <c r="U17" s="95"/>
      <c r="V17" s="95"/>
      <c r="W17" s="95"/>
      <c r="X17" s="95"/>
      <c r="Y17" s="95"/>
      <c r="Z17" s="95"/>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7"/>
      <c r="CB17" s="94"/>
      <c r="CC17" s="96"/>
      <c r="CD17" s="96"/>
      <c r="CE17" s="95"/>
      <c r="CF17" s="95"/>
      <c r="CG17" s="95"/>
      <c r="CH17" s="95"/>
      <c r="CI17" s="95"/>
      <c r="CJ17" s="95"/>
      <c r="CK17" s="95"/>
      <c r="CL17" s="95"/>
      <c r="CM17" s="95"/>
      <c r="CN17" s="95"/>
      <c r="CO17" s="95"/>
      <c r="CP17" s="95"/>
      <c r="CQ17" s="95"/>
      <c r="CR17" s="95"/>
      <c r="CS17" s="95"/>
      <c r="CT17" s="95"/>
      <c r="CU17" s="95"/>
      <c r="CV17" s="95"/>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6"/>
      <c r="EK17" s="96"/>
      <c r="EL17" s="96"/>
      <c r="EM17" s="96"/>
      <c r="EN17" s="96"/>
      <c r="EO17" s="96"/>
      <c r="EP17" s="96"/>
      <c r="EQ17" s="96"/>
      <c r="ER17" s="96"/>
      <c r="ES17" s="97"/>
    </row>
    <row r="18" spans="3:149" ht="12.65" customHeight="1">
      <c r="C18" s="98"/>
      <c r="D18" s="99"/>
      <c r="E18" s="99"/>
      <c r="F18" s="99"/>
      <c r="G18" s="99"/>
      <c r="H18" s="99"/>
      <c r="I18" s="99"/>
      <c r="J18" s="99"/>
      <c r="K18" s="99"/>
      <c r="L18" s="99"/>
      <c r="M18" s="99"/>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c r="BN18" s="100"/>
      <c r="BO18" s="100"/>
      <c r="BP18" s="100"/>
      <c r="BQ18" s="100"/>
      <c r="BR18" s="100"/>
      <c r="BS18" s="100"/>
      <c r="BT18" s="102"/>
      <c r="CB18" s="98"/>
      <c r="CC18" s="103"/>
      <c r="CD18" s="103"/>
      <c r="CE18" s="103"/>
      <c r="CF18" s="103"/>
      <c r="CG18" s="103"/>
      <c r="CH18" s="103"/>
      <c r="CI18" s="103"/>
      <c r="CJ18" s="103"/>
      <c r="CK18" s="103"/>
      <c r="CL18" s="103"/>
      <c r="CM18" s="103"/>
      <c r="CN18" s="103"/>
      <c r="CO18" s="103"/>
      <c r="CP18" s="103"/>
      <c r="CQ18" s="103"/>
      <c r="CR18" s="103"/>
      <c r="CS18" s="103"/>
      <c r="CT18" s="103"/>
      <c r="CU18" s="103"/>
      <c r="CV18" s="103"/>
      <c r="CW18" s="100"/>
      <c r="CX18" s="100"/>
      <c r="CY18" s="100"/>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0"/>
      <c r="EN18" s="100"/>
      <c r="EO18" s="100"/>
      <c r="EP18" s="100"/>
      <c r="EQ18" s="100"/>
      <c r="ER18" s="100"/>
      <c r="ES18" s="102"/>
    </row>
    <row r="19" spans="3:149" ht="12.65" customHeight="1">
      <c r="C19" s="98"/>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5" t="s">
        <v>12315</v>
      </c>
      <c r="BL19" s="106"/>
      <c r="BM19" s="106"/>
      <c r="BN19" s="106"/>
      <c r="BO19" s="806"/>
      <c r="BP19" s="806"/>
      <c r="BQ19" s="806"/>
      <c r="BR19" s="806"/>
      <c r="BS19" s="100"/>
      <c r="BT19" s="102"/>
      <c r="CB19" s="98"/>
      <c r="CC19" s="103"/>
      <c r="CD19" s="103"/>
      <c r="CE19" s="103"/>
      <c r="CF19" s="103"/>
      <c r="CG19" s="103"/>
      <c r="CH19" s="103"/>
      <c r="CI19" s="103"/>
      <c r="CJ19" s="103"/>
      <c r="CK19" s="103"/>
      <c r="CL19" s="103"/>
      <c r="CM19" s="107"/>
      <c r="CN19" s="107"/>
      <c r="CO19" s="107"/>
      <c r="CP19" s="107"/>
      <c r="CQ19" s="107"/>
      <c r="CR19" s="107"/>
      <c r="CS19" s="107"/>
      <c r="CT19" s="107"/>
      <c r="CU19" s="107"/>
      <c r="CV19" s="107"/>
      <c r="CW19" s="100"/>
      <c r="CX19" s="100"/>
      <c r="CY19" s="100"/>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0"/>
      <c r="EN19" s="100"/>
      <c r="EO19" s="100"/>
      <c r="EP19" s="100"/>
      <c r="EQ19" s="100"/>
      <c r="ER19" s="100"/>
      <c r="ES19" s="102"/>
    </row>
    <row r="20" spans="3:149" ht="19.75" customHeight="1">
      <c r="C20" s="98"/>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100"/>
      <c r="BT20" s="102"/>
      <c r="BU20" s="108"/>
      <c r="BV20" s="108"/>
      <c r="BW20" s="108"/>
      <c r="BX20" s="108"/>
      <c r="BY20" s="108"/>
      <c r="BZ20" s="108"/>
      <c r="CA20" s="108"/>
      <c r="CB20" s="109"/>
      <c r="CC20" s="103" t="s">
        <v>12320</v>
      </c>
      <c r="CD20" s="110"/>
      <c r="CE20" s="110"/>
      <c r="CF20" s="110"/>
      <c r="CG20" s="110"/>
      <c r="CH20" s="110"/>
      <c r="CI20" s="110"/>
      <c r="CJ20" s="110"/>
      <c r="CK20" s="110"/>
      <c r="CL20" s="110"/>
      <c r="CM20" s="110"/>
      <c r="CN20" s="110"/>
      <c r="CO20" s="110"/>
      <c r="CP20" s="110"/>
      <c r="CQ20" s="110"/>
      <c r="CR20" s="110"/>
      <c r="CS20" s="110"/>
      <c r="CT20" s="110"/>
      <c r="CU20" s="110"/>
      <c r="CV20" s="110"/>
      <c r="CW20" s="103"/>
      <c r="CX20" s="103"/>
      <c r="CY20" s="103"/>
      <c r="CZ20" s="110"/>
      <c r="DA20" s="110"/>
      <c r="DB20" s="110"/>
      <c r="DC20" s="110"/>
      <c r="DD20" s="110"/>
      <c r="DE20" s="110"/>
      <c r="DF20" s="110"/>
      <c r="DG20" s="110"/>
      <c r="DH20" s="110"/>
      <c r="DI20" s="110"/>
      <c r="DJ20" s="110"/>
      <c r="DK20" s="110"/>
      <c r="DL20" s="110"/>
      <c r="DM20" s="110"/>
      <c r="DN20" s="110"/>
      <c r="DO20" s="110"/>
      <c r="DP20" s="110"/>
      <c r="DQ20" s="110"/>
      <c r="DR20" s="110"/>
      <c r="DS20" s="110"/>
      <c r="DT20" s="103"/>
      <c r="DU20" s="103"/>
      <c r="DV20" s="103"/>
      <c r="DW20" s="103" t="s">
        <v>12321</v>
      </c>
      <c r="DX20" s="110"/>
      <c r="DY20" s="110"/>
      <c r="DZ20" s="110"/>
      <c r="EA20" s="110"/>
      <c r="EB20" s="110"/>
      <c r="EC20" s="110"/>
      <c r="ED20" s="110"/>
      <c r="EE20" s="110"/>
      <c r="EF20" s="110"/>
      <c r="EG20" s="110"/>
      <c r="EH20" s="110"/>
      <c r="EI20" s="110"/>
      <c r="EJ20" s="110"/>
      <c r="EK20" s="110"/>
      <c r="EL20" s="110"/>
      <c r="EM20" s="103"/>
      <c r="EN20" s="100"/>
      <c r="EO20" s="100"/>
      <c r="EP20" s="100"/>
      <c r="EQ20" s="100"/>
      <c r="ER20" s="100"/>
      <c r="ES20" s="102"/>
    </row>
    <row r="21" spans="3:149" ht="19.75" customHeight="1">
      <c r="C21" s="98"/>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100"/>
      <c r="BT21" s="102"/>
      <c r="BU21" s="108"/>
      <c r="BV21" s="108"/>
      <c r="BW21" s="108"/>
      <c r="BX21" s="108"/>
      <c r="BY21" s="108"/>
      <c r="BZ21" s="108"/>
      <c r="CA21" s="108"/>
      <c r="CB21" s="109"/>
      <c r="CC21" s="900" t="s">
        <v>12322</v>
      </c>
      <c r="CD21" s="901"/>
      <c r="CE21" s="901"/>
      <c r="CF21" s="901"/>
      <c r="CG21" s="901"/>
      <c r="CH21" s="901"/>
      <c r="CI21" s="901"/>
      <c r="CJ21" s="901"/>
      <c r="CK21" s="901"/>
      <c r="CL21" s="902"/>
      <c r="CM21" s="900" t="str">
        <f>VLOOKUP($D$11,調査票①!$A$3:$HK$1735,194,FALSE)&amp;""</f>
        <v>設置予定無し</v>
      </c>
      <c r="CN21" s="901"/>
      <c r="CO21" s="901"/>
      <c r="CP21" s="901"/>
      <c r="CQ21" s="901"/>
      <c r="CR21" s="901"/>
      <c r="CS21" s="901"/>
      <c r="CT21" s="901"/>
      <c r="CU21" s="901"/>
      <c r="CV21" s="902"/>
      <c r="CW21" s="111"/>
      <c r="CX21" s="112"/>
      <c r="CY21" s="113"/>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4"/>
      <c r="DU21" s="104"/>
      <c r="DV21" s="104"/>
      <c r="DW21" s="906" t="s">
        <v>12324</v>
      </c>
      <c r="DX21" s="907"/>
      <c r="DY21" s="907"/>
      <c r="DZ21" s="907"/>
      <c r="EA21" s="907"/>
      <c r="EB21" s="907"/>
      <c r="EC21" s="907"/>
      <c r="ED21" s="907"/>
      <c r="EE21" s="907"/>
      <c r="EF21" s="908"/>
      <c r="EG21" s="918" t="str">
        <f>VLOOKUP($D$11,調査票①!$A$3:$HK$1735,196,FALSE)&amp;""</f>
        <v>委託有</v>
      </c>
      <c r="EH21" s="919"/>
      <c r="EI21" s="919"/>
      <c r="EJ21" s="919"/>
      <c r="EK21" s="919"/>
      <c r="EL21" s="920"/>
      <c r="EM21" s="100"/>
      <c r="EN21" s="100"/>
      <c r="EO21" s="100"/>
      <c r="EP21" s="100"/>
      <c r="EQ21" s="100"/>
      <c r="ER21" s="100"/>
      <c r="ES21" s="102"/>
    </row>
    <row r="22" spans="3:149" ht="19.75" customHeight="1">
      <c r="C22" s="98"/>
      <c r="D22" s="844" t="s">
        <v>12325</v>
      </c>
      <c r="E22" s="845"/>
      <c r="F22" s="845"/>
      <c r="G22" s="845"/>
      <c r="H22" s="845"/>
      <c r="I22" s="845"/>
      <c r="J22" s="845"/>
      <c r="K22" s="845"/>
      <c r="L22" s="845"/>
      <c r="M22" s="846"/>
      <c r="N22" s="825" t="str">
        <f>VLOOKUP($D$11,調査票①!$A$3:$HK$1735,6,FALSE)&amp;""</f>
        <v/>
      </c>
      <c r="O22" s="825"/>
      <c r="P22" s="825"/>
      <c r="Q22" s="825"/>
      <c r="R22" s="826" t="str">
        <f>VLOOKUP($D$11,調査票①!$A$3:$HK$1735,7,FALSE)&amp;""</f>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100"/>
      <c r="BT22" s="102"/>
      <c r="CB22" s="109"/>
      <c r="CC22" s="903"/>
      <c r="CD22" s="904"/>
      <c r="CE22" s="904"/>
      <c r="CF22" s="904"/>
      <c r="CG22" s="904"/>
      <c r="CH22" s="904"/>
      <c r="CI22" s="904"/>
      <c r="CJ22" s="904"/>
      <c r="CK22" s="904"/>
      <c r="CL22" s="905"/>
      <c r="CM22" s="903"/>
      <c r="CN22" s="904"/>
      <c r="CO22" s="904"/>
      <c r="CP22" s="904"/>
      <c r="CQ22" s="904"/>
      <c r="CR22" s="904"/>
      <c r="CS22" s="904"/>
      <c r="CT22" s="904"/>
      <c r="CU22" s="904"/>
      <c r="CV22" s="905"/>
      <c r="CW22" s="100"/>
      <c r="CX22" s="100"/>
      <c r="CY22" s="100"/>
      <c r="CZ22" s="909"/>
      <c r="DA22" s="910"/>
      <c r="DB22" s="910"/>
      <c r="DC22" s="910"/>
      <c r="DD22" s="910"/>
      <c r="DE22" s="910"/>
      <c r="DF22" s="910"/>
      <c r="DG22" s="910"/>
      <c r="DH22" s="910"/>
      <c r="DI22" s="911"/>
      <c r="DJ22" s="915"/>
      <c r="DK22" s="916"/>
      <c r="DL22" s="916"/>
      <c r="DM22" s="916"/>
      <c r="DN22" s="916"/>
      <c r="DO22" s="916"/>
      <c r="DP22" s="916"/>
      <c r="DQ22" s="916"/>
      <c r="DR22" s="916"/>
      <c r="DS22" s="917"/>
      <c r="DT22" s="100"/>
      <c r="DU22" s="100"/>
      <c r="DV22" s="100"/>
      <c r="DW22" s="909"/>
      <c r="DX22" s="910"/>
      <c r="DY22" s="910"/>
      <c r="DZ22" s="910"/>
      <c r="EA22" s="910"/>
      <c r="EB22" s="910"/>
      <c r="EC22" s="910"/>
      <c r="ED22" s="910"/>
      <c r="EE22" s="910"/>
      <c r="EF22" s="911"/>
      <c r="EG22" s="921"/>
      <c r="EH22" s="922"/>
      <c r="EI22" s="922"/>
      <c r="EJ22" s="922"/>
      <c r="EK22" s="922"/>
      <c r="EL22" s="923"/>
      <c r="EM22" s="98"/>
      <c r="EN22" s="100"/>
      <c r="EO22" s="100"/>
      <c r="EP22" s="100"/>
      <c r="EQ22" s="100"/>
      <c r="ER22" s="100"/>
      <c r="ES22" s="102"/>
    </row>
    <row r="23" spans="3:149" ht="19.75" customHeight="1">
      <c r="C23" s="98"/>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100"/>
      <c r="BT23" s="102"/>
      <c r="CB23" s="98"/>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14" t="s">
        <v>12326</v>
      </c>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2"/>
    </row>
    <row r="24" spans="3:149" ht="19.75" customHeight="1">
      <c r="C24" s="98"/>
      <c r="D24" s="844" t="s">
        <v>12327</v>
      </c>
      <c r="E24" s="845"/>
      <c r="F24" s="845"/>
      <c r="G24" s="845"/>
      <c r="H24" s="845"/>
      <c r="I24" s="845"/>
      <c r="J24" s="845"/>
      <c r="K24" s="845"/>
      <c r="L24" s="845"/>
      <c r="M24" s="846"/>
      <c r="N24" s="825" t="str">
        <f>VLOOKUP($D$11,調査票①!$A$3:$HK$1735,9,FALSE)&amp;""</f>
        <v/>
      </c>
      <c r="O24" s="825"/>
      <c r="P24" s="825"/>
      <c r="Q24" s="825"/>
      <c r="R24" s="826" t="str">
        <f>VLOOKUP($D$11,調査票①!$A$3:$HK$1735,10,FALSE)&amp;""</f>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100"/>
      <c r="BT24" s="102"/>
      <c r="CB24" s="98"/>
      <c r="CC24" s="888" t="s">
        <v>12328</v>
      </c>
      <c r="CD24" s="888"/>
      <c r="CE24" s="888"/>
      <c r="CF24" s="888"/>
      <c r="CG24" s="888"/>
      <c r="CH24" s="888"/>
      <c r="CI24" s="888"/>
      <c r="CJ24" s="888"/>
      <c r="CK24" s="888"/>
      <c r="CL24" s="888"/>
      <c r="CM24" s="888"/>
      <c r="CN24" s="888"/>
      <c r="CO24" s="888"/>
      <c r="CP24" s="888"/>
      <c r="CQ24" s="888"/>
      <c r="CR24" s="888"/>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859" t="s">
        <v>70</v>
      </c>
      <c r="DX24" s="860"/>
      <c r="DY24" s="860"/>
      <c r="DZ24" s="860"/>
      <c r="EA24" s="860"/>
      <c r="EB24" s="860"/>
      <c r="EC24" s="860"/>
      <c r="ED24" s="861"/>
      <c r="EE24" s="890" t="s">
        <v>12329</v>
      </c>
      <c r="EF24" s="860"/>
      <c r="EG24" s="860"/>
      <c r="EH24" s="860"/>
      <c r="EI24" s="860"/>
      <c r="EJ24" s="860"/>
      <c r="EK24" s="860"/>
      <c r="EL24" s="861"/>
      <c r="EM24" s="100"/>
      <c r="EN24" s="100"/>
      <c r="EO24" s="100"/>
      <c r="EP24" s="100"/>
      <c r="EQ24" s="100"/>
      <c r="ER24" s="100"/>
      <c r="ES24" s="102"/>
    </row>
    <row r="25" spans="3:149" ht="19.75" customHeight="1">
      <c r="C25" s="98"/>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100"/>
      <c r="BT25" s="102"/>
      <c r="CA25" s="82"/>
      <c r="CB25" s="115"/>
      <c r="CC25" s="889"/>
      <c r="CD25" s="889"/>
      <c r="CE25" s="889"/>
      <c r="CF25" s="889"/>
      <c r="CG25" s="889"/>
      <c r="CH25" s="889"/>
      <c r="CI25" s="889"/>
      <c r="CJ25" s="889"/>
      <c r="CK25" s="889"/>
      <c r="CL25" s="889"/>
      <c r="CM25" s="888"/>
      <c r="CN25" s="888"/>
      <c r="CO25" s="888"/>
      <c r="CP25" s="888"/>
      <c r="CQ25" s="888"/>
      <c r="CR25" s="888"/>
      <c r="CS25" s="100"/>
      <c r="CT25" s="100"/>
      <c r="CU25" s="100"/>
      <c r="CV25" s="100"/>
      <c r="CW25" s="100"/>
      <c r="CX25" s="100"/>
      <c r="CY25" s="100"/>
      <c r="CZ25" s="100"/>
      <c r="DA25" s="100"/>
      <c r="DB25" s="100"/>
      <c r="DC25" s="100"/>
      <c r="DD25" s="100"/>
      <c r="DE25" s="100"/>
      <c r="DF25" s="116"/>
      <c r="DG25" s="116"/>
      <c r="DH25" s="116"/>
      <c r="DI25" s="116"/>
      <c r="DJ25" s="116"/>
      <c r="DK25" s="116"/>
      <c r="DL25" s="116"/>
      <c r="DM25" s="116"/>
      <c r="DN25" s="116"/>
      <c r="DO25" s="116"/>
      <c r="DP25" s="116"/>
      <c r="DQ25" s="116"/>
      <c r="DR25" s="116"/>
      <c r="DS25" s="116"/>
      <c r="DT25" s="116"/>
      <c r="DU25" s="116"/>
      <c r="DV25" s="116"/>
      <c r="DW25" s="891" t="s">
        <v>12330</v>
      </c>
      <c r="DX25" s="863"/>
      <c r="DY25" s="863"/>
      <c r="DZ25" s="864"/>
      <c r="EA25" s="692" t="s">
        <v>12331</v>
      </c>
      <c r="EB25" s="892"/>
      <c r="EC25" s="892"/>
      <c r="ED25" s="893"/>
      <c r="EE25" s="891" t="s">
        <v>12330</v>
      </c>
      <c r="EF25" s="863"/>
      <c r="EG25" s="863"/>
      <c r="EH25" s="864"/>
      <c r="EI25" s="692" t="s">
        <v>12331</v>
      </c>
      <c r="EJ25" s="892"/>
      <c r="EK25" s="892"/>
      <c r="EL25" s="893"/>
      <c r="EM25" s="100"/>
      <c r="EN25" s="100"/>
      <c r="EO25" s="100"/>
      <c r="EP25" s="100"/>
      <c r="EQ25" s="100"/>
      <c r="ER25" s="100"/>
      <c r="ES25" s="102"/>
    </row>
    <row r="26" spans="3:149" ht="19.75" customHeight="1">
      <c r="C26" s="98"/>
      <c r="D26" s="844" t="s">
        <v>12332</v>
      </c>
      <c r="E26" s="845"/>
      <c r="F26" s="845"/>
      <c r="G26" s="845"/>
      <c r="H26" s="845"/>
      <c r="I26" s="845"/>
      <c r="J26" s="845"/>
      <c r="K26" s="845"/>
      <c r="L26" s="845"/>
      <c r="M26" s="846"/>
      <c r="N26" s="825" t="str">
        <f>VLOOKUP($D$11,調査票①!$A$3:$HK$1735,12,FALSE)&amp;""</f>
        <v/>
      </c>
      <c r="O26" s="825"/>
      <c r="P26" s="825"/>
      <c r="Q26" s="825"/>
      <c r="R26" s="886" t="str">
        <f>VLOOKUP($D$11,調査票①!$A$3:$HK$1735,13,FALSE)&amp;""</f>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100"/>
      <c r="BT26" s="102"/>
      <c r="CB26" s="115"/>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6"/>
      <c r="CX26" s="116"/>
      <c r="CY26" s="116"/>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6"/>
      <c r="DU26" s="116"/>
      <c r="DV26" s="116"/>
      <c r="DW26" s="865"/>
      <c r="DX26" s="866"/>
      <c r="DY26" s="866"/>
      <c r="DZ26" s="867"/>
      <c r="EA26" s="894"/>
      <c r="EB26" s="895"/>
      <c r="EC26" s="895"/>
      <c r="ED26" s="896"/>
      <c r="EE26" s="865"/>
      <c r="EF26" s="866"/>
      <c r="EG26" s="866"/>
      <c r="EH26" s="867"/>
      <c r="EI26" s="894"/>
      <c r="EJ26" s="895"/>
      <c r="EK26" s="895"/>
      <c r="EL26" s="896"/>
      <c r="EM26" s="100"/>
      <c r="EN26" s="100"/>
      <c r="EO26" s="100"/>
      <c r="EP26" s="100"/>
      <c r="EQ26" s="100"/>
      <c r="ER26" s="100"/>
      <c r="ES26" s="102"/>
    </row>
    <row r="27" spans="3:149" ht="19.75" customHeight="1">
      <c r="C27" s="98"/>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100"/>
      <c r="BT27" s="102"/>
      <c r="CB27" s="115"/>
      <c r="CC27" s="887"/>
      <c r="CD27" s="887"/>
      <c r="CE27" s="887"/>
      <c r="CF27" s="887"/>
      <c r="CG27" s="887"/>
      <c r="CH27" s="887"/>
      <c r="CI27" s="887"/>
      <c r="CJ27" s="887"/>
      <c r="CK27" s="887"/>
      <c r="CL27" s="887"/>
      <c r="CM27" s="897"/>
      <c r="CN27" s="897"/>
      <c r="CO27" s="897"/>
      <c r="CP27" s="897"/>
      <c r="CQ27" s="897"/>
      <c r="CR27" s="897"/>
      <c r="CS27" s="897"/>
      <c r="CT27" s="897"/>
      <c r="CU27" s="897"/>
      <c r="CV27" s="897"/>
      <c r="CW27" s="116"/>
      <c r="CX27" s="116"/>
      <c r="CY27" s="116"/>
      <c r="CZ27" s="898"/>
      <c r="DA27" s="898"/>
      <c r="DB27" s="898"/>
      <c r="DC27" s="898"/>
      <c r="DD27" s="898"/>
      <c r="DE27" s="898"/>
      <c r="DF27" s="898"/>
      <c r="DG27" s="898"/>
      <c r="DH27" s="898"/>
      <c r="DI27" s="898"/>
      <c r="DJ27" s="899"/>
      <c r="DK27" s="899"/>
      <c r="DL27" s="899"/>
      <c r="DM27" s="899"/>
      <c r="DN27" s="899"/>
      <c r="DO27" s="899"/>
      <c r="DP27" s="899"/>
      <c r="DQ27" s="899"/>
      <c r="DR27" s="899"/>
      <c r="DS27" s="899"/>
      <c r="DT27" s="116"/>
      <c r="DU27" s="116"/>
      <c r="DV27" s="116"/>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100"/>
      <c r="EN27" s="100"/>
      <c r="EO27" s="100"/>
      <c r="EP27" s="100"/>
      <c r="EQ27" s="100"/>
      <c r="ER27" s="100"/>
      <c r="ES27" s="102"/>
    </row>
    <row r="28" spans="3:149" ht="19.75" customHeight="1">
      <c r="C28" s="98"/>
      <c r="D28" s="844" t="s">
        <v>12335</v>
      </c>
      <c r="E28" s="845"/>
      <c r="F28" s="845"/>
      <c r="G28" s="845"/>
      <c r="H28" s="845"/>
      <c r="I28" s="845"/>
      <c r="J28" s="845"/>
      <c r="K28" s="845"/>
      <c r="L28" s="845"/>
      <c r="M28" s="846"/>
      <c r="N28" s="825" t="str">
        <f>VLOOKUP($D$11,調査票①!$A$3:$HK$1735,15,FALSE)&amp;""</f>
        <v/>
      </c>
      <c r="O28" s="825"/>
      <c r="P28" s="825"/>
      <c r="Q28" s="825"/>
      <c r="R28" s="826" t="str">
        <f>VLOOKUP($D$11,調査票①!$A$3:$HK$1735,16,FALSE)&amp;""</f>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100"/>
      <c r="BT28" s="102"/>
      <c r="CB28" s="115"/>
      <c r="CC28" s="887"/>
      <c r="CD28" s="887"/>
      <c r="CE28" s="887"/>
      <c r="CF28" s="887"/>
      <c r="CG28" s="887"/>
      <c r="CH28" s="887"/>
      <c r="CI28" s="887"/>
      <c r="CJ28" s="887"/>
      <c r="CK28" s="887"/>
      <c r="CL28" s="887"/>
      <c r="CM28" s="897"/>
      <c r="CN28" s="897"/>
      <c r="CO28" s="897"/>
      <c r="CP28" s="897"/>
      <c r="CQ28" s="897"/>
      <c r="CR28" s="897"/>
      <c r="CS28" s="897"/>
      <c r="CT28" s="897"/>
      <c r="CU28" s="897"/>
      <c r="CV28" s="897"/>
      <c r="CW28" s="116"/>
      <c r="CX28" s="116"/>
      <c r="CY28" s="116"/>
      <c r="CZ28" s="898"/>
      <c r="DA28" s="898"/>
      <c r="DB28" s="898"/>
      <c r="DC28" s="898"/>
      <c r="DD28" s="898"/>
      <c r="DE28" s="898"/>
      <c r="DF28" s="898"/>
      <c r="DG28" s="898"/>
      <c r="DH28" s="898"/>
      <c r="DI28" s="898"/>
      <c r="DJ28" s="899"/>
      <c r="DK28" s="899"/>
      <c r="DL28" s="899"/>
      <c r="DM28" s="899"/>
      <c r="DN28" s="899"/>
      <c r="DO28" s="899"/>
      <c r="DP28" s="899"/>
      <c r="DQ28" s="899"/>
      <c r="DR28" s="899"/>
      <c r="DS28" s="899"/>
      <c r="DT28" s="116"/>
      <c r="DU28" s="116"/>
      <c r="DV28" s="116"/>
      <c r="DW28" s="724"/>
      <c r="DX28" s="725"/>
      <c r="DY28" s="725"/>
      <c r="DZ28" s="726"/>
      <c r="EA28" s="724"/>
      <c r="EB28" s="725"/>
      <c r="EC28" s="725"/>
      <c r="ED28" s="726"/>
      <c r="EE28" s="724"/>
      <c r="EF28" s="725"/>
      <c r="EG28" s="725"/>
      <c r="EH28" s="726"/>
      <c r="EI28" s="724"/>
      <c r="EJ28" s="725"/>
      <c r="EK28" s="725"/>
      <c r="EL28" s="726"/>
      <c r="EM28" s="100"/>
      <c r="EN28" s="100"/>
      <c r="EO28" s="100"/>
      <c r="EP28" s="100"/>
      <c r="EQ28" s="100"/>
      <c r="ER28" s="100"/>
      <c r="ES28" s="102"/>
    </row>
    <row r="29" spans="3:149" ht="19.75" customHeight="1">
      <c r="C29" s="98"/>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100"/>
      <c r="BT29" s="102"/>
      <c r="CB29" s="117"/>
      <c r="CC29" s="118"/>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20"/>
    </row>
    <row r="30" spans="3:149" ht="19.75" customHeight="1">
      <c r="C30" s="98"/>
      <c r="D30" s="844" t="s">
        <v>12336</v>
      </c>
      <c r="E30" s="845"/>
      <c r="F30" s="845"/>
      <c r="G30" s="845"/>
      <c r="H30" s="845"/>
      <c r="I30" s="845"/>
      <c r="J30" s="845"/>
      <c r="K30" s="845"/>
      <c r="L30" s="845"/>
      <c r="M30" s="846"/>
      <c r="N30" s="825" t="str">
        <f>VLOOKUP($D$11,調査票①!$A$3:$HK$1735,18,FALSE)&amp;""</f>
        <v>○</v>
      </c>
      <c r="O30" s="825"/>
      <c r="P30" s="825"/>
      <c r="Q30" s="825"/>
      <c r="R30" s="826" t="str">
        <f>VLOOKUP($D$11,調査票①!$A$3:$HK$1735,19,FALSE)&amp;""</f>
        <v>直営維持予定</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100"/>
      <c r="BT30" s="102"/>
      <c r="EQ30" s="82"/>
    </row>
    <row r="31" spans="3:149" ht="19.75" customHeight="1">
      <c r="C31" s="98"/>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100"/>
      <c r="BT31" s="102"/>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row>
    <row r="32" spans="3:149" ht="19.75" customHeight="1">
      <c r="C32" s="98"/>
      <c r="D32" s="844" t="s">
        <v>12337</v>
      </c>
      <c r="E32" s="845"/>
      <c r="F32" s="845"/>
      <c r="G32" s="845"/>
      <c r="H32" s="845"/>
      <c r="I32" s="845"/>
      <c r="J32" s="845"/>
      <c r="K32" s="845"/>
      <c r="L32" s="845"/>
      <c r="M32" s="846"/>
      <c r="N32" s="825" t="str">
        <f>VLOOKUP($D$11,調査票①!$A$3:$HK$1735,21,FALSE)&amp;""</f>
        <v/>
      </c>
      <c r="O32" s="825"/>
      <c r="P32" s="825"/>
      <c r="Q32" s="825"/>
      <c r="R32" s="826" t="str">
        <f>VLOOKUP($D$11,調査票①!$A$3:$HK$1735,22,FALSE)&amp;""</f>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100"/>
      <c r="BT32" s="102"/>
      <c r="CB32" s="88"/>
      <c r="CC32" s="93"/>
      <c r="CD32" s="93"/>
      <c r="CE32" s="93"/>
      <c r="CF32" s="93"/>
      <c r="CG32" s="93"/>
      <c r="CH32" s="93"/>
      <c r="CI32" s="93"/>
      <c r="CJ32" s="93"/>
      <c r="CK32" s="93"/>
      <c r="CL32" s="93"/>
      <c r="CM32" s="93"/>
      <c r="CN32" s="93"/>
      <c r="CO32" s="93"/>
      <c r="CP32" s="93"/>
      <c r="CQ32" s="93"/>
      <c r="CR32" s="93"/>
      <c r="CS32" s="93"/>
      <c r="CT32" s="93"/>
      <c r="CU32" s="93"/>
      <c r="CV32" s="93"/>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row>
    <row r="33" spans="3:149" ht="19.75" customHeight="1">
      <c r="C33" s="98"/>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100"/>
      <c r="BT33" s="102"/>
      <c r="CB33" s="121"/>
      <c r="CC33" s="122"/>
      <c r="CD33" s="122"/>
      <c r="CE33" s="96"/>
      <c r="CF33" s="122"/>
      <c r="CG33" s="122"/>
      <c r="CH33" s="122"/>
      <c r="CI33" s="122"/>
      <c r="CJ33" s="96"/>
      <c r="CK33" s="122"/>
      <c r="CL33" s="122"/>
      <c r="CM33" s="122"/>
      <c r="CN33" s="122"/>
      <c r="CO33" s="122"/>
      <c r="CP33" s="96"/>
      <c r="CQ33" s="122"/>
      <c r="CR33" s="122"/>
      <c r="CS33" s="122"/>
      <c r="CT33" s="122"/>
      <c r="CU33" s="96"/>
      <c r="CV33" s="122"/>
      <c r="CW33" s="122"/>
      <c r="CX33" s="122"/>
      <c r="CY33" s="122"/>
      <c r="CZ33" s="122"/>
      <c r="DA33" s="96"/>
      <c r="DB33" s="122"/>
      <c r="DC33" s="122"/>
      <c r="DD33" s="122"/>
      <c r="DE33" s="122"/>
      <c r="DF33" s="96"/>
      <c r="DG33" s="122"/>
      <c r="DH33" s="122"/>
      <c r="DI33" s="122"/>
      <c r="DJ33" s="122"/>
      <c r="DK33" s="122"/>
      <c r="DL33" s="96"/>
      <c r="DM33" s="122"/>
      <c r="DN33" s="122"/>
      <c r="DO33" s="122"/>
      <c r="DP33" s="122"/>
      <c r="DQ33" s="96"/>
      <c r="DR33" s="122"/>
      <c r="DS33" s="122"/>
      <c r="DT33" s="122"/>
      <c r="DU33" s="122"/>
      <c r="DV33" s="122"/>
      <c r="DW33" s="96"/>
      <c r="DX33" s="122"/>
      <c r="DY33" s="122"/>
      <c r="DZ33" s="122"/>
      <c r="EA33" s="122"/>
      <c r="EB33" s="96"/>
      <c r="EC33" s="122"/>
      <c r="ED33" s="122"/>
      <c r="EE33" s="122"/>
      <c r="EF33" s="122"/>
      <c r="EG33" s="122"/>
      <c r="EH33" s="96"/>
      <c r="EI33" s="122"/>
      <c r="EJ33" s="122"/>
      <c r="EK33" s="122"/>
      <c r="EL33" s="122"/>
      <c r="EM33" s="96"/>
      <c r="EN33" s="122"/>
      <c r="EO33" s="122"/>
      <c r="EP33" s="122"/>
      <c r="EQ33" s="96"/>
      <c r="ER33" s="96"/>
      <c r="ES33" s="97"/>
    </row>
    <row r="34" spans="3:149" ht="19.75" customHeight="1">
      <c r="C34" s="98"/>
      <c r="D34" s="844" t="s">
        <v>12338</v>
      </c>
      <c r="E34" s="845"/>
      <c r="F34" s="845"/>
      <c r="G34" s="845"/>
      <c r="H34" s="845"/>
      <c r="I34" s="845"/>
      <c r="J34" s="845"/>
      <c r="K34" s="845"/>
      <c r="L34" s="845"/>
      <c r="M34" s="846"/>
      <c r="N34" s="825" t="str">
        <f>VLOOKUP($D$11,調査票①!$A$3:$HK$1735,24,FALSE)&amp;""</f>
        <v/>
      </c>
      <c r="O34" s="825"/>
      <c r="P34" s="825"/>
      <c r="Q34" s="825"/>
      <c r="R34" s="826" t="str">
        <f>VLOOKUP($D$11,調査票①!$A$3:$HK$1735,25,FALSE)&amp;""</f>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100"/>
      <c r="BT34" s="102"/>
      <c r="CB34" s="111"/>
      <c r="CC34" s="112"/>
      <c r="CD34" s="112"/>
      <c r="CE34" s="100"/>
      <c r="CF34" s="112"/>
      <c r="CG34" s="112"/>
      <c r="CH34" s="112"/>
      <c r="CI34" s="112"/>
      <c r="CJ34" s="100"/>
      <c r="CK34" s="112"/>
      <c r="CL34" s="112"/>
      <c r="CM34" s="112"/>
      <c r="CN34" s="112"/>
      <c r="CO34" s="112"/>
      <c r="CP34" s="100"/>
      <c r="CQ34" s="112"/>
      <c r="CR34" s="112"/>
      <c r="CS34" s="112"/>
      <c r="CT34" s="112"/>
      <c r="CU34" s="100"/>
      <c r="CV34" s="112"/>
      <c r="CW34" s="112"/>
      <c r="CX34" s="112"/>
      <c r="CY34" s="112"/>
      <c r="CZ34" s="112"/>
      <c r="DA34" s="100"/>
      <c r="DB34" s="112"/>
      <c r="DC34" s="112"/>
      <c r="DD34" s="112"/>
      <c r="DE34" s="112"/>
      <c r="DF34" s="100"/>
      <c r="DG34" s="112"/>
      <c r="DH34" s="112"/>
      <c r="DI34" s="112"/>
      <c r="DJ34" s="112"/>
      <c r="DK34" s="112"/>
      <c r="DL34" s="100"/>
      <c r="DM34" s="112"/>
      <c r="DN34" s="112"/>
      <c r="DO34" s="112"/>
      <c r="DP34" s="112"/>
      <c r="DQ34" s="100"/>
      <c r="DR34" s="112"/>
      <c r="DS34" s="112"/>
      <c r="DT34" s="112"/>
      <c r="DU34" s="112"/>
      <c r="DV34" s="112"/>
      <c r="DW34" s="100"/>
      <c r="DX34" s="112"/>
      <c r="DY34" s="112"/>
      <c r="DZ34" s="112"/>
      <c r="EA34" s="112"/>
      <c r="EB34" s="100"/>
      <c r="EC34" s="112"/>
      <c r="ED34" s="112"/>
      <c r="EE34" s="112"/>
      <c r="EF34" s="112"/>
      <c r="EG34" s="112"/>
      <c r="EH34" s="112"/>
      <c r="EI34" s="123" t="s">
        <v>12326</v>
      </c>
      <c r="EJ34" s="116"/>
      <c r="EK34" s="116"/>
      <c r="EL34" s="116"/>
      <c r="EM34" s="116"/>
      <c r="EN34" s="116"/>
      <c r="EO34" s="116"/>
      <c r="EP34" s="116"/>
      <c r="EQ34" s="100"/>
      <c r="ER34" s="100"/>
      <c r="ES34" s="102"/>
    </row>
    <row r="35" spans="3:149" ht="19.75" customHeight="1">
      <c r="C35" s="98"/>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100"/>
      <c r="BT35" s="102"/>
      <c r="CB35" s="111"/>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2"/>
      <c r="CX35" s="112"/>
      <c r="CY35" s="112"/>
      <c r="CZ35" s="112"/>
      <c r="DA35" s="112"/>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2"/>
      <c r="EI35" s="859" t="s">
        <v>70</v>
      </c>
      <c r="EJ35" s="860"/>
      <c r="EK35" s="860"/>
      <c r="EL35" s="860"/>
      <c r="EM35" s="860"/>
      <c r="EN35" s="860"/>
      <c r="EO35" s="860"/>
      <c r="EP35" s="861"/>
      <c r="EQ35" s="100"/>
      <c r="ER35" s="100"/>
      <c r="ES35" s="102"/>
    </row>
    <row r="36" spans="3:149" ht="19.75" customHeight="1">
      <c r="C36" s="98"/>
      <c r="D36" s="844" t="s">
        <v>12341</v>
      </c>
      <c r="E36" s="845"/>
      <c r="F36" s="845"/>
      <c r="G36" s="845"/>
      <c r="H36" s="845"/>
      <c r="I36" s="845"/>
      <c r="J36" s="845"/>
      <c r="K36" s="845"/>
      <c r="L36" s="845"/>
      <c r="M36" s="846"/>
      <c r="N36" s="825" t="str">
        <f>VLOOKUP($D$11,調査票①!$A$3:$HK$1735,27,FALSE)&amp;""</f>
        <v/>
      </c>
      <c r="O36" s="825"/>
      <c r="P36" s="825"/>
      <c r="Q36" s="825"/>
      <c r="R36" s="826" t="str">
        <f>VLOOKUP($D$11,調査票①!$A$3:$HK$1735,28,FALSE)&amp;""</f>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100"/>
      <c r="BT36" s="102"/>
      <c r="CB36" s="111"/>
      <c r="CC36" s="877"/>
      <c r="CD36" s="878"/>
      <c r="CE36" s="878"/>
      <c r="CF36" s="878"/>
      <c r="CG36" s="878"/>
      <c r="CH36" s="878"/>
      <c r="CI36" s="878"/>
      <c r="CJ36" s="878"/>
      <c r="CK36" s="878"/>
      <c r="CL36" s="879"/>
      <c r="CM36" s="877"/>
      <c r="CN36" s="878"/>
      <c r="CO36" s="878"/>
      <c r="CP36" s="878"/>
      <c r="CQ36" s="878"/>
      <c r="CR36" s="878"/>
      <c r="CS36" s="878"/>
      <c r="CT36" s="878"/>
      <c r="CU36" s="878"/>
      <c r="CV36" s="879"/>
      <c r="CW36" s="112"/>
      <c r="CX36" s="112"/>
      <c r="CY36" s="112"/>
      <c r="CZ36" s="112"/>
      <c r="DA36" s="112"/>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2"/>
      <c r="EI36" s="862" t="s">
        <v>12342</v>
      </c>
      <c r="EJ36" s="863"/>
      <c r="EK36" s="863"/>
      <c r="EL36" s="864"/>
      <c r="EM36" s="868" t="s">
        <v>12331</v>
      </c>
      <c r="EN36" s="863"/>
      <c r="EO36" s="863"/>
      <c r="EP36" s="864"/>
      <c r="EQ36" s="100"/>
      <c r="ER36" s="100"/>
      <c r="ES36" s="102"/>
    </row>
    <row r="37" spans="3:149" ht="19.75" customHeight="1">
      <c r="C37" s="98"/>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100"/>
      <c r="BT37" s="102"/>
      <c r="CB37" s="111"/>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2"/>
      <c r="CX37" s="112"/>
      <c r="CY37" s="112"/>
      <c r="CZ37" s="112"/>
      <c r="DA37" s="112"/>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2"/>
      <c r="EI37" s="865"/>
      <c r="EJ37" s="866"/>
      <c r="EK37" s="866"/>
      <c r="EL37" s="867"/>
      <c r="EM37" s="865"/>
      <c r="EN37" s="866"/>
      <c r="EO37" s="866"/>
      <c r="EP37" s="867"/>
      <c r="EQ37" s="100"/>
      <c r="ER37" s="100"/>
      <c r="ES37" s="102"/>
    </row>
    <row r="38" spans="3:149" ht="19.75" customHeight="1">
      <c r="C38" s="98"/>
      <c r="D38" s="844" t="s">
        <v>12351</v>
      </c>
      <c r="E38" s="845"/>
      <c r="F38" s="845"/>
      <c r="G38" s="845"/>
      <c r="H38" s="845"/>
      <c r="I38" s="845"/>
      <c r="J38" s="845"/>
      <c r="K38" s="845"/>
      <c r="L38" s="845"/>
      <c r="M38" s="846"/>
      <c r="N38" s="825" t="str">
        <f>VLOOKUP($D$11,調査票①!$A$3:$HK$1735,30,FALSE)&amp;""</f>
        <v/>
      </c>
      <c r="O38" s="825"/>
      <c r="P38" s="825"/>
      <c r="Q38" s="825"/>
      <c r="R38" s="826" t="str">
        <f>VLOOKUP($D$11,調査票①!$A$3:$HK$1735,31,FALSE)&amp;""</f>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100"/>
      <c r="BT38" s="102"/>
      <c r="CB38" s="111"/>
      <c r="CC38" s="877"/>
      <c r="CD38" s="878"/>
      <c r="CE38" s="878"/>
      <c r="CF38" s="878"/>
      <c r="CG38" s="878"/>
      <c r="CH38" s="878"/>
      <c r="CI38" s="878"/>
      <c r="CJ38" s="878"/>
      <c r="CK38" s="878"/>
      <c r="CL38" s="879"/>
      <c r="CM38" s="877"/>
      <c r="CN38" s="878"/>
      <c r="CO38" s="878"/>
      <c r="CP38" s="878"/>
      <c r="CQ38" s="878"/>
      <c r="CR38" s="878"/>
      <c r="CS38" s="878"/>
      <c r="CT38" s="878"/>
      <c r="CU38" s="878"/>
      <c r="CV38" s="879"/>
      <c r="CW38" s="112"/>
      <c r="CX38" s="112"/>
      <c r="CY38" s="112"/>
      <c r="CZ38" s="112"/>
      <c r="DA38" s="112"/>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2"/>
      <c r="EI38" s="721">
        <f>VLOOKUP($AK$11,導入率!A4:AX37,45,FALSE)</f>
        <v>0.61290322580645162</v>
      </c>
      <c r="EJ38" s="722"/>
      <c r="EK38" s="722"/>
      <c r="EL38" s="723"/>
      <c r="EM38" s="721">
        <f>VLOOKUP($AK$11,導入率!A4:AX37,46,FALSE)</f>
        <v>0.11290322580645161</v>
      </c>
      <c r="EN38" s="722"/>
      <c r="EO38" s="722"/>
      <c r="EP38" s="723"/>
      <c r="EQ38" s="100"/>
      <c r="ER38" s="100"/>
      <c r="ES38" s="102"/>
    </row>
    <row r="39" spans="3:149" ht="19.75" customHeight="1">
      <c r="C39" s="98"/>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100"/>
      <c r="BT39" s="102"/>
      <c r="CB39" s="111"/>
      <c r="CC39" s="112"/>
      <c r="CD39" s="100"/>
      <c r="CE39" s="112"/>
      <c r="CF39" s="112"/>
      <c r="CG39" s="112"/>
      <c r="CH39" s="112"/>
      <c r="CI39" s="100"/>
      <c r="CJ39" s="112"/>
      <c r="CK39" s="112"/>
      <c r="CL39" s="112"/>
      <c r="CM39" s="112"/>
      <c r="CN39" s="112"/>
      <c r="CO39" s="100"/>
      <c r="CP39" s="112"/>
      <c r="CQ39" s="112"/>
      <c r="CR39" s="112"/>
      <c r="CS39" s="112"/>
      <c r="CT39" s="100"/>
      <c r="CU39" s="112"/>
      <c r="CV39" s="112"/>
      <c r="CW39" s="112"/>
      <c r="CX39" s="112"/>
      <c r="CY39" s="112"/>
      <c r="CZ39" s="112"/>
      <c r="DA39" s="112"/>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
      </c>
      <c r="DO39" s="870"/>
      <c r="DP39" s="870"/>
      <c r="DQ39" s="871"/>
      <c r="DR39" s="869" t="str">
        <f>VLOOKUP($D$11,調査票①!$A$3:$HK$1735,206,FALSE)&amp;""</f>
        <v>○</v>
      </c>
      <c r="DS39" s="870"/>
      <c r="DT39" s="870"/>
      <c r="DU39" s="871"/>
      <c r="DV39" s="869" t="str">
        <f>VLOOKUP($D$11,調査票①!$A$3:$HK$1735,207,FALSE)&amp;""</f>
        <v/>
      </c>
      <c r="DW39" s="870"/>
      <c r="DX39" s="870"/>
      <c r="DY39" s="871"/>
      <c r="DZ39" s="869" t="str">
        <f>VLOOKUP($D$11,調査票①!$A$3:$HK$1735,208,FALSE)&amp;""</f>
        <v/>
      </c>
      <c r="EA39" s="870"/>
      <c r="EB39" s="870"/>
      <c r="EC39" s="871"/>
      <c r="ED39" s="869" t="str">
        <f>VLOOKUP($D$11,調査票①!$A$3:$HK$1735,209,FALSE)&amp;""</f>
        <v/>
      </c>
      <c r="EE39" s="870"/>
      <c r="EF39" s="870"/>
      <c r="EG39" s="871"/>
      <c r="EH39" s="112"/>
      <c r="EI39" s="724"/>
      <c r="EJ39" s="725"/>
      <c r="EK39" s="725"/>
      <c r="EL39" s="726"/>
      <c r="EM39" s="724"/>
      <c r="EN39" s="725"/>
      <c r="EO39" s="725"/>
      <c r="EP39" s="726"/>
      <c r="EQ39" s="100"/>
      <c r="ER39" s="100"/>
      <c r="ES39" s="102"/>
    </row>
    <row r="40" spans="3:149" ht="19.75" customHeight="1">
      <c r="C40" s="98"/>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円滑な業務執行を維持しながら、効率的な運営を図ることができる体制を検討していく。</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100"/>
      <c r="BT40" s="102"/>
      <c r="CB40" s="111"/>
      <c r="CC40" s="112"/>
      <c r="CD40" s="112"/>
      <c r="CE40" s="112"/>
      <c r="CF40" s="112"/>
      <c r="CG40" s="112"/>
      <c r="CH40" s="112"/>
      <c r="CI40" s="112"/>
      <c r="CJ40" s="112"/>
      <c r="CK40" s="112"/>
      <c r="CL40" s="112"/>
      <c r="CM40" s="112"/>
      <c r="CN40" s="112"/>
      <c r="CO40" s="100"/>
      <c r="CP40" s="112"/>
      <c r="CQ40" s="112"/>
      <c r="CR40" s="112"/>
      <c r="CS40" s="112"/>
      <c r="CT40" s="100"/>
      <c r="CU40" s="112"/>
      <c r="CV40" s="112"/>
      <c r="CW40" s="112"/>
      <c r="CX40" s="112"/>
      <c r="CY40" s="112"/>
      <c r="CZ40" s="112"/>
      <c r="DA40" s="112"/>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2"/>
      <c r="EI40" s="859" t="s">
        <v>12329</v>
      </c>
      <c r="EJ40" s="860"/>
      <c r="EK40" s="860"/>
      <c r="EL40" s="860"/>
      <c r="EM40" s="860"/>
      <c r="EN40" s="860"/>
      <c r="EO40" s="860"/>
      <c r="EP40" s="861"/>
      <c r="EQ40" s="100"/>
      <c r="ER40" s="100"/>
      <c r="ES40" s="102"/>
    </row>
    <row r="41" spans="3:149" ht="19.75" customHeight="1">
      <c r="C41" s="98"/>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100"/>
      <c r="BT41" s="102"/>
      <c r="CB41" s="111"/>
      <c r="CC41" s="112"/>
      <c r="CD41" s="112"/>
      <c r="CE41" s="112"/>
      <c r="CF41" s="112"/>
      <c r="CG41" s="112"/>
      <c r="CH41" s="112"/>
      <c r="CI41" s="112"/>
      <c r="CJ41" s="112"/>
      <c r="CK41" s="112"/>
      <c r="CL41" s="112"/>
      <c r="CM41" s="112"/>
      <c r="CN41" s="112"/>
      <c r="CO41" s="100"/>
      <c r="CP41" s="112"/>
      <c r="CQ41" s="112"/>
      <c r="CR41" s="112"/>
      <c r="CS41" s="112"/>
      <c r="CT41" s="100"/>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862" t="s">
        <v>12342</v>
      </c>
      <c r="EJ41" s="863"/>
      <c r="EK41" s="863"/>
      <c r="EL41" s="864"/>
      <c r="EM41" s="868" t="s">
        <v>12331</v>
      </c>
      <c r="EN41" s="863"/>
      <c r="EO41" s="863"/>
      <c r="EP41" s="864"/>
      <c r="EQ41" s="100"/>
      <c r="ER41" s="100"/>
      <c r="ES41" s="102"/>
    </row>
    <row r="42" spans="3:149" ht="19.75" customHeight="1">
      <c r="C42" s="98"/>
      <c r="D42" s="844" t="s">
        <v>12353</v>
      </c>
      <c r="E42" s="845"/>
      <c r="F42" s="845"/>
      <c r="G42" s="845"/>
      <c r="H42" s="845"/>
      <c r="I42" s="845"/>
      <c r="J42" s="845"/>
      <c r="K42" s="845"/>
      <c r="L42" s="845"/>
      <c r="M42" s="846"/>
      <c r="N42" s="825" t="str">
        <f>VLOOKUP($D$11,調査票①!$A$3:$HK$1735,36,FALSE)&amp;""</f>
        <v/>
      </c>
      <c r="O42" s="825"/>
      <c r="P42" s="825"/>
      <c r="Q42" s="825"/>
      <c r="R42" s="826" t="str">
        <f>VLOOKUP($D$11,調査票①!$A$3:$HK$1735,37,FALSE)&amp;""</f>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100"/>
      <c r="BT42" s="102"/>
      <c r="CB42" s="111"/>
      <c r="CC42" s="112"/>
      <c r="CD42" s="100"/>
      <c r="CE42" s="112"/>
      <c r="CF42" s="112"/>
      <c r="CG42" s="112"/>
      <c r="CH42" s="112"/>
      <c r="CI42" s="100"/>
      <c r="CJ42" s="112"/>
      <c r="CK42" s="112"/>
      <c r="CL42" s="112"/>
      <c r="CM42" s="112"/>
      <c r="CN42" s="112"/>
      <c r="CO42" s="100"/>
      <c r="CP42" s="112"/>
      <c r="CQ42" s="112"/>
      <c r="CR42" s="112"/>
      <c r="CS42" s="112"/>
      <c r="CT42" s="100"/>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865"/>
      <c r="EJ42" s="866"/>
      <c r="EK42" s="866"/>
      <c r="EL42" s="867"/>
      <c r="EM42" s="865"/>
      <c r="EN42" s="866"/>
      <c r="EO42" s="866"/>
      <c r="EP42" s="867"/>
      <c r="EQ42" s="100"/>
      <c r="ER42" s="100"/>
      <c r="ES42" s="102"/>
    </row>
    <row r="43" spans="3:149" ht="19.75" customHeight="1">
      <c r="C43" s="98"/>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100"/>
      <c r="BT43" s="102"/>
      <c r="CB43" s="111"/>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721">
        <f>調査票①!GQ1731</f>
        <v>0.3346891342242882</v>
      </c>
      <c r="EJ43" s="722"/>
      <c r="EK43" s="722"/>
      <c r="EL43" s="723"/>
      <c r="EM43" s="721">
        <f>調査票①!GR1731</f>
        <v>3.3120278907611857E-2</v>
      </c>
      <c r="EN43" s="722"/>
      <c r="EO43" s="722"/>
      <c r="EP43" s="723"/>
      <c r="EQ43" s="100"/>
      <c r="ER43" s="100"/>
      <c r="ES43" s="102"/>
    </row>
    <row r="44" spans="3:149" ht="19.75" customHeight="1">
      <c r="C44" s="98"/>
      <c r="D44" s="819" t="s">
        <v>12354</v>
      </c>
      <c r="E44" s="820"/>
      <c r="F44" s="820"/>
      <c r="G44" s="820"/>
      <c r="H44" s="820"/>
      <c r="I44" s="820"/>
      <c r="J44" s="820"/>
      <c r="K44" s="820"/>
      <c r="L44" s="820"/>
      <c r="M44" s="821"/>
      <c r="N44" s="825" t="str">
        <f>VLOOKUP($D$11,調査票①!$A$3:$HK$1735,39,FALSE)&amp;""</f>
        <v/>
      </c>
      <c r="O44" s="825"/>
      <c r="P44" s="825"/>
      <c r="Q44" s="825"/>
      <c r="R44" s="826" t="str">
        <f>VLOOKUP($D$11,調査票①!$A$3:$HK$1735,40,FALSE)&amp;""</f>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100"/>
      <c r="BT44" s="102"/>
      <c r="CB44" s="111"/>
      <c r="CC44" s="112"/>
      <c r="CD44" s="112"/>
      <c r="CE44" s="112"/>
      <c r="CF44" s="112"/>
      <c r="CG44" s="112"/>
      <c r="CH44" s="112"/>
      <c r="CI44" s="112"/>
      <c r="CJ44" s="112"/>
      <c r="CK44" s="112"/>
      <c r="CL44" s="112"/>
      <c r="CM44" s="112"/>
      <c r="CN44" s="124" t="s">
        <v>12355</v>
      </c>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724"/>
      <c r="EJ44" s="725"/>
      <c r="EK44" s="725"/>
      <c r="EL44" s="726"/>
      <c r="EM44" s="724"/>
      <c r="EN44" s="725"/>
      <c r="EO44" s="725"/>
      <c r="EP44" s="726"/>
      <c r="EQ44" s="100"/>
      <c r="ER44" s="100"/>
      <c r="ES44" s="102"/>
    </row>
    <row r="45" spans="3:149" ht="19.75" customHeight="1">
      <c r="C45" s="98"/>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100"/>
      <c r="BT45" s="102"/>
      <c r="CB45" s="111"/>
      <c r="CC45" s="112"/>
      <c r="CD45" s="100"/>
      <c r="CE45" s="112"/>
      <c r="CF45" s="112"/>
      <c r="CG45" s="112"/>
      <c r="CH45" s="112"/>
      <c r="CI45" s="100"/>
      <c r="CJ45" s="112"/>
      <c r="CK45" s="112"/>
      <c r="CL45" s="112"/>
      <c r="CM45" s="112"/>
      <c r="CN45" s="125" t="s">
        <v>12356</v>
      </c>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00"/>
      <c r="ER45" s="100"/>
      <c r="ES45" s="102"/>
    </row>
    <row r="46" spans="3:149" ht="19.75" customHeight="1">
      <c r="C46" s="98"/>
      <c r="D46" s="844" t="s">
        <v>12357</v>
      </c>
      <c r="E46" s="845"/>
      <c r="F46" s="845"/>
      <c r="G46" s="845"/>
      <c r="H46" s="845"/>
      <c r="I46" s="845"/>
      <c r="J46" s="845"/>
      <c r="K46" s="845"/>
      <c r="L46" s="845"/>
      <c r="M46" s="846"/>
      <c r="N46" s="825" t="str">
        <f>VLOOKUP($D$11,調査票①!$A$3:$HK$1735,42,FALSE)&amp;""</f>
        <v/>
      </c>
      <c r="O46" s="825"/>
      <c r="P46" s="825"/>
      <c r="Q46" s="825"/>
      <c r="R46" s="826" t="str">
        <f>VLOOKUP($D$11,調査票①!$A$3:$HK$1735,43,FALSE)&amp;""</f>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100"/>
      <c r="BT46" s="102"/>
      <c r="CB46" s="111"/>
      <c r="CC46" s="112"/>
      <c r="CD46" s="112"/>
      <c r="CE46" s="112"/>
      <c r="CF46" s="112"/>
      <c r="CG46" s="112"/>
      <c r="CH46" s="112"/>
      <c r="CI46" s="112"/>
      <c r="CJ46" s="112"/>
      <c r="CK46" s="112"/>
      <c r="CL46" s="112"/>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2"/>
      <c r="EM46" s="112"/>
      <c r="EN46" s="112"/>
      <c r="EO46" s="112"/>
      <c r="EP46" s="112"/>
      <c r="EQ46" s="100"/>
      <c r="ER46" s="100"/>
      <c r="ES46" s="102"/>
    </row>
    <row r="47" spans="3:149" ht="19.75" customHeight="1">
      <c r="C47" s="98"/>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100"/>
      <c r="BT47" s="102"/>
      <c r="CB47" s="111"/>
      <c r="CC47" s="112"/>
      <c r="CD47" s="112"/>
      <c r="CE47" s="112"/>
      <c r="CF47" s="112"/>
      <c r="CG47" s="112"/>
      <c r="CH47" s="112"/>
      <c r="CI47" s="112"/>
      <c r="CJ47" s="112"/>
      <c r="CK47" s="112"/>
      <c r="CL47" s="112"/>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2"/>
      <c r="EM47" s="112"/>
      <c r="EN47" s="112"/>
      <c r="EO47" s="112"/>
      <c r="EP47" s="112"/>
      <c r="EQ47" s="100"/>
      <c r="ER47" s="100"/>
      <c r="ES47" s="102"/>
    </row>
    <row r="48" spans="3:149" ht="19.75" customHeight="1">
      <c r="C48" s="98"/>
      <c r="D48" s="844" t="s">
        <v>12358</v>
      </c>
      <c r="E48" s="845"/>
      <c r="F48" s="845"/>
      <c r="G48" s="845"/>
      <c r="H48" s="845"/>
      <c r="I48" s="845"/>
      <c r="J48" s="845"/>
      <c r="K48" s="845"/>
      <c r="L48" s="845"/>
      <c r="M48" s="846"/>
      <c r="N48" s="825" t="str">
        <f>VLOOKUP($D$11,調査票①!$A$3:$HK$1735,45,FALSE)&amp;""</f>
        <v/>
      </c>
      <c r="O48" s="825"/>
      <c r="P48" s="825"/>
      <c r="Q48" s="825"/>
      <c r="R48" s="826" t="str">
        <f>VLOOKUP($D$11,調査票①!$A$3:$HK$1735,46,FALSE)&amp;""</f>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100"/>
      <c r="BT48" s="102"/>
      <c r="CB48" s="111"/>
      <c r="CC48" s="112"/>
      <c r="CD48" s="112"/>
      <c r="CE48" s="112"/>
      <c r="CF48" s="112"/>
      <c r="CG48" s="112"/>
      <c r="CH48" s="112"/>
      <c r="CI48" s="112"/>
      <c r="CJ48" s="112"/>
      <c r="CK48" s="112"/>
      <c r="CL48" s="112"/>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2"/>
      <c r="EM48" s="112"/>
      <c r="EN48" s="112"/>
      <c r="EO48" s="112"/>
      <c r="EP48" s="112"/>
      <c r="EQ48" s="100"/>
      <c r="ER48" s="100"/>
      <c r="ES48" s="102"/>
    </row>
    <row r="49" spans="1:203" ht="19.75" customHeight="1">
      <c r="C49" s="98"/>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100"/>
      <c r="BT49" s="102"/>
      <c r="CB49" s="111"/>
      <c r="CC49" s="112"/>
      <c r="CD49" s="100"/>
      <c r="CE49" s="112"/>
      <c r="CF49" s="112"/>
      <c r="CG49" s="112"/>
      <c r="CH49" s="112"/>
      <c r="CI49" s="100"/>
      <c r="CJ49" s="112"/>
      <c r="CK49" s="112"/>
      <c r="CL49" s="112"/>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2"/>
      <c r="EM49" s="112"/>
      <c r="EN49" s="112"/>
      <c r="EO49" s="112"/>
      <c r="EP49" s="112"/>
      <c r="EQ49" s="100"/>
      <c r="ER49" s="100"/>
      <c r="ES49" s="102"/>
    </row>
    <row r="50" spans="1:203" ht="19.75" customHeight="1">
      <c r="C50" s="98"/>
      <c r="D50" s="819" t="s">
        <v>12359</v>
      </c>
      <c r="E50" s="820"/>
      <c r="F50" s="820"/>
      <c r="G50" s="820"/>
      <c r="H50" s="820"/>
      <c r="I50" s="820"/>
      <c r="J50" s="820"/>
      <c r="K50" s="820"/>
      <c r="L50" s="820"/>
      <c r="M50" s="821"/>
      <c r="N50" s="825" t="str">
        <f>VLOOKUP($D$11,調査票①!$A$3:$HK$1735,48,FALSE)&amp;""</f>
        <v/>
      </c>
      <c r="O50" s="825"/>
      <c r="P50" s="825"/>
      <c r="Q50" s="825"/>
      <c r="R50" s="826" t="str">
        <f>VLOOKUP($D$11,調査票①!$A$3:$HK$1735,49,FALSE)&amp;""</f>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100"/>
      <c r="BT50" s="102"/>
      <c r="CB50" s="111"/>
      <c r="CC50" s="112"/>
      <c r="CD50" s="112"/>
      <c r="CE50" s="112"/>
      <c r="CF50" s="112"/>
      <c r="CG50" s="112"/>
      <c r="CH50" s="112"/>
      <c r="CI50" s="112"/>
      <c r="CJ50" s="112"/>
      <c r="CK50" s="112"/>
      <c r="CL50" s="112"/>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2"/>
      <c r="EM50" s="112"/>
      <c r="EN50" s="112"/>
      <c r="EO50" s="112"/>
      <c r="EP50" s="112"/>
      <c r="EQ50" s="100"/>
      <c r="ER50" s="100"/>
      <c r="ES50" s="102"/>
    </row>
    <row r="51" spans="1:203" ht="19.75" customHeight="1">
      <c r="C51" s="98"/>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100"/>
      <c r="BT51" s="102"/>
      <c r="CB51" s="111"/>
      <c r="CC51" s="112"/>
      <c r="CD51" s="112"/>
      <c r="CE51" s="112"/>
      <c r="CF51" s="112"/>
      <c r="CG51" s="112"/>
      <c r="CH51" s="112"/>
      <c r="CI51" s="112"/>
      <c r="CJ51" s="112"/>
      <c r="CK51" s="112"/>
      <c r="CL51" s="112"/>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2"/>
      <c r="EM51" s="112"/>
      <c r="EN51" s="112"/>
      <c r="EO51" s="112"/>
      <c r="EP51" s="112"/>
      <c r="EQ51" s="100"/>
      <c r="ER51" s="100"/>
      <c r="ES51" s="102"/>
    </row>
    <row r="52" spans="1:203" ht="19.75" customHeight="1">
      <c r="C52" s="98"/>
      <c r="D52" s="819" t="s">
        <v>12360</v>
      </c>
      <c r="E52" s="820"/>
      <c r="F52" s="820"/>
      <c r="G52" s="820"/>
      <c r="H52" s="820"/>
      <c r="I52" s="820"/>
      <c r="J52" s="820"/>
      <c r="K52" s="820"/>
      <c r="L52" s="820"/>
      <c r="M52" s="821"/>
      <c r="N52" s="825" t="str">
        <f>VLOOKUP($D$11,調査票①!$A$3:$HK$1735,51,FALSE)&amp;""</f>
        <v/>
      </c>
      <c r="O52" s="825"/>
      <c r="P52" s="825"/>
      <c r="Q52" s="825"/>
      <c r="R52" s="826" t="str">
        <f>VLOOKUP($D$11,調査票①!$A$3:$HK$1735,52,FALSE)&amp;""</f>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100"/>
      <c r="BT52" s="102"/>
      <c r="CB52" s="111"/>
      <c r="CC52" s="112"/>
      <c r="CD52" s="112"/>
      <c r="CE52" s="112"/>
      <c r="CF52" s="126"/>
      <c r="CG52" s="126"/>
      <c r="CH52" s="126"/>
      <c r="CI52" s="126"/>
      <c r="CJ52" s="126"/>
      <c r="CK52" s="126"/>
      <c r="CL52" s="126"/>
      <c r="CM52" s="126"/>
      <c r="CN52" s="126"/>
      <c r="CO52" s="126"/>
      <c r="CP52" s="126"/>
      <c r="CQ52" s="112"/>
      <c r="CR52" s="112"/>
      <c r="CS52" s="112"/>
      <c r="CT52" s="112"/>
      <c r="CU52" s="112"/>
      <c r="CV52" s="112"/>
      <c r="CW52" s="112"/>
      <c r="CX52" s="112"/>
      <c r="CY52" s="112"/>
      <c r="CZ52" s="112"/>
      <c r="DA52" s="112"/>
      <c r="DB52" s="112"/>
      <c r="DC52" s="112"/>
      <c r="DD52" s="112"/>
      <c r="DE52" s="112"/>
      <c r="DF52" s="112"/>
      <c r="DG52" s="112"/>
      <c r="DH52" s="112"/>
      <c r="DI52" s="112"/>
      <c r="DJ52" s="100"/>
      <c r="DK52" s="112"/>
      <c r="DL52" s="112"/>
      <c r="DM52" s="112"/>
      <c r="DN52" s="112"/>
      <c r="DO52" s="112"/>
      <c r="DP52" s="112"/>
      <c r="DQ52" s="112"/>
      <c r="DR52" s="112"/>
      <c r="DS52" s="112"/>
      <c r="DT52" s="100"/>
      <c r="DU52" s="112"/>
      <c r="DV52" s="112"/>
      <c r="DW52" s="112"/>
      <c r="DX52" s="112"/>
      <c r="DY52" s="100"/>
      <c r="DZ52" s="112"/>
      <c r="EA52" s="112"/>
      <c r="EB52" s="112"/>
      <c r="EC52" s="112"/>
      <c r="ED52" s="112"/>
      <c r="EE52" s="112"/>
      <c r="EF52" s="112"/>
      <c r="EG52" s="112"/>
      <c r="EH52" s="112"/>
      <c r="EI52" s="100"/>
      <c r="EJ52" s="112"/>
      <c r="EK52" s="112"/>
      <c r="EL52" s="112"/>
      <c r="EM52" s="112"/>
      <c r="EN52" s="112"/>
      <c r="EO52" s="112"/>
      <c r="EP52" s="112"/>
      <c r="EQ52" s="100"/>
      <c r="ER52" s="100"/>
      <c r="ES52" s="102"/>
    </row>
    <row r="53" spans="1:203" ht="19.75" customHeight="1">
      <c r="C53" s="98"/>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100"/>
      <c r="BT53" s="102"/>
      <c r="CB53" s="111"/>
      <c r="CC53" s="112"/>
      <c r="CD53" s="99" t="s">
        <v>12361</v>
      </c>
      <c r="CE53" s="105"/>
      <c r="CF53" s="105"/>
      <c r="CG53" s="105"/>
      <c r="CH53" s="105"/>
      <c r="CI53" s="105"/>
      <c r="CJ53" s="105"/>
      <c r="CK53" s="105"/>
      <c r="CL53" s="105"/>
      <c r="CM53" s="105"/>
      <c r="CN53" s="105"/>
      <c r="CO53" s="105"/>
      <c r="CP53" s="105"/>
      <c r="CQ53" s="112"/>
      <c r="CR53" s="112"/>
      <c r="CS53" s="112"/>
      <c r="CT53" s="112"/>
      <c r="CU53" s="112"/>
      <c r="CV53" s="112"/>
      <c r="CW53" s="112"/>
      <c r="CX53" s="112"/>
      <c r="CY53" s="112"/>
      <c r="CZ53" s="112"/>
      <c r="DA53" s="112"/>
      <c r="DB53" s="112"/>
      <c r="DC53" s="112"/>
      <c r="DD53" s="112"/>
      <c r="DE53" s="112"/>
      <c r="DF53" s="112"/>
      <c r="DG53" s="112"/>
      <c r="DH53" s="112"/>
      <c r="DI53" s="112"/>
      <c r="DJ53" s="100"/>
      <c r="DK53" s="112"/>
      <c r="DL53" s="112"/>
      <c r="DM53" s="112"/>
      <c r="DN53" s="112"/>
      <c r="DO53" s="112"/>
      <c r="DP53" s="112"/>
      <c r="DQ53" s="112"/>
      <c r="DR53" s="112"/>
      <c r="DS53" s="112"/>
      <c r="DT53" s="100"/>
      <c r="DU53" s="112"/>
      <c r="DV53" s="112"/>
      <c r="DW53" s="112"/>
      <c r="DX53" s="112"/>
      <c r="DY53" s="100"/>
      <c r="DZ53" s="112"/>
      <c r="EA53" s="112"/>
      <c r="EB53" s="112"/>
      <c r="EC53" s="112"/>
      <c r="ED53" s="112"/>
      <c r="EE53" s="112"/>
      <c r="EF53" s="112"/>
      <c r="EG53" s="112"/>
      <c r="EH53" s="112"/>
      <c r="EI53" s="100"/>
      <c r="EJ53" s="112"/>
      <c r="EK53" s="112"/>
      <c r="EL53" s="112"/>
      <c r="EM53" s="112"/>
      <c r="EN53" s="112"/>
      <c r="EO53" s="112"/>
      <c r="EP53" s="112"/>
      <c r="EQ53" s="100"/>
      <c r="ER53" s="100"/>
      <c r="ES53" s="102"/>
    </row>
    <row r="54" spans="1:203" ht="19.75" customHeight="1">
      <c r="C54" s="98"/>
      <c r="D54" s="844" t="s">
        <v>12362</v>
      </c>
      <c r="E54" s="845"/>
      <c r="F54" s="845"/>
      <c r="G54" s="845"/>
      <c r="H54" s="845"/>
      <c r="I54" s="845"/>
      <c r="J54" s="845"/>
      <c r="K54" s="845"/>
      <c r="L54" s="845"/>
      <c r="M54" s="846"/>
      <c r="N54" s="825" t="str">
        <f>VLOOKUP($D$11,調査票①!$A$3:$HK$1735,54,FALSE)&amp;""</f>
        <v/>
      </c>
      <c r="O54" s="825"/>
      <c r="P54" s="825"/>
      <c r="Q54" s="825"/>
      <c r="R54" s="826" t="str">
        <f>VLOOKUP($D$11,調査票①!$A$3:$HK$1735,55,FALSE)&amp;""</f>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100"/>
      <c r="BT54" s="102"/>
      <c r="CB54" s="111"/>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2"/>
      <c r="CX54" s="112"/>
      <c r="CY54" s="112"/>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100"/>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00"/>
      <c r="ER54" s="100"/>
      <c r="ES54" s="102"/>
    </row>
    <row r="55" spans="1:203" ht="19.75" customHeight="1">
      <c r="C55" s="98"/>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100"/>
      <c r="BT55" s="102"/>
      <c r="CA55" s="82"/>
      <c r="CB55" s="111"/>
      <c r="CC55" s="810"/>
      <c r="CD55" s="811"/>
      <c r="CE55" s="811"/>
      <c r="CF55" s="811"/>
      <c r="CG55" s="811"/>
      <c r="CH55" s="811"/>
      <c r="CI55" s="811"/>
      <c r="CJ55" s="811"/>
      <c r="CK55" s="811"/>
      <c r="CL55" s="812"/>
      <c r="CM55" s="816"/>
      <c r="CN55" s="816"/>
      <c r="CO55" s="816"/>
      <c r="CP55" s="816"/>
      <c r="CQ55" s="816"/>
      <c r="CR55" s="816"/>
      <c r="CS55" s="816"/>
      <c r="CT55" s="816"/>
      <c r="CU55" s="816"/>
      <c r="CV55" s="816"/>
      <c r="CW55" s="112"/>
      <c r="CX55" s="112"/>
      <c r="CY55" s="112"/>
      <c r="CZ55" s="817"/>
      <c r="DA55" s="817"/>
      <c r="DB55" s="817"/>
      <c r="DC55" s="817"/>
      <c r="DD55" s="817"/>
      <c r="DE55" s="817"/>
      <c r="DF55" s="817"/>
      <c r="DG55" s="817"/>
      <c r="DH55" s="817"/>
      <c r="DI55" s="818"/>
      <c r="DJ55" s="818"/>
      <c r="DK55" s="818"/>
      <c r="DL55" s="818"/>
      <c r="DM55" s="818"/>
      <c r="DN55" s="818"/>
      <c r="DO55" s="818"/>
      <c r="DP55" s="818"/>
      <c r="DQ55" s="818"/>
      <c r="DR55" s="818"/>
      <c r="DS55" s="818"/>
      <c r="DT55" s="100"/>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00"/>
      <c r="ER55" s="100"/>
      <c r="ES55" s="102"/>
    </row>
    <row r="56" spans="1:203" ht="19.75" customHeight="1">
      <c r="C56" s="98"/>
      <c r="D56" s="127" t="s">
        <v>15734</v>
      </c>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8"/>
      <c r="AC56" s="128"/>
      <c r="AD56" s="129"/>
      <c r="AE56" s="129"/>
      <c r="AF56" s="129"/>
      <c r="AG56" s="129"/>
      <c r="AH56" s="129"/>
      <c r="AI56" s="129"/>
      <c r="AJ56" s="129"/>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2"/>
      <c r="CA56" s="82"/>
      <c r="CB56" s="111"/>
      <c r="CC56" s="813"/>
      <c r="CD56" s="814"/>
      <c r="CE56" s="814"/>
      <c r="CF56" s="814"/>
      <c r="CG56" s="814"/>
      <c r="CH56" s="814"/>
      <c r="CI56" s="814"/>
      <c r="CJ56" s="814"/>
      <c r="CK56" s="814"/>
      <c r="CL56" s="815"/>
      <c r="CM56" s="816"/>
      <c r="CN56" s="816"/>
      <c r="CO56" s="816"/>
      <c r="CP56" s="816"/>
      <c r="CQ56" s="816"/>
      <c r="CR56" s="816"/>
      <c r="CS56" s="816"/>
      <c r="CT56" s="816"/>
      <c r="CU56" s="816"/>
      <c r="CV56" s="816"/>
      <c r="CW56" s="112"/>
      <c r="CX56" s="112"/>
      <c r="CY56" s="112"/>
      <c r="CZ56" s="817"/>
      <c r="DA56" s="817"/>
      <c r="DB56" s="817"/>
      <c r="DC56" s="817"/>
      <c r="DD56" s="817"/>
      <c r="DE56" s="817"/>
      <c r="DF56" s="817"/>
      <c r="DG56" s="817"/>
      <c r="DH56" s="817"/>
      <c r="DI56" s="818"/>
      <c r="DJ56" s="818"/>
      <c r="DK56" s="818"/>
      <c r="DL56" s="818"/>
      <c r="DM56" s="818"/>
      <c r="DN56" s="818"/>
      <c r="DO56" s="818"/>
      <c r="DP56" s="818"/>
      <c r="DQ56" s="818"/>
      <c r="DR56" s="818"/>
      <c r="DS56" s="818"/>
      <c r="DT56" s="100"/>
      <c r="DU56" s="112"/>
      <c r="DV56" s="112"/>
      <c r="DW56" s="112"/>
      <c r="DX56" s="112"/>
      <c r="DY56" s="100"/>
      <c r="DZ56" s="112"/>
      <c r="EA56" s="112"/>
      <c r="EB56" s="112"/>
      <c r="EC56" s="112"/>
      <c r="ED56" s="112"/>
      <c r="EE56" s="112"/>
      <c r="EF56" s="112"/>
      <c r="EG56" s="112"/>
      <c r="EH56" s="112"/>
      <c r="EI56" s="100"/>
      <c r="EJ56" s="112"/>
      <c r="EK56" s="112"/>
      <c r="EL56" s="112"/>
      <c r="EM56" s="112"/>
      <c r="EN56" s="112"/>
      <c r="EO56" s="112"/>
      <c r="EP56" s="112"/>
      <c r="EQ56" s="100"/>
      <c r="ER56" s="100"/>
      <c r="ES56" s="102"/>
    </row>
    <row r="57" spans="1:203" ht="19.75" customHeight="1">
      <c r="C57" s="117"/>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1"/>
      <c r="AC57" s="131"/>
      <c r="AD57" s="132"/>
      <c r="AE57" s="132"/>
      <c r="AF57" s="132"/>
      <c r="AG57" s="132"/>
      <c r="AH57" s="132"/>
      <c r="AI57" s="132"/>
      <c r="AJ57" s="132"/>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c r="BM57" s="119"/>
      <c r="BN57" s="119"/>
      <c r="BO57" s="119"/>
      <c r="BP57" s="119"/>
      <c r="BQ57" s="119"/>
      <c r="BR57" s="119"/>
      <c r="BS57" s="119"/>
      <c r="BT57" s="120"/>
      <c r="CA57" s="82"/>
      <c r="CB57" s="133"/>
      <c r="CC57" s="106"/>
      <c r="CD57" s="106"/>
      <c r="CE57" s="106"/>
      <c r="CF57" s="106"/>
      <c r="CG57" s="119"/>
      <c r="CH57" s="119"/>
      <c r="CI57" s="119"/>
      <c r="CJ57" s="119"/>
      <c r="CK57" s="106"/>
      <c r="CL57" s="106"/>
      <c r="CM57" s="106"/>
      <c r="CN57" s="106"/>
      <c r="CO57" s="106"/>
      <c r="CP57" s="106"/>
      <c r="CQ57" s="119"/>
      <c r="CR57" s="119"/>
      <c r="CS57" s="106"/>
      <c r="CT57" s="106"/>
      <c r="CU57" s="106"/>
      <c r="CV57" s="106"/>
      <c r="CW57" s="106"/>
      <c r="CX57" s="119"/>
      <c r="CY57" s="119"/>
      <c r="CZ57" s="119"/>
      <c r="DA57" s="119"/>
      <c r="DB57" s="106"/>
      <c r="DC57" s="106"/>
      <c r="DD57" s="106"/>
      <c r="DE57" s="106"/>
      <c r="DF57" s="106"/>
      <c r="DG57" s="106"/>
      <c r="DH57" s="119"/>
      <c r="DI57" s="119"/>
      <c r="DJ57" s="106"/>
      <c r="DK57" s="106"/>
      <c r="DL57" s="106"/>
      <c r="DM57" s="119"/>
      <c r="DN57" s="119"/>
      <c r="DO57" s="119"/>
      <c r="DP57" s="119"/>
      <c r="DQ57" s="106"/>
      <c r="DR57" s="106"/>
      <c r="DS57" s="106"/>
      <c r="DT57" s="106"/>
      <c r="DU57" s="106"/>
      <c r="DV57" s="119"/>
      <c r="DW57" s="119"/>
      <c r="DX57" s="119"/>
      <c r="DY57" s="119"/>
      <c r="DZ57" s="106"/>
      <c r="EA57" s="106"/>
      <c r="EB57" s="106"/>
      <c r="EC57" s="106"/>
      <c r="ED57" s="106"/>
      <c r="EE57" s="106"/>
      <c r="EF57" s="119"/>
      <c r="EG57" s="119"/>
      <c r="EH57" s="119"/>
      <c r="EI57" s="119"/>
      <c r="EJ57" s="106"/>
      <c r="EK57" s="106"/>
      <c r="EL57" s="106"/>
      <c r="EM57" s="106"/>
      <c r="EN57" s="119"/>
      <c r="EO57" s="119"/>
      <c r="EP57" s="119"/>
      <c r="EQ57" s="119"/>
      <c r="ER57" s="119"/>
      <c r="ES57" s="120"/>
    </row>
    <row r="58" spans="1:203" ht="19.75" customHeight="1">
      <c r="C58" s="85"/>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5"/>
      <c r="AC58" s="135"/>
      <c r="AD58" s="136"/>
      <c r="AE58" s="136"/>
      <c r="AF58" s="136"/>
      <c r="AG58" s="136"/>
      <c r="AH58" s="136"/>
      <c r="AI58" s="136"/>
      <c r="AJ58" s="136"/>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CA58" s="82"/>
      <c r="CB58" s="137"/>
      <c r="CC58" s="137"/>
      <c r="CD58" s="137"/>
      <c r="CE58" s="137"/>
      <c r="CF58" s="137"/>
      <c r="CG58" s="85"/>
      <c r="CH58" s="85"/>
      <c r="CI58" s="85"/>
      <c r="CJ58" s="85"/>
      <c r="CK58" s="137"/>
      <c r="CL58" s="137"/>
      <c r="CM58" s="137"/>
      <c r="CN58" s="137"/>
      <c r="CO58" s="137"/>
      <c r="CP58" s="138"/>
      <c r="CQ58" s="85"/>
      <c r="CR58" s="85"/>
      <c r="CS58" s="137"/>
      <c r="CT58" s="137"/>
      <c r="CU58" s="137"/>
      <c r="CV58" s="137"/>
      <c r="CW58" s="137"/>
      <c r="CX58" s="85"/>
      <c r="CY58" s="85"/>
      <c r="CZ58" s="85"/>
      <c r="DA58" s="85"/>
      <c r="DB58" s="137"/>
      <c r="DC58" s="137"/>
      <c r="DD58" s="137"/>
      <c r="DE58" s="137"/>
      <c r="DF58" s="137"/>
      <c r="DG58" s="137"/>
      <c r="DH58" s="85"/>
      <c r="DI58" s="85"/>
      <c r="DJ58" s="137"/>
      <c r="DK58" s="137"/>
      <c r="DL58" s="137"/>
      <c r="DM58" s="85"/>
      <c r="DN58" s="85"/>
      <c r="DO58" s="85"/>
      <c r="DP58" s="85"/>
      <c r="DQ58" s="137"/>
      <c r="DR58" s="137"/>
      <c r="DS58" s="137"/>
      <c r="DT58" s="137"/>
      <c r="DU58" s="137"/>
      <c r="DV58" s="85"/>
      <c r="DW58" s="85"/>
      <c r="DX58" s="85"/>
      <c r="DY58" s="85"/>
      <c r="DZ58" s="137"/>
      <c r="EA58" s="137"/>
      <c r="EB58" s="137"/>
      <c r="EC58" s="137"/>
      <c r="ED58" s="137"/>
      <c r="EE58" s="137"/>
      <c r="EF58" s="85"/>
      <c r="EG58" s="85"/>
      <c r="EH58" s="85"/>
      <c r="EI58" s="85"/>
      <c r="EJ58" s="137"/>
      <c r="EK58" s="137"/>
      <c r="EL58" s="137"/>
      <c r="EM58" s="137"/>
      <c r="EN58" s="85"/>
      <c r="EO58" s="85"/>
      <c r="EP58" s="85"/>
      <c r="EQ58" s="85"/>
      <c r="ER58" s="85"/>
      <c r="ES58" s="85"/>
    </row>
    <row r="59" spans="1:203" ht="19.75" customHeight="1">
      <c r="C59" s="85"/>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5"/>
      <c r="AC59" s="135"/>
      <c r="AD59" s="136"/>
      <c r="AE59" s="136"/>
      <c r="AF59" s="136"/>
      <c r="AG59" s="136"/>
      <c r="AH59" s="136"/>
      <c r="AI59" s="136"/>
      <c r="AJ59" s="136"/>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CA59" s="82"/>
      <c r="CB59" s="88"/>
      <c r="CC59" s="88"/>
      <c r="CD59" s="88"/>
      <c r="CE59" s="88"/>
      <c r="CF59" s="88"/>
      <c r="CG59" s="88"/>
      <c r="CH59" s="88"/>
      <c r="CI59" s="88"/>
      <c r="CJ59" s="88"/>
      <c r="CK59" s="88"/>
      <c r="CL59" s="85"/>
      <c r="CM59" s="85"/>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row>
    <row r="60" spans="1:203" ht="19.75" customHeight="1">
      <c r="C60" s="85"/>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5"/>
      <c r="AC60" s="135"/>
      <c r="AD60" s="136"/>
      <c r="AE60" s="136"/>
      <c r="AF60" s="136"/>
      <c r="AG60" s="136"/>
      <c r="AH60" s="136"/>
      <c r="AI60" s="136"/>
      <c r="AJ60" s="136"/>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CC60" s="93"/>
      <c r="CX60" s="139"/>
      <c r="CY60" s="139"/>
      <c r="CZ60" s="139"/>
      <c r="DA60" s="139"/>
      <c r="DB60" s="139"/>
      <c r="DC60" s="139"/>
      <c r="EW60" s="82"/>
      <c r="EX60" s="8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2"/>
      <c r="FX60" s="82"/>
      <c r="FY60" s="82"/>
      <c r="FZ60" s="82"/>
      <c r="GA60" s="82"/>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40"/>
      <c r="BN61" s="140"/>
      <c r="BO61" s="140"/>
      <c r="BP61" s="141"/>
      <c r="BQ61" s="82"/>
      <c r="BR61" s="142"/>
      <c r="BU61" s="82"/>
      <c r="CB61" s="94"/>
      <c r="CC61" s="95"/>
      <c r="CD61" s="95"/>
      <c r="CE61" s="95"/>
      <c r="CF61" s="95"/>
      <c r="CG61" s="95"/>
      <c r="CH61" s="95"/>
      <c r="CI61" s="95"/>
      <c r="CJ61" s="95"/>
      <c r="CK61" s="95"/>
      <c r="CL61" s="95"/>
      <c r="CM61" s="95"/>
      <c r="CN61" s="95"/>
      <c r="CO61" s="95"/>
      <c r="CP61" s="95"/>
      <c r="CQ61" s="95"/>
      <c r="CR61" s="95"/>
      <c r="CS61" s="95"/>
      <c r="CT61" s="95"/>
      <c r="CU61" s="95"/>
      <c r="CV61" s="95"/>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c r="EJ61" s="96"/>
      <c r="EK61" s="96" t="s">
        <v>12326</v>
      </c>
      <c r="EL61" s="96"/>
      <c r="EM61" s="96"/>
      <c r="EN61" s="96"/>
      <c r="EO61" s="96"/>
      <c r="EP61" s="96"/>
      <c r="EQ61" s="118"/>
      <c r="ER61" s="118"/>
      <c r="ES61" s="97"/>
      <c r="EW61" s="82"/>
      <c r="EX61" s="8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2"/>
      <c r="FX61" s="82"/>
      <c r="FY61" s="82"/>
      <c r="FZ61" s="82"/>
      <c r="GA61" s="82"/>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5"/>
      <c r="C62" s="94"/>
      <c r="D62" s="95"/>
      <c r="E62" s="95"/>
      <c r="F62" s="95"/>
      <c r="G62" s="95"/>
      <c r="H62" s="95"/>
      <c r="I62" s="95"/>
      <c r="J62" s="95"/>
      <c r="K62" s="95"/>
      <c r="L62" s="95"/>
      <c r="M62" s="95"/>
      <c r="N62" s="95"/>
      <c r="O62" s="95"/>
      <c r="P62" s="95"/>
      <c r="Q62" s="95"/>
      <c r="R62" s="95"/>
      <c r="S62" s="95"/>
      <c r="T62" s="95"/>
      <c r="U62" s="95"/>
      <c r="V62" s="95"/>
      <c r="W62" s="95"/>
      <c r="X62" s="95"/>
      <c r="Y62" s="95"/>
      <c r="Z62" s="95"/>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143"/>
      <c r="BN62" s="143"/>
      <c r="BO62" s="143"/>
      <c r="BP62" s="96"/>
      <c r="BQ62" s="96"/>
      <c r="BR62" s="96"/>
      <c r="BS62" s="96"/>
      <c r="BT62" s="97"/>
      <c r="CB62" s="98"/>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99"/>
      <c r="DE62" s="99"/>
      <c r="DF62" s="99"/>
      <c r="DG62" s="99"/>
      <c r="DH62" s="99"/>
      <c r="DI62" s="99"/>
      <c r="DJ62" s="99"/>
      <c r="DK62" s="99"/>
      <c r="DL62" s="99"/>
      <c r="DM62" s="99"/>
      <c r="DN62" s="99"/>
      <c r="DO62" s="99"/>
      <c r="DP62" s="99"/>
      <c r="DQ62" s="99"/>
      <c r="DR62" s="99"/>
      <c r="DS62" s="99"/>
      <c r="DT62" s="99"/>
      <c r="DU62" s="99"/>
      <c r="DV62" s="99"/>
      <c r="DW62" s="99"/>
      <c r="DX62" s="211"/>
      <c r="DY62" s="211"/>
      <c r="DZ62" s="211"/>
      <c r="EA62" s="211"/>
      <c r="EB62" s="211"/>
      <c r="EC62" s="211"/>
      <c r="ED62" s="211"/>
      <c r="EE62" s="211"/>
      <c r="EF62" s="211"/>
      <c r="EG62" s="211"/>
      <c r="EH62" s="211"/>
      <c r="EI62" s="211"/>
      <c r="EJ62" s="100"/>
      <c r="EK62" s="800" t="s">
        <v>12364</v>
      </c>
      <c r="EL62" s="801"/>
      <c r="EM62" s="801"/>
      <c r="EN62" s="801"/>
      <c r="EO62" s="801"/>
      <c r="EP62" s="801"/>
      <c r="EQ62" s="801"/>
      <c r="ER62" s="802"/>
      <c r="ES62" s="144"/>
      <c r="EW62" s="82"/>
      <c r="EX62" s="8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2"/>
      <c r="FX62" s="82"/>
      <c r="FY62" s="82"/>
      <c r="FZ62" s="82"/>
      <c r="GA62" s="82"/>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8"/>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46"/>
      <c r="BN63" s="146"/>
      <c r="BO63" s="100"/>
      <c r="BP63" s="100"/>
      <c r="BQ63" s="100"/>
      <c r="BR63" s="100"/>
      <c r="BS63" s="100"/>
      <c r="BT63" s="102"/>
      <c r="BW63" s="108"/>
      <c r="BX63" s="108"/>
      <c r="CB63" s="98"/>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100"/>
      <c r="DB63" s="100"/>
      <c r="DC63" s="100"/>
      <c r="DD63" s="99"/>
      <c r="DE63" s="99"/>
      <c r="DF63" s="99"/>
      <c r="DG63" s="99"/>
      <c r="DH63" s="99"/>
      <c r="DI63" s="99"/>
      <c r="DJ63" s="99"/>
      <c r="DK63" s="99"/>
      <c r="DL63" s="99"/>
      <c r="DM63" s="99"/>
      <c r="DN63" s="99"/>
      <c r="DO63" s="99"/>
      <c r="DP63" s="99"/>
      <c r="DQ63" s="99"/>
      <c r="DR63" s="99"/>
      <c r="DS63" s="99"/>
      <c r="DT63" s="99"/>
      <c r="DU63" s="99"/>
      <c r="DV63" s="99"/>
      <c r="DW63" s="99"/>
      <c r="DX63" s="211"/>
      <c r="DY63" s="211"/>
      <c r="DZ63" s="211"/>
      <c r="EA63" s="211"/>
      <c r="EB63" s="211"/>
      <c r="EC63" s="211"/>
      <c r="ED63" s="211"/>
      <c r="EE63" s="211"/>
      <c r="EF63" s="211"/>
      <c r="EG63" s="211"/>
      <c r="EH63" s="211"/>
      <c r="EI63" s="211"/>
      <c r="EJ63" s="208"/>
      <c r="EK63" s="803"/>
      <c r="EL63" s="804"/>
      <c r="EM63" s="804"/>
      <c r="EN63" s="804"/>
      <c r="EO63" s="804"/>
      <c r="EP63" s="804"/>
      <c r="EQ63" s="804"/>
      <c r="ER63" s="805"/>
      <c r="ES63" s="102"/>
      <c r="EW63" s="82"/>
      <c r="EX63" s="8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2"/>
      <c r="FX63" s="82"/>
      <c r="FY63" s="82"/>
      <c r="FZ63" s="82"/>
      <c r="GA63" s="82"/>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8"/>
      <c r="D64" s="100"/>
      <c r="E64" s="100"/>
      <c r="F64" s="100"/>
      <c r="G64" s="100"/>
      <c r="H64" s="100"/>
      <c r="I64" s="100"/>
      <c r="J64" s="100"/>
      <c r="K64" s="100"/>
      <c r="L64" s="100"/>
      <c r="M64" s="100"/>
      <c r="N64" s="100"/>
      <c r="O64" s="100"/>
      <c r="P64" s="100"/>
      <c r="Q64" s="100"/>
      <c r="R64" s="100"/>
      <c r="S64" s="100"/>
      <c r="T64" s="100"/>
      <c r="U64" s="100"/>
      <c r="V64" s="145"/>
      <c r="W64" s="145"/>
      <c r="X64" s="145"/>
      <c r="Y64" s="145"/>
      <c r="Z64" s="145"/>
      <c r="AA64" s="145"/>
      <c r="AB64" s="145"/>
      <c r="AC64" s="145"/>
      <c r="AD64" s="145"/>
      <c r="AE64" s="145"/>
      <c r="AF64" s="145"/>
      <c r="AG64" s="145"/>
      <c r="AH64" s="145"/>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806" t="s">
        <v>12326</v>
      </c>
      <c r="BK64" s="806"/>
      <c r="BL64" s="806"/>
      <c r="BM64" s="806"/>
      <c r="BN64" s="806"/>
      <c r="BO64" s="806"/>
      <c r="BP64" s="806"/>
      <c r="BQ64" s="806"/>
      <c r="BR64" s="806"/>
      <c r="BS64" s="100"/>
      <c r="BT64" s="102"/>
      <c r="BW64" s="108"/>
      <c r="BX64" s="108"/>
      <c r="CB64" s="98"/>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100"/>
      <c r="DB64" s="100"/>
      <c r="DC64" s="100"/>
      <c r="DD64" s="125"/>
      <c r="DE64" s="125"/>
      <c r="DF64" s="125"/>
      <c r="DG64" s="125"/>
      <c r="DH64" s="125"/>
      <c r="DI64" s="125"/>
      <c r="DJ64" s="125"/>
      <c r="DK64" s="125"/>
      <c r="DL64" s="147"/>
      <c r="DM64" s="147"/>
      <c r="DN64" s="147"/>
      <c r="DO64" s="147"/>
      <c r="DP64" s="147"/>
      <c r="DQ64" s="147"/>
      <c r="DR64" s="147"/>
      <c r="DS64" s="147"/>
      <c r="DT64" s="147"/>
      <c r="DU64" s="147"/>
      <c r="DV64" s="147"/>
      <c r="DW64" s="147"/>
      <c r="DX64" s="212"/>
      <c r="DY64" s="212"/>
      <c r="DZ64" s="212"/>
      <c r="EA64" s="212"/>
      <c r="EB64" s="212"/>
      <c r="EC64" s="212"/>
      <c r="ED64" s="212"/>
      <c r="EE64" s="212"/>
      <c r="EF64" s="212"/>
      <c r="EG64" s="212"/>
      <c r="EH64" s="212"/>
      <c r="EI64" s="212"/>
      <c r="EJ64" s="209"/>
      <c r="EK64" s="758" t="s">
        <v>12366</v>
      </c>
      <c r="EL64" s="759"/>
      <c r="EM64" s="759"/>
      <c r="EN64" s="760"/>
      <c r="EO64" s="764" t="s">
        <v>12367</v>
      </c>
      <c r="EP64" s="759"/>
      <c r="EQ64" s="759"/>
      <c r="ER64" s="760"/>
      <c r="ES64" s="10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8"/>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100"/>
      <c r="BT65" s="102"/>
      <c r="BU65" s="108"/>
      <c r="BV65" s="108"/>
      <c r="CB65" s="98"/>
      <c r="CC65" s="99"/>
      <c r="CD65" s="698" t="s">
        <v>42</v>
      </c>
      <c r="CE65" s="698"/>
      <c r="CF65" s="698"/>
      <c r="CG65" s="698"/>
      <c r="CH65" s="698"/>
      <c r="CI65" s="698"/>
      <c r="CJ65" s="698"/>
      <c r="CK65" s="698"/>
      <c r="CL65" s="698"/>
      <c r="CM65" s="698"/>
      <c r="CN65" s="698" t="str">
        <f>VLOOKUP($D$11,調査票①!$A$3:$HK$1735,212,FALSE)&amp;""</f>
        <v/>
      </c>
      <c r="CO65" s="698"/>
      <c r="CP65" s="698"/>
      <c r="CQ65" s="698"/>
      <c r="CR65" s="698"/>
      <c r="CS65" s="698"/>
      <c r="CT65" s="698"/>
      <c r="CU65" s="698"/>
      <c r="CV65" s="698"/>
      <c r="CW65" s="698"/>
      <c r="CX65" s="698"/>
      <c r="CY65" s="698"/>
      <c r="CZ65" s="698"/>
      <c r="DA65" s="698"/>
      <c r="DB65" s="100"/>
      <c r="DC65" s="100"/>
      <c r="DD65" s="125"/>
      <c r="DE65" s="125"/>
      <c r="DF65" s="125"/>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2"/>
      <c r="EG65" s="212"/>
      <c r="EH65" s="212"/>
      <c r="EI65" s="212"/>
      <c r="EJ65" s="210"/>
      <c r="EK65" s="761"/>
      <c r="EL65" s="762"/>
      <c r="EM65" s="762"/>
      <c r="EN65" s="763"/>
      <c r="EO65" s="761"/>
      <c r="EP65" s="762"/>
      <c r="EQ65" s="762"/>
      <c r="ER65" s="763"/>
      <c r="ES65" s="10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8"/>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100"/>
      <c r="BT66" s="102"/>
      <c r="BU66" s="108"/>
      <c r="BV66" s="108"/>
      <c r="CB66" s="98"/>
      <c r="CC66" s="99"/>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100"/>
      <c r="DC66" s="100"/>
      <c r="DD66" s="125"/>
      <c r="DE66" s="125"/>
      <c r="DF66" s="125"/>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7"/>
      <c r="EG66" s="147"/>
      <c r="EH66" s="147"/>
      <c r="EI66" s="147"/>
      <c r="EJ66" s="210"/>
      <c r="EK66" s="752">
        <f>VLOOKUP($AK$11,導入率!A4:AX37,47,FALSE)</f>
        <v>0.5161290322580645</v>
      </c>
      <c r="EL66" s="753"/>
      <c r="EM66" s="753"/>
      <c r="EN66" s="754"/>
      <c r="EO66" s="752">
        <f>VLOOKUP($AK$11,導入率!A4:AX37,48,FALSE)</f>
        <v>9.6774193548387094E-2</v>
      </c>
      <c r="EP66" s="753"/>
      <c r="EQ66" s="753"/>
      <c r="ER66" s="754"/>
      <c r="ES66" s="102"/>
    </row>
    <row r="67" spans="3:203" ht="20.399999999999999" customHeight="1">
      <c r="C67" s="98"/>
      <c r="D67" s="700" t="s">
        <v>12377</v>
      </c>
      <c r="E67" s="700"/>
      <c r="F67" s="700"/>
      <c r="G67" s="700"/>
      <c r="H67" s="700"/>
      <c r="I67" s="700"/>
      <c r="J67" s="700"/>
      <c r="K67" s="700"/>
      <c r="L67" s="706" t="str">
        <f>VLOOKUP($D$11,調査票①!$A$3:$HK$1735,56,FALSE)&amp;""</f>
        <v>8</v>
      </c>
      <c r="M67" s="706"/>
      <c r="N67" s="706"/>
      <c r="O67" s="706">
        <f>VLOOKUP($D$11,調査票①!$A$3:$HK$1735,57,FALSE)</f>
        <v>6</v>
      </c>
      <c r="P67" s="706"/>
      <c r="Q67" s="706"/>
      <c r="R67" s="707">
        <f>VLOOKUP($D$11,調査票①!$A$3:$HK$1735,58,FALSE)</f>
        <v>0.75</v>
      </c>
      <c r="S67" s="707"/>
      <c r="T67" s="707"/>
      <c r="U67" s="708" t="str">
        <f>VLOOKUP($D$11,調査票①!$A$3:$HK$1735,59,FALSE)&amp;""</f>
        <v>対象施設が離党にあり、その立地条件に起因する課題が多いため。</v>
      </c>
      <c r="V67" s="709"/>
      <c r="W67" s="709"/>
      <c r="X67" s="709"/>
      <c r="Y67" s="709"/>
      <c r="Z67" s="709"/>
      <c r="AA67" s="709"/>
      <c r="AB67" s="709"/>
      <c r="AC67" s="709"/>
      <c r="AD67" s="709"/>
      <c r="AE67" s="709"/>
      <c r="AF67" s="709"/>
      <c r="AG67" s="709"/>
      <c r="AH67" s="709"/>
      <c r="AI67" s="710"/>
      <c r="AJ67" s="700" t="str">
        <f>VLOOKUP($D$11,調査票①!$A$3:$HK$1735,60,FALSE)&amp;""</f>
        <v>2</v>
      </c>
      <c r="AK67" s="700"/>
      <c r="AL67" s="700"/>
      <c r="AM67" s="715" t="str">
        <f>VLOOKUP($D$11,調査票①!$A$3:$HK$1735,61,FALSE)&amp;""</f>
        <v>対象施設が離島にあり、その立地条件に起因する課題が多く、指定管理者制度導入について検討を続けているため。</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100"/>
      <c r="BT67" s="102"/>
      <c r="CB67" s="98"/>
      <c r="CC67" s="99"/>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100"/>
      <c r="DC67" s="100"/>
      <c r="DD67" s="125"/>
      <c r="DE67" s="125"/>
      <c r="DF67" s="125"/>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7"/>
      <c r="EG67" s="147"/>
      <c r="EH67" s="147"/>
      <c r="EI67" s="147"/>
      <c r="EJ67" s="210"/>
      <c r="EK67" s="755"/>
      <c r="EL67" s="756"/>
      <c r="EM67" s="756"/>
      <c r="EN67" s="757"/>
      <c r="EO67" s="755"/>
      <c r="EP67" s="756"/>
      <c r="EQ67" s="756"/>
      <c r="ER67" s="757"/>
      <c r="ES67" s="102"/>
    </row>
    <row r="68" spans="3:203" ht="20.399999999999999" customHeight="1">
      <c r="C68" s="98"/>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100"/>
      <c r="BT68" s="102"/>
      <c r="CB68" s="98"/>
      <c r="CC68" s="99"/>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100"/>
      <c r="DC68" s="100"/>
      <c r="DD68" s="100"/>
      <c r="DE68" s="100"/>
      <c r="DF68" s="100"/>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8"/>
      <c r="EG68" s="148"/>
      <c r="EH68" s="148"/>
      <c r="EI68" s="148"/>
      <c r="EJ68" s="149"/>
      <c r="EK68" s="765" t="s">
        <v>71</v>
      </c>
      <c r="EL68" s="766"/>
      <c r="EM68" s="766"/>
      <c r="EN68" s="766"/>
      <c r="EO68" s="766"/>
      <c r="EP68" s="766"/>
      <c r="EQ68" s="766"/>
      <c r="ER68" s="767"/>
      <c r="ES68" s="102"/>
    </row>
    <row r="69" spans="3:203" ht="20.399999999999999" customHeight="1">
      <c r="C69" s="98"/>
      <c r="D69" s="748" t="s">
        <v>12378</v>
      </c>
      <c r="E69" s="700"/>
      <c r="F69" s="700"/>
      <c r="G69" s="700"/>
      <c r="H69" s="700"/>
      <c r="I69" s="700"/>
      <c r="J69" s="700"/>
      <c r="K69" s="700"/>
      <c r="L69" s="706" t="str">
        <f>VLOOKUP($D$11,調査票①!$A$3:$HK$1735,62,FALSE)&amp;""</f>
        <v>20</v>
      </c>
      <c r="M69" s="706"/>
      <c r="N69" s="706"/>
      <c r="O69" s="706">
        <f>VLOOKUP($D$11,調査票①!$A$3:$HK$1735,63,FALSE)</f>
        <v>16</v>
      </c>
      <c r="P69" s="706"/>
      <c r="Q69" s="706"/>
      <c r="R69" s="771">
        <f>VLOOKUP($D$11,調査票①!$A$3:$HK$1735,64,FALSE)</f>
        <v>0.8</v>
      </c>
      <c r="S69" s="771"/>
      <c r="T69" s="771"/>
      <c r="U69" s="708" t="str">
        <f>VLOOKUP($D$11,調査票①!$A$3:$HK$1735,65,FALSE)&amp;""</f>
        <v>対象施設が離島にあり、その立地条件に起因する課題が多いため。</v>
      </c>
      <c r="V69" s="709"/>
      <c r="W69" s="709"/>
      <c r="X69" s="709"/>
      <c r="Y69" s="709"/>
      <c r="Z69" s="709"/>
      <c r="AA69" s="709"/>
      <c r="AB69" s="709"/>
      <c r="AC69" s="709"/>
      <c r="AD69" s="709"/>
      <c r="AE69" s="709"/>
      <c r="AF69" s="709"/>
      <c r="AG69" s="709"/>
      <c r="AH69" s="709"/>
      <c r="AI69" s="710"/>
      <c r="AJ69" s="700" t="str">
        <f>VLOOKUP($D$11,調査票①!$A$3:$HK$1735,66,FALSE)&amp;""</f>
        <v>1</v>
      </c>
      <c r="AK69" s="700"/>
      <c r="AL69" s="700"/>
      <c r="AM69" s="715" t="str">
        <f>VLOOKUP($D$11,調査票①!$A$3:$HK$1735,67,FALSE)&amp;""</f>
        <v>対象施設が離島にあり、その立地条件に起因する課題が多く、指定管理者制度導入について検討を続けているため。</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100"/>
      <c r="BT69" s="102"/>
      <c r="CB69" s="98"/>
      <c r="CC69" s="100"/>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100"/>
      <c r="DC69" s="100"/>
      <c r="DD69" s="99"/>
      <c r="DE69" s="99"/>
      <c r="DF69" s="99"/>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9"/>
      <c r="EG69" s="99"/>
      <c r="EH69" s="99"/>
      <c r="EI69" s="99"/>
      <c r="EJ69" s="100"/>
      <c r="EK69" s="768"/>
      <c r="EL69" s="769"/>
      <c r="EM69" s="769"/>
      <c r="EN69" s="769"/>
      <c r="EO69" s="769"/>
      <c r="EP69" s="769"/>
      <c r="EQ69" s="769"/>
      <c r="ER69" s="770"/>
      <c r="ES69" s="102"/>
    </row>
    <row r="70" spans="3:203" ht="20.399999999999999" customHeight="1">
      <c r="C70" s="98"/>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100"/>
      <c r="BT70" s="102"/>
      <c r="CB70" s="98"/>
      <c r="CC70" s="99"/>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100"/>
      <c r="DC70" s="100"/>
      <c r="DD70" s="99"/>
      <c r="DE70" s="99"/>
      <c r="DF70" s="99"/>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9"/>
      <c r="EG70" s="99"/>
      <c r="EH70" s="99"/>
      <c r="EI70" s="99"/>
      <c r="EJ70" s="100"/>
      <c r="EK70" s="758" t="s">
        <v>12366</v>
      </c>
      <c r="EL70" s="759"/>
      <c r="EM70" s="759"/>
      <c r="EN70" s="760"/>
      <c r="EO70" s="764" t="s">
        <v>12367</v>
      </c>
      <c r="EP70" s="759"/>
      <c r="EQ70" s="759"/>
      <c r="ER70" s="760"/>
      <c r="ES70" s="102"/>
    </row>
    <row r="71" spans="3:203" ht="20.399999999999999" customHeight="1">
      <c r="C71" s="98"/>
      <c r="D71" s="700" t="s">
        <v>12379</v>
      </c>
      <c r="E71" s="700"/>
      <c r="F71" s="700"/>
      <c r="G71" s="700"/>
      <c r="H71" s="700"/>
      <c r="I71" s="700"/>
      <c r="J71" s="700"/>
      <c r="K71" s="700"/>
      <c r="L71" s="706">
        <f>VLOOKUP($D$11,調査票①!$A$3:$HK$1735,68,FALSE)</f>
        <v>5</v>
      </c>
      <c r="M71" s="706"/>
      <c r="N71" s="706"/>
      <c r="O71" s="706">
        <f>VLOOKUP($D$11,調査票①!$A$3:$HK$1735,69,FALSE)</f>
        <v>2</v>
      </c>
      <c r="P71" s="706"/>
      <c r="Q71" s="706"/>
      <c r="R71" s="750">
        <f>VLOOKUP($D$11,調査票①!$A$3:$HK$1735,70,FALSE)</f>
        <v>0.4</v>
      </c>
      <c r="S71" s="750"/>
      <c r="T71" s="750"/>
      <c r="U71" s="708" t="str">
        <f>VLOOKUP($D$11,調査票①!$A$3:$HK$1735,71,FALSE)&amp;""</f>
        <v>対象施設の近隣に類似施設がなく、開業期間も夏季の３ヶ月に限られ、現状では導入効果が少ないため。また、対象施設が離島にあり、その立地条件に起因する課題が多いため。</v>
      </c>
      <c r="V71" s="709"/>
      <c r="W71" s="709"/>
      <c r="X71" s="709"/>
      <c r="Y71" s="709"/>
      <c r="Z71" s="709"/>
      <c r="AA71" s="709"/>
      <c r="AB71" s="709"/>
      <c r="AC71" s="709"/>
      <c r="AD71" s="709"/>
      <c r="AE71" s="709"/>
      <c r="AF71" s="709"/>
      <c r="AG71" s="709"/>
      <c r="AH71" s="709"/>
      <c r="AI71" s="710"/>
      <c r="AJ71" s="700" t="str">
        <f>VLOOKUP($D$11,調査票①!$A$3:$HK$1735,72,FALSE)&amp;""</f>
        <v>3</v>
      </c>
      <c r="AK71" s="700"/>
      <c r="AL71" s="700"/>
      <c r="AM71" s="715" t="str">
        <f>VLOOKUP($D$11,調査票①!$A$3:$HK$1735,73,FALSE)&amp;""</f>
        <v>対象施設の近隣に類似施設がなく、開業期間も夏季の３ヶ月に限られ、現状では導入効果が少ないこと、また、、立地条件に起因する課題が多く、指定管理者制度導入について検討を続けているため。</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100"/>
      <c r="BT71" s="102"/>
      <c r="CB71" s="98"/>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100"/>
      <c r="DB71" s="100"/>
      <c r="DC71" s="100"/>
      <c r="DD71" s="125"/>
      <c r="DE71" s="125"/>
      <c r="DF71" s="125"/>
      <c r="DG71" s="125"/>
      <c r="DH71" s="125"/>
      <c r="DI71" s="125"/>
      <c r="DJ71" s="125"/>
      <c r="DK71" s="125"/>
      <c r="DL71" s="147"/>
      <c r="DM71" s="147"/>
      <c r="DN71" s="147"/>
      <c r="DO71" s="147"/>
      <c r="DP71" s="147"/>
      <c r="DQ71" s="147"/>
      <c r="DR71" s="147"/>
      <c r="DS71" s="147"/>
      <c r="DT71" s="147"/>
      <c r="DU71" s="147"/>
      <c r="DV71" s="147"/>
      <c r="DW71" s="147"/>
      <c r="DX71" s="147"/>
      <c r="DY71" s="147"/>
      <c r="DZ71" s="147"/>
      <c r="EA71" s="147"/>
      <c r="EB71" s="147"/>
      <c r="EC71" s="147"/>
      <c r="ED71" s="147"/>
      <c r="EE71" s="147"/>
      <c r="EF71" s="147"/>
      <c r="EG71" s="147"/>
      <c r="EH71" s="147"/>
      <c r="EI71" s="147"/>
      <c r="EJ71" s="100"/>
      <c r="EK71" s="761"/>
      <c r="EL71" s="762"/>
      <c r="EM71" s="762"/>
      <c r="EN71" s="763"/>
      <c r="EO71" s="761"/>
      <c r="EP71" s="762"/>
      <c r="EQ71" s="762"/>
      <c r="ER71" s="763"/>
      <c r="ES71" s="102"/>
    </row>
    <row r="72" spans="3:203" ht="20.399999999999999" customHeight="1">
      <c r="C72" s="98"/>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100"/>
      <c r="BT72" s="102"/>
      <c r="CB72" s="98"/>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100"/>
      <c r="DB72" s="100"/>
      <c r="DC72" s="100"/>
      <c r="DD72" s="125"/>
      <c r="DE72" s="125"/>
      <c r="DF72" s="125"/>
      <c r="DG72" s="125"/>
      <c r="DH72" s="125"/>
      <c r="DI72" s="125"/>
      <c r="DJ72" s="125"/>
      <c r="DK72" s="125"/>
      <c r="DL72" s="147"/>
      <c r="DM72" s="147"/>
      <c r="DN72" s="147"/>
      <c r="DO72" s="147"/>
      <c r="DP72" s="147"/>
      <c r="DQ72" s="147"/>
      <c r="DR72" s="147"/>
      <c r="DS72" s="147"/>
      <c r="DT72" s="147"/>
      <c r="DU72" s="147"/>
      <c r="DV72" s="147"/>
      <c r="DW72" s="147"/>
      <c r="DX72" s="147"/>
      <c r="DY72" s="147"/>
      <c r="DZ72" s="147"/>
      <c r="EA72" s="147"/>
      <c r="EB72" s="147"/>
      <c r="EC72" s="147"/>
      <c r="ED72" s="147"/>
      <c r="EE72" s="147"/>
      <c r="EF72" s="147"/>
      <c r="EG72" s="147"/>
      <c r="EH72" s="147"/>
      <c r="EI72" s="147"/>
      <c r="EJ72" s="100"/>
      <c r="EK72" s="752">
        <f>調査票①!HE1731</f>
        <v>0.41429401510749564</v>
      </c>
      <c r="EL72" s="753"/>
      <c r="EM72" s="753"/>
      <c r="EN72" s="754"/>
      <c r="EO72" s="752">
        <f>1-EK72</f>
        <v>0.58570598489250436</v>
      </c>
      <c r="EP72" s="753"/>
      <c r="EQ72" s="753"/>
      <c r="ER72" s="754"/>
      <c r="ES72" s="102"/>
    </row>
    <row r="73" spans="3:203" ht="20.399999999999999" customHeight="1">
      <c r="C73" s="98"/>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100"/>
      <c r="BT73" s="102"/>
      <c r="CB73" s="98"/>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100"/>
      <c r="DB73" s="100"/>
      <c r="DC73" s="100"/>
      <c r="DD73" s="125"/>
      <c r="DE73" s="125"/>
      <c r="DF73" s="125"/>
      <c r="DG73" s="125"/>
      <c r="DH73" s="125"/>
      <c r="DI73" s="125"/>
      <c r="DJ73" s="125"/>
      <c r="DK73" s="125"/>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00"/>
      <c r="EK73" s="755"/>
      <c r="EL73" s="756"/>
      <c r="EM73" s="756"/>
      <c r="EN73" s="757"/>
      <c r="EO73" s="755"/>
      <c r="EP73" s="756"/>
      <c r="EQ73" s="756"/>
      <c r="ER73" s="757"/>
      <c r="ES73" s="102"/>
    </row>
    <row r="74" spans="3:203" ht="20.399999999999999" customHeight="1">
      <c r="C74" s="98"/>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100"/>
      <c r="BT74" s="102"/>
      <c r="CB74" s="117"/>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19"/>
      <c r="DB74" s="119"/>
      <c r="DC74" s="119"/>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9"/>
      <c r="EK74" s="119"/>
      <c r="EL74" s="119"/>
      <c r="EM74" s="119"/>
      <c r="EN74" s="119"/>
      <c r="EO74" s="119"/>
      <c r="EP74" s="119"/>
      <c r="EQ74" s="119"/>
      <c r="ER74" s="119"/>
      <c r="ES74" s="120"/>
    </row>
    <row r="75" spans="3:203" ht="20.399999999999999" customHeight="1">
      <c r="C75" s="98"/>
      <c r="D75" s="734" t="s">
        <v>12381</v>
      </c>
      <c r="E75" s="735"/>
      <c r="F75" s="735"/>
      <c r="G75" s="735"/>
      <c r="H75" s="735"/>
      <c r="I75" s="735"/>
      <c r="J75" s="735"/>
      <c r="K75" s="735"/>
      <c r="L75" s="706">
        <f>VLOOKUP($D$11,調査票①!$A$3:$HK$1735,80,FALSE)</f>
        <v>1</v>
      </c>
      <c r="M75" s="706"/>
      <c r="N75" s="706"/>
      <c r="O75" s="706">
        <f>VLOOKUP($D$11,調査票①!$A$3:$HK$1735,81,FALSE)</f>
        <v>1</v>
      </c>
      <c r="P75" s="706"/>
      <c r="Q75" s="706"/>
      <c r="R75" s="707">
        <f>VLOOKUP($D$11,調査票①!$A$3:$HK$1735,82,FALSE)</f>
        <v>1</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100"/>
      <c r="BT75" s="102"/>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207"/>
      <c r="DE75" s="207"/>
      <c r="DF75" s="207"/>
      <c r="DG75" s="207"/>
      <c r="DH75" s="207"/>
      <c r="DI75" s="207"/>
      <c r="DJ75" s="204"/>
      <c r="DK75" s="204"/>
      <c r="DL75" s="204"/>
      <c r="DM75" s="204"/>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row>
    <row r="76" spans="3:203" ht="20.399999999999999" customHeight="1">
      <c r="C76" s="98"/>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100"/>
      <c r="BT76" s="102"/>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207"/>
      <c r="DE76" s="207"/>
      <c r="DF76" s="207"/>
      <c r="DG76" s="207"/>
      <c r="DH76" s="207"/>
      <c r="DI76" s="207"/>
      <c r="DJ76" s="205"/>
      <c r="DK76" s="205"/>
      <c r="DL76" s="205"/>
      <c r="DM76" s="20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row>
    <row r="77" spans="3:203" ht="20.399999999999999" customHeight="1">
      <c r="C77" s="98"/>
      <c r="D77" s="734" t="s">
        <v>12382</v>
      </c>
      <c r="E77" s="735"/>
      <c r="F77" s="735"/>
      <c r="G77" s="735"/>
      <c r="H77" s="735"/>
      <c r="I77" s="735"/>
      <c r="J77" s="735"/>
      <c r="K77" s="735"/>
      <c r="L77" s="706">
        <f>VLOOKUP($D$11,調査票①!$A$3:$HK$1735,86,FALSE)</f>
        <v>1</v>
      </c>
      <c r="M77" s="706"/>
      <c r="N77" s="706"/>
      <c r="O77" s="706">
        <f>VLOOKUP($D$11,調査票①!$A$3:$HK$1735,87,FALSE)</f>
        <v>1</v>
      </c>
      <c r="P77" s="706"/>
      <c r="Q77" s="706"/>
      <c r="R77" s="707">
        <f>VLOOKUP($D$11,調査票①!$A$3:$HK$1735,88,FALSE)</f>
        <v>1</v>
      </c>
      <c r="S77" s="707"/>
      <c r="T77" s="707"/>
      <c r="U77" s="708" t="str">
        <f>VLOOKUP($D$11,調査票①!$A$3:$HK$1735,89,FALSE)&amp;""</f>
        <v>　</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100"/>
      <c r="BT77" s="102"/>
      <c r="CB77" s="85"/>
      <c r="CC77" s="157"/>
      <c r="CD77" s="157"/>
      <c r="CE77" s="157"/>
      <c r="CF77" s="157"/>
      <c r="CG77" s="157"/>
      <c r="CH77" s="157"/>
      <c r="CI77" s="157"/>
      <c r="CJ77" s="157"/>
      <c r="CK77" s="157"/>
      <c r="CL77" s="157"/>
      <c r="CM77" s="157"/>
      <c r="CN77" s="157"/>
      <c r="CO77" s="157"/>
      <c r="CP77" s="157"/>
      <c r="CQ77" s="157"/>
      <c r="CR77" s="157"/>
      <c r="CS77" s="157"/>
      <c r="CT77" s="157"/>
      <c r="CU77" s="157"/>
      <c r="CV77" s="157"/>
      <c r="CW77" s="157"/>
      <c r="CX77" s="157"/>
      <c r="CY77" s="157"/>
      <c r="CZ77" s="157"/>
      <c r="DA77" s="85"/>
      <c r="DB77" s="85"/>
      <c r="DC77" s="85"/>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5"/>
      <c r="ER77" s="85"/>
      <c r="ES77" s="85"/>
    </row>
    <row r="78" spans="3:203" ht="20.399999999999999" customHeight="1">
      <c r="C78" s="98"/>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100"/>
      <c r="BT78" s="102"/>
      <c r="CB78" s="94"/>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6"/>
      <c r="DB78" s="96"/>
      <c r="DC78" s="96"/>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6"/>
      <c r="ER78" s="96"/>
      <c r="ES78" s="97"/>
    </row>
    <row r="79" spans="3:203" ht="20.399999999999999" customHeight="1">
      <c r="C79" s="98"/>
      <c r="D79" s="700" t="s">
        <v>12383</v>
      </c>
      <c r="E79" s="700"/>
      <c r="F79" s="700"/>
      <c r="G79" s="700"/>
      <c r="H79" s="700"/>
      <c r="I79" s="700"/>
      <c r="J79" s="700"/>
      <c r="K79" s="700"/>
      <c r="L79" s="706" t="str">
        <f>VLOOKUP($D$11,調査票①!$A$3:$HK$1735,92,FALSE)&amp;""</f>
        <v>6</v>
      </c>
      <c r="M79" s="706"/>
      <c r="N79" s="706"/>
      <c r="O79" s="706">
        <f>VLOOKUP($D$11,調査票①!$A$3:$HK$1735,93,FALSE)</f>
        <v>3</v>
      </c>
      <c r="P79" s="706"/>
      <c r="Q79" s="706"/>
      <c r="R79" s="707">
        <f>VLOOKUP($D$11,調査票①!$A$3:$HK$1735,94,FALSE)</f>
        <v>0.5</v>
      </c>
      <c r="S79" s="707"/>
      <c r="T79" s="707"/>
      <c r="U79" s="708" t="str">
        <f>VLOOKUP($D$11,調査票①!$A$3:$HK$1735,95,FALSE)&amp;""</f>
        <v>未導入の施設については、直営で運営すべきであると考えている。</v>
      </c>
      <c r="V79" s="709"/>
      <c r="W79" s="709"/>
      <c r="X79" s="709"/>
      <c r="Y79" s="709"/>
      <c r="Z79" s="709"/>
      <c r="AA79" s="709"/>
      <c r="AB79" s="709"/>
      <c r="AC79" s="709"/>
      <c r="AD79" s="709"/>
      <c r="AE79" s="709"/>
      <c r="AF79" s="709"/>
      <c r="AG79" s="709"/>
      <c r="AH79" s="709"/>
      <c r="AI79" s="710"/>
      <c r="AJ79" s="714">
        <f>VLOOKUP($D$11,調査票①!$A$3:$HK$1735,96,FALSE)</f>
        <v>2</v>
      </c>
      <c r="AK79" s="714"/>
      <c r="AL79" s="714"/>
      <c r="AM79" s="715" t="str">
        <f>VLOOKUP($D$11,調査票①!$A$3:$HK$1735,97,FALSE)&amp;""</f>
        <v>市直営の施設であるため</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100"/>
      <c r="BT79" s="102"/>
      <c r="CB79" s="98"/>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100"/>
      <c r="DB79" s="100"/>
      <c r="DC79" s="100"/>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100"/>
      <c r="ER79" s="100"/>
      <c r="ES79" s="102"/>
    </row>
    <row r="80" spans="3:203" ht="20.399999999999999" customHeight="1">
      <c r="C80" s="98"/>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100"/>
      <c r="BT80" s="102"/>
      <c r="CB80" s="98"/>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100"/>
      <c r="DB80" s="100"/>
      <c r="DC80" s="100"/>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100"/>
      <c r="ER80" s="100"/>
      <c r="ES80" s="102"/>
    </row>
    <row r="81" spans="3:149" ht="20.399999999999999" customHeight="1">
      <c r="C81" s="98"/>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100"/>
      <c r="BT81" s="102"/>
      <c r="CB81" s="98"/>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2"/>
    </row>
    <row r="82" spans="3:149" ht="20.399999999999999" customHeight="1">
      <c r="C82" s="98"/>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100"/>
      <c r="BT82" s="102"/>
      <c r="CB82" s="98"/>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100"/>
      <c r="DB82" s="698" t="s">
        <v>60</v>
      </c>
      <c r="DC82" s="698"/>
      <c r="DD82" s="698"/>
      <c r="DE82" s="698"/>
      <c r="DF82" s="698"/>
      <c r="DG82" s="698"/>
      <c r="DH82" s="698"/>
      <c r="DI82" s="698"/>
      <c r="DJ82" s="698"/>
      <c r="DK82" s="698"/>
      <c r="DL82" s="698" t="str">
        <f>VLOOKUP($D$11,調査票①!$A$3:$HK$1735,215,FALSE)&amp;""</f>
        <v>　</v>
      </c>
      <c r="DM82" s="698"/>
      <c r="DN82" s="698"/>
      <c r="DO82" s="698"/>
      <c r="DP82" s="698"/>
      <c r="DQ82" s="698"/>
      <c r="DR82" s="698"/>
      <c r="DS82" s="698"/>
      <c r="DT82" s="698"/>
      <c r="DU82" s="698"/>
      <c r="DV82" s="100"/>
      <c r="DW82" s="100"/>
      <c r="DX82" s="100"/>
      <c r="DY82" s="700" t="s">
        <v>12392</v>
      </c>
      <c r="DZ82" s="700"/>
      <c r="EA82" s="700"/>
      <c r="EB82" s="700"/>
      <c r="EC82" s="700"/>
      <c r="ED82" s="700"/>
      <c r="EE82" s="700"/>
      <c r="EF82" s="700"/>
      <c r="EG82" s="950" t="str">
        <f>VLOOKUP($D$11,調査票①!$A$3:$HK$1735,216,FALSE)&amp;""</f>
        <v>　</v>
      </c>
      <c r="EH82" s="950"/>
      <c r="EI82" s="950"/>
      <c r="EJ82" s="950"/>
      <c r="EK82" s="950"/>
      <c r="EL82" s="950"/>
      <c r="EM82" s="950"/>
      <c r="EN82" s="950"/>
      <c r="EO82" s="950"/>
      <c r="EP82" s="100"/>
      <c r="EQ82" s="100"/>
      <c r="ER82" s="100"/>
      <c r="ES82" s="102"/>
    </row>
    <row r="83" spans="3:149" ht="20.399999999999999" customHeight="1">
      <c r="C83" s="98"/>
      <c r="D83" s="735" t="s">
        <v>12385</v>
      </c>
      <c r="E83" s="735"/>
      <c r="F83" s="735"/>
      <c r="G83" s="735"/>
      <c r="H83" s="735"/>
      <c r="I83" s="735"/>
      <c r="J83" s="735"/>
      <c r="K83" s="735"/>
      <c r="L83" s="706">
        <f>VLOOKUP($D$11,調査票①!$A$3:$HK$1735,104,FALSE)</f>
        <v>0</v>
      </c>
      <c r="M83" s="706"/>
      <c r="N83" s="706"/>
      <c r="O83" s="706">
        <f>VLOOKUP($D$11,調査票①!$A$3:$HK$1735,105,FALSE)</f>
        <v>0</v>
      </c>
      <c r="P83" s="706"/>
      <c r="Q83" s="706"/>
      <c r="R83" s="707" t="str">
        <f>VLOOKUP($D$11,調査票①!$A$3:$HK$1735,106,FALSE)</f>
        <v/>
      </c>
      <c r="S83" s="707"/>
      <c r="T83" s="707"/>
      <c r="U83" s="708" t="str">
        <f>VLOOKUP($D$11,調査票①!$A$3:$HK$1735,107,FALSE)&amp;""</f>
        <v>　</v>
      </c>
      <c r="V83" s="709"/>
      <c r="W83" s="709"/>
      <c r="X83" s="709"/>
      <c r="Y83" s="709"/>
      <c r="Z83" s="709"/>
      <c r="AA83" s="709"/>
      <c r="AB83" s="709"/>
      <c r="AC83" s="709"/>
      <c r="AD83" s="709"/>
      <c r="AE83" s="709"/>
      <c r="AF83" s="709"/>
      <c r="AG83" s="709"/>
      <c r="AH83" s="709"/>
      <c r="AI83" s="710"/>
      <c r="AJ83" s="749">
        <f>VLOOKUP($D$11,調査票①!$A$3:$HK$1735,108,FALSE)</f>
        <v>0</v>
      </c>
      <c r="AK83" s="749"/>
      <c r="AL83" s="749"/>
      <c r="AM83" s="715" t="str">
        <f>VLOOKUP($D$11,調査票①!$A$3:$HK$1735,109,FALSE)&amp;""</f>
        <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100"/>
      <c r="BT83" s="102"/>
      <c r="CB83" s="98"/>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100"/>
      <c r="DB83" s="698"/>
      <c r="DC83" s="698"/>
      <c r="DD83" s="698"/>
      <c r="DE83" s="698"/>
      <c r="DF83" s="698"/>
      <c r="DG83" s="698"/>
      <c r="DH83" s="698"/>
      <c r="DI83" s="698"/>
      <c r="DJ83" s="698"/>
      <c r="DK83" s="698"/>
      <c r="DL83" s="698"/>
      <c r="DM83" s="698"/>
      <c r="DN83" s="698"/>
      <c r="DO83" s="698"/>
      <c r="DP83" s="698"/>
      <c r="DQ83" s="698"/>
      <c r="DR83" s="698"/>
      <c r="DS83" s="698"/>
      <c r="DT83" s="698"/>
      <c r="DU83" s="698"/>
      <c r="DV83" s="100"/>
      <c r="DW83" s="100"/>
      <c r="DX83" s="100"/>
      <c r="DY83" s="700"/>
      <c r="DZ83" s="700"/>
      <c r="EA83" s="700"/>
      <c r="EB83" s="700"/>
      <c r="EC83" s="700"/>
      <c r="ED83" s="700"/>
      <c r="EE83" s="700"/>
      <c r="EF83" s="700"/>
      <c r="EG83" s="950"/>
      <c r="EH83" s="950"/>
      <c r="EI83" s="950"/>
      <c r="EJ83" s="950"/>
      <c r="EK83" s="950"/>
      <c r="EL83" s="950"/>
      <c r="EM83" s="950"/>
      <c r="EN83" s="950"/>
      <c r="EO83" s="950"/>
      <c r="EP83" s="100"/>
      <c r="EQ83" s="100"/>
      <c r="ER83" s="100"/>
      <c r="ES83" s="102"/>
    </row>
    <row r="84" spans="3:149" ht="20.399999999999999" customHeight="1">
      <c r="C84" s="98"/>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100"/>
      <c r="BT84" s="102"/>
      <c r="CB84" s="98"/>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100"/>
      <c r="DB84" s="698"/>
      <c r="DC84" s="698"/>
      <c r="DD84" s="698"/>
      <c r="DE84" s="698"/>
      <c r="DF84" s="698"/>
      <c r="DG84" s="698"/>
      <c r="DH84" s="698"/>
      <c r="DI84" s="698"/>
      <c r="DJ84" s="698"/>
      <c r="DK84" s="698"/>
      <c r="DL84" s="698"/>
      <c r="DM84" s="698"/>
      <c r="DN84" s="698"/>
      <c r="DO84" s="698"/>
      <c r="DP84" s="698"/>
      <c r="DQ84" s="698"/>
      <c r="DR84" s="698"/>
      <c r="DS84" s="698"/>
      <c r="DT84" s="698"/>
      <c r="DU84" s="698"/>
      <c r="DV84" s="100"/>
      <c r="DW84" s="100"/>
      <c r="DX84" s="100"/>
      <c r="DY84" s="700"/>
      <c r="DZ84" s="700"/>
      <c r="EA84" s="700"/>
      <c r="EB84" s="700"/>
      <c r="EC84" s="700"/>
      <c r="ED84" s="700"/>
      <c r="EE84" s="700"/>
      <c r="EF84" s="700"/>
      <c r="EG84" s="950"/>
      <c r="EH84" s="950"/>
      <c r="EI84" s="950"/>
      <c r="EJ84" s="950"/>
      <c r="EK84" s="950"/>
      <c r="EL84" s="950"/>
      <c r="EM84" s="950"/>
      <c r="EN84" s="950"/>
      <c r="EO84" s="950"/>
      <c r="EP84" s="100"/>
      <c r="EQ84" s="100"/>
      <c r="ER84" s="100"/>
      <c r="ES84" s="102"/>
    </row>
    <row r="85" spans="3:149" ht="20.399999999999999" customHeight="1">
      <c r="C85" s="98"/>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100"/>
      <c r="BT85" s="102"/>
      <c r="CB85" s="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100"/>
      <c r="DB85" s="698"/>
      <c r="DC85" s="698"/>
      <c r="DD85" s="698"/>
      <c r="DE85" s="698"/>
      <c r="DF85" s="698"/>
      <c r="DG85" s="698"/>
      <c r="DH85" s="698"/>
      <c r="DI85" s="698"/>
      <c r="DJ85" s="698"/>
      <c r="DK85" s="698"/>
      <c r="DL85" s="698"/>
      <c r="DM85" s="698"/>
      <c r="DN85" s="698"/>
      <c r="DO85" s="698"/>
      <c r="DP85" s="698"/>
      <c r="DQ85" s="698"/>
      <c r="DR85" s="698"/>
      <c r="DS85" s="698"/>
      <c r="DT85" s="698"/>
      <c r="DU85" s="698"/>
      <c r="DV85" s="100"/>
      <c r="DW85" s="100"/>
      <c r="DX85" s="100"/>
      <c r="DY85" s="700"/>
      <c r="DZ85" s="700"/>
      <c r="EA85" s="700"/>
      <c r="EB85" s="700"/>
      <c r="EC85" s="700"/>
      <c r="ED85" s="700"/>
      <c r="EE85" s="700"/>
      <c r="EF85" s="700"/>
      <c r="EG85" s="950"/>
      <c r="EH85" s="950"/>
      <c r="EI85" s="950"/>
      <c r="EJ85" s="950"/>
      <c r="EK85" s="950"/>
      <c r="EL85" s="950"/>
      <c r="EM85" s="950"/>
      <c r="EN85" s="950"/>
      <c r="EO85" s="950"/>
      <c r="EP85" s="100"/>
      <c r="EQ85" s="100"/>
      <c r="ER85" s="100"/>
      <c r="ES85" s="102"/>
    </row>
    <row r="86" spans="3:149" ht="20.399999999999999" customHeight="1">
      <c r="C86" s="98"/>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100"/>
      <c r="BT86" s="102"/>
      <c r="CB86" s="98"/>
      <c r="CC86" s="150"/>
      <c r="CD86" s="150"/>
      <c r="CE86" s="150"/>
      <c r="CF86" s="150"/>
      <c r="CG86" s="150"/>
      <c r="CH86" s="150"/>
      <c r="CI86" s="150"/>
      <c r="CJ86" s="150"/>
      <c r="CK86" s="150"/>
      <c r="CL86" s="150"/>
      <c r="CM86" s="150"/>
      <c r="CN86" s="150"/>
      <c r="CO86" s="150"/>
      <c r="CP86" s="15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2"/>
    </row>
    <row r="87" spans="3:149" ht="20.399999999999999" customHeight="1">
      <c r="C87" s="98"/>
      <c r="D87" s="700" t="s">
        <v>12387</v>
      </c>
      <c r="E87" s="700"/>
      <c r="F87" s="700"/>
      <c r="G87" s="700"/>
      <c r="H87" s="700"/>
      <c r="I87" s="700"/>
      <c r="J87" s="700"/>
      <c r="K87" s="700"/>
      <c r="L87" s="706">
        <f>VLOOKUP($D$11,調査票①!$A$3:$HK$1735,116,FALSE)</f>
        <v>7</v>
      </c>
      <c r="M87" s="706"/>
      <c r="N87" s="706"/>
      <c r="O87" s="706">
        <f>VLOOKUP($D$11,調査票①!$A$3:$HK$1735,117,FALSE)</f>
        <v>1</v>
      </c>
      <c r="P87" s="706"/>
      <c r="Q87" s="706"/>
      <c r="R87" s="707">
        <f>VLOOKUP($D$11,調査票①!$A$3:$HK$1735,118,FALSE)</f>
        <v>0.14285714285714285</v>
      </c>
      <c r="S87" s="707"/>
      <c r="T87" s="707"/>
      <c r="U87" s="708" t="str">
        <f>VLOOKUP($D$11,調査票①!$A$3:$HK$1735,119,FALSE)&amp;""</f>
        <v>導入によるメリットが見込めないため</v>
      </c>
      <c r="V87" s="709"/>
      <c r="W87" s="709"/>
      <c r="X87" s="709"/>
      <c r="Y87" s="709"/>
      <c r="Z87" s="709"/>
      <c r="AA87" s="709"/>
      <c r="AB87" s="709"/>
      <c r="AC87" s="709"/>
      <c r="AD87" s="709"/>
      <c r="AE87" s="709"/>
      <c r="AF87" s="709"/>
      <c r="AG87" s="709"/>
      <c r="AH87" s="709"/>
      <c r="AI87" s="710"/>
      <c r="AJ87" s="749">
        <f>VLOOKUP($D$11,調査票①!$A$3:$HK$1735,120,FALSE)</f>
        <v>1</v>
      </c>
      <c r="AK87" s="749"/>
      <c r="AL87" s="749"/>
      <c r="AM87" s="715" t="str">
        <f>VLOOKUP($D$11,調査票①!$A$3:$HK$1735,121,FALSE)&amp;""</f>
        <v>許可行為など、市が直接事務を行う必要があるほか、広大な面積を有するため、適正な管理を行う上でも職員を常駐させる必要がある。</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100"/>
      <c r="BT87" s="102"/>
      <c r="CB87" s="98"/>
      <c r="CC87" s="151" t="s">
        <v>12394</v>
      </c>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2"/>
    </row>
    <row r="88" spans="3:149" ht="20.399999999999999" customHeight="1">
      <c r="C88" s="98"/>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100"/>
      <c r="BT88" s="102"/>
      <c r="CB88" s="98"/>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2"/>
    </row>
    <row r="89" spans="3:149" ht="20.399999999999999" customHeight="1">
      <c r="C89" s="98"/>
      <c r="D89" s="700" t="s">
        <v>12388</v>
      </c>
      <c r="E89" s="700"/>
      <c r="F89" s="700"/>
      <c r="G89" s="700"/>
      <c r="H89" s="700"/>
      <c r="I89" s="700"/>
      <c r="J89" s="700"/>
      <c r="K89" s="700"/>
      <c r="L89" s="706">
        <f>VLOOKUP($D$11,調査票①!$A$3:$HK$1735,122,FALSE)</f>
        <v>74</v>
      </c>
      <c r="M89" s="706"/>
      <c r="N89" s="706"/>
      <c r="O89" s="706">
        <f>VLOOKUP($D$11,調査票①!$A$3:$HK$1735,123,FALSE)</f>
        <v>0</v>
      </c>
      <c r="P89" s="706"/>
      <c r="Q89" s="706"/>
      <c r="R89" s="707">
        <f>VLOOKUP($D$11,調査票①!$A$3:$HK$1735,124,FALSE)</f>
        <v>0</v>
      </c>
      <c r="S89" s="707"/>
      <c r="T89" s="707"/>
      <c r="U89" s="708" t="str">
        <f>VLOOKUP($D$11,調査票①!$A$3:$HK$1735,125,FALSE)&amp;""</f>
        <v>市営住宅の適切な管理方法について検討中</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100"/>
      <c r="BT89" s="102"/>
      <c r="BY89" s="93"/>
      <c r="BZ89" s="93"/>
      <c r="CA89" s="93"/>
      <c r="CB89" s="98"/>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2"/>
    </row>
    <row r="90" spans="3:149" ht="37.5" customHeight="1">
      <c r="C90" s="98"/>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100"/>
      <c r="BT90" s="102"/>
      <c r="CB90" s="98"/>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2"/>
    </row>
    <row r="91" spans="3:149" ht="20.399999999999999" customHeight="1">
      <c r="C91" s="98"/>
      <c r="D91" s="700" t="s">
        <v>12389</v>
      </c>
      <c r="E91" s="700"/>
      <c r="F91" s="700"/>
      <c r="G91" s="700"/>
      <c r="H91" s="700"/>
      <c r="I91" s="700"/>
      <c r="J91" s="700"/>
      <c r="K91" s="700"/>
      <c r="L91" s="706">
        <f>VLOOKUP($D$11,調査票①!$A$3:$HK$1735,128,FALSE)</f>
        <v>2</v>
      </c>
      <c r="M91" s="706"/>
      <c r="N91" s="706"/>
      <c r="O91" s="706">
        <f>VLOOKUP($D$11,調査票①!$A$3:$HK$1735,129,FALSE)</f>
        <v>2</v>
      </c>
      <c r="P91" s="706"/>
      <c r="Q91" s="706"/>
      <c r="R91" s="707">
        <f>VLOOKUP($D$11,調査票①!$A$3:$HK$1735,130,FALSE)</f>
        <v>1</v>
      </c>
      <c r="S91" s="707"/>
      <c r="T91" s="707"/>
      <c r="U91" s="708" t="str">
        <f>VLOOKUP($D$11,調査票①!$A$3:$HK$1735,131,FALSE)&amp;""</f>
        <v>　</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100"/>
      <c r="BT91" s="102"/>
      <c r="CB91" s="98"/>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2"/>
    </row>
    <row r="92" spans="3:149" ht="29" customHeight="1">
      <c r="C92" s="98"/>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100"/>
      <c r="BT92" s="102"/>
      <c r="CB92" s="117"/>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20"/>
    </row>
    <row r="93" spans="3:149" ht="26" customHeight="1">
      <c r="C93" s="98"/>
      <c r="D93" s="700" t="s">
        <v>12390</v>
      </c>
      <c r="E93" s="700"/>
      <c r="F93" s="700"/>
      <c r="G93" s="700"/>
      <c r="H93" s="700"/>
      <c r="I93" s="700"/>
      <c r="J93" s="700"/>
      <c r="K93" s="700"/>
      <c r="L93" s="706">
        <f>VLOOKUP($D$11,調査票①!$A$3:$HK$1735,134,FALSE)</f>
        <v>3</v>
      </c>
      <c r="M93" s="706"/>
      <c r="N93" s="706"/>
      <c r="O93" s="706">
        <f>VLOOKUP($D$11,調査票①!$A$3:$HK$1735,135,FALSE)</f>
        <v>0</v>
      </c>
      <c r="P93" s="706"/>
      <c r="Q93" s="706"/>
      <c r="R93" s="707">
        <f>VLOOKUP($D$11,調査票①!$A$3:$HK$1735,136,FALSE)</f>
        <v>0</v>
      </c>
      <c r="S93" s="707"/>
      <c r="T93" s="707"/>
      <c r="U93" s="708" t="str">
        <f>VLOOKUP($D$11,調査票①!$A$3:$HK$1735,137,FALSE)&amp;""</f>
        <v>一部の施設について、大規模改修実施後に業務委託内容を検討。</v>
      </c>
      <c r="V93" s="709"/>
      <c r="W93" s="709"/>
      <c r="X93" s="709"/>
      <c r="Y93" s="709"/>
      <c r="Z93" s="709"/>
      <c r="AA93" s="709"/>
      <c r="AB93" s="709"/>
      <c r="AC93" s="709"/>
      <c r="AD93" s="709"/>
      <c r="AE93" s="709"/>
      <c r="AF93" s="709"/>
      <c r="AG93" s="709"/>
      <c r="AH93" s="709"/>
      <c r="AI93" s="710"/>
      <c r="AJ93" s="700">
        <f>VLOOKUP($D$11,調査票①!$A$3:$HK$1735,138,FALSE)</f>
        <v>2</v>
      </c>
      <c r="AK93" s="700"/>
      <c r="AL93" s="700"/>
      <c r="AM93" s="715" t="str">
        <f>VLOOKUP($D$11,調査票①!$A$3:$HK$1735,139,FALSE)&amp;""</f>
        <v>施設の使用許可等個人情報を管理しており、直営で管理すべきであると考える。</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100"/>
      <c r="BT93" s="102"/>
      <c r="CB93" s="85"/>
      <c r="CC93" s="157"/>
      <c r="CD93" s="157"/>
      <c r="CE93" s="157"/>
      <c r="CF93" s="157"/>
      <c r="CG93" s="157"/>
      <c r="CH93" s="157"/>
      <c r="CI93" s="157"/>
      <c r="CJ93" s="157"/>
      <c r="CK93" s="157"/>
      <c r="CL93" s="157"/>
      <c r="CM93" s="157"/>
      <c r="CN93" s="157"/>
      <c r="CO93" s="157"/>
      <c r="CP93" s="157"/>
      <c r="CQ93" s="157"/>
      <c r="CR93" s="157"/>
      <c r="CS93" s="157"/>
      <c r="CT93" s="157"/>
      <c r="CU93" s="157"/>
      <c r="CV93" s="157"/>
      <c r="CW93" s="157"/>
      <c r="CX93" s="157"/>
      <c r="CY93" s="157"/>
      <c r="CZ93" s="157"/>
      <c r="DA93" s="85"/>
      <c r="DB93" s="157"/>
      <c r="DC93" s="157"/>
      <c r="DD93" s="157"/>
      <c r="DE93" s="157"/>
      <c r="DF93" s="157"/>
      <c r="DG93" s="157"/>
      <c r="DH93" s="157"/>
      <c r="DI93" s="157"/>
      <c r="DJ93" s="157"/>
      <c r="DK93" s="157"/>
      <c r="DL93" s="157"/>
      <c r="DM93" s="157"/>
      <c r="DN93" s="157"/>
      <c r="DO93" s="157"/>
      <c r="DP93" s="157"/>
      <c r="DQ93" s="157"/>
      <c r="DR93" s="157"/>
      <c r="DS93" s="157"/>
      <c r="DT93" s="157"/>
      <c r="DU93" s="157"/>
      <c r="DV93" s="85"/>
      <c r="DW93" s="85"/>
      <c r="DX93" s="85"/>
      <c r="DY93" s="213"/>
      <c r="DZ93" s="213"/>
      <c r="EA93" s="213"/>
      <c r="EB93" s="213"/>
      <c r="EC93" s="213"/>
      <c r="ED93" s="213"/>
      <c r="EE93" s="213"/>
      <c r="EF93" s="213"/>
      <c r="EG93" s="214"/>
      <c r="EH93" s="214"/>
      <c r="EI93" s="214"/>
      <c r="EJ93" s="214"/>
      <c r="EK93" s="214"/>
      <c r="EL93" s="214"/>
      <c r="EM93" s="214"/>
      <c r="EN93" s="214"/>
      <c r="EO93" s="214"/>
      <c r="EP93" s="85"/>
      <c r="EQ93" s="85"/>
      <c r="ER93" s="85"/>
      <c r="ES93" s="85"/>
    </row>
    <row r="94" spans="3:149" ht="20.399999999999999" customHeight="1">
      <c r="C94" s="98"/>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100"/>
      <c r="BT94" s="102"/>
      <c r="CB94" s="85"/>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85"/>
      <c r="DB94" s="157"/>
      <c r="DC94" s="157"/>
      <c r="DD94" s="157"/>
      <c r="DE94" s="157"/>
      <c r="DF94" s="157"/>
      <c r="DG94" s="157"/>
      <c r="DH94" s="157"/>
      <c r="DI94" s="157"/>
      <c r="DJ94" s="157"/>
      <c r="DK94" s="157"/>
      <c r="DL94" s="157"/>
      <c r="DM94" s="157"/>
      <c r="DN94" s="157"/>
      <c r="DO94" s="157"/>
      <c r="DP94" s="157"/>
      <c r="DQ94" s="157"/>
      <c r="DR94" s="157"/>
      <c r="DS94" s="157"/>
      <c r="DT94" s="157"/>
      <c r="DU94" s="157"/>
      <c r="DV94" s="85"/>
      <c r="DW94" s="85"/>
      <c r="DX94" s="85"/>
      <c r="DY94" s="213"/>
      <c r="DZ94" s="213"/>
      <c r="EA94" s="213"/>
      <c r="EB94" s="213"/>
      <c r="EC94" s="213"/>
      <c r="ED94" s="213"/>
      <c r="EE94" s="213"/>
      <c r="EF94" s="213"/>
      <c r="EG94" s="214"/>
      <c r="EH94" s="214"/>
      <c r="EI94" s="214"/>
      <c r="EJ94" s="214"/>
      <c r="EK94" s="214"/>
      <c r="EL94" s="214"/>
      <c r="EM94" s="214"/>
      <c r="EN94" s="214"/>
      <c r="EO94" s="214"/>
      <c r="EP94" s="85"/>
      <c r="EQ94" s="85"/>
      <c r="ER94" s="85"/>
      <c r="ES94" s="85"/>
    </row>
    <row r="95" spans="3:149" ht="20.399999999999999" customHeight="1">
      <c r="C95" s="98"/>
      <c r="D95" s="700" t="s">
        <v>12393</v>
      </c>
      <c r="E95" s="700"/>
      <c r="F95" s="700"/>
      <c r="G95" s="700"/>
      <c r="H95" s="700"/>
      <c r="I95" s="700"/>
      <c r="J95" s="700"/>
      <c r="K95" s="700"/>
      <c r="L95" s="706">
        <f>VLOOKUP($D$11,調査票①!$A$3:$HK$1735,140,FALSE)</f>
        <v>15</v>
      </c>
      <c r="M95" s="706"/>
      <c r="N95" s="706"/>
      <c r="O95" s="706">
        <f>VLOOKUP($D$11,調査票①!$A$3:$HK$1735,141,FALSE)</f>
        <v>4</v>
      </c>
      <c r="P95" s="706"/>
      <c r="Q95" s="706"/>
      <c r="R95" s="707">
        <f>VLOOKUP($D$11,調査票①!$A$3:$HK$1735,142,FALSE)</f>
        <v>0.26666666666666666</v>
      </c>
      <c r="S95" s="707"/>
      <c r="T95" s="707"/>
      <c r="U95" s="708" t="str">
        <f>VLOOKUP($D$11,調査票①!$A$3:$HK$1735,143,FALSE)&amp;""</f>
        <v>ホール、会議室を有しない分館は指定管理制度導入によるメリットが見込めないため。</v>
      </c>
      <c r="V95" s="709"/>
      <c r="W95" s="709"/>
      <c r="X95" s="709"/>
      <c r="Y95" s="709"/>
      <c r="Z95" s="709"/>
      <c r="AA95" s="709"/>
      <c r="AB95" s="709"/>
      <c r="AC95" s="709"/>
      <c r="AD95" s="709"/>
      <c r="AE95" s="709"/>
      <c r="AF95" s="709"/>
      <c r="AG95" s="709"/>
      <c r="AH95" s="709"/>
      <c r="AI95" s="710"/>
      <c r="AJ95" s="700">
        <f>VLOOKUP($D$11,調査票①!$A$3:$HK$1735,144,FALSE)</f>
        <v>10</v>
      </c>
      <c r="AK95" s="700"/>
      <c r="AL95" s="700"/>
      <c r="AM95" s="715" t="str">
        <f>VLOOKUP($D$11,調査票①!$A$3:$HK$1735,145,FALSE)&amp;""</f>
        <v>ホール、会議室を有しない分館は指定管理制度導入によるメリットが見込めないため。</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100"/>
      <c r="BT95" s="102"/>
      <c r="CB95" s="85"/>
      <c r="CC95" s="215"/>
      <c r="CD95" s="215"/>
      <c r="CE95" s="215"/>
      <c r="CF95" s="215"/>
      <c r="CG95" s="215"/>
      <c r="CH95" s="215"/>
      <c r="CI95" s="215"/>
      <c r="CJ95" s="215"/>
      <c r="CK95" s="215"/>
      <c r="CL95" s="215"/>
      <c r="CM95" s="215"/>
      <c r="CN95" s="215"/>
      <c r="CO95" s="215"/>
      <c r="CP95" s="21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row>
    <row r="96" spans="3:149" ht="20.399999999999999" customHeight="1">
      <c r="C96" s="98"/>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100"/>
      <c r="BT96" s="102"/>
      <c r="CB96" s="94"/>
      <c r="CC96" s="227"/>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c r="EJ96" s="96"/>
      <c r="EK96" s="96"/>
      <c r="EL96" s="96"/>
      <c r="EM96" s="96"/>
      <c r="EN96" s="96"/>
      <c r="EO96" s="96"/>
      <c r="EP96" s="96"/>
      <c r="EQ96" s="96"/>
      <c r="ER96" s="96"/>
      <c r="ES96" s="97"/>
    </row>
    <row r="97" spans="3:192" ht="20.399999999999999" customHeight="1">
      <c r="C97" s="98"/>
      <c r="D97" s="748" t="s">
        <v>12395</v>
      </c>
      <c r="E97" s="700"/>
      <c r="F97" s="700"/>
      <c r="G97" s="700"/>
      <c r="H97" s="700"/>
      <c r="I97" s="700"/>
      <c r="J97" s="700"/>
      <c r="K97" s="700"/>
      <c r="L97" s="706">
        <f>VLOOKUP($D$11,調査票①!$A$3:$HK$1735,146,FALSE)</f>
        <v>9</v>
      </c>
      <c r="M97" s="706"/>
      <c r="N97" s="706"/>
      <c r="O97" s="706">
        <f>VLOOKUP($D$11,調査票①!$A$3:$HK$1735,147,FALSE)</f>
        <v>1</v>
      </c>
      <c r="P97" s="706"/>
      <c r="Q97" s="706"/>
      <c r="R97" s="707">
        <f>VLOOKUP($D$11,調査票①!$A$3:$HK$1735,148,FALSE)</f>
        <v>0.1111111111111111</v>
      </c>
      <c r="S97" s="707"/>
      <c r="T97" s="707"/>
      <c r="U97" s="708" t="str">
        <f>VLOOKUP($D$11,調査票①!$A$3:$HK$1735,149,FALSE)&amp;""</f>
        <v>各施設で行う事業は、長期的な計画と一貫性・継続性の保持が何よりも重要であるため、管理者が短期間で変わる可能性のある指定管理者制度はなじまない。</v>
      </c>
      <c r="V97" s="709"/>
      <c r="W97" s="709"/>
      <c r="X97" s="709"/>
      <c r="Y97" s="709"/>
      <c r="Z97" s="709"/>
      <c r="AA97" s="709"/>
      <c r="AB97" s="709"/>
      <c r="AC97" s="709"/>
      <c r="AD97" s="709"/>
      <c r="AE97" s="709"/>
      <c r="AF97" s="709"/>
      <c r="AG97" s="709"/>
      <c r="AH97" s="709"/>
      <c r="AI97" s="710"/>
      <c r="AJ97" s="700">
        <f>VLOOKUP($D$11,調査票①!$A$3:$HK$1735,150,FALSE)</f>
        <v>8</v>
      </c>
      <c r="AK97" s="700"/>
      <c r="AL97" s="700"/>
      <c r="AM97" s="715" t="str">
        <f>VLOOKUP($D$11,調査票①!$A$3:$HK$1735,151,FALSE)&amp;""</f>
        <v>専門性の高い業務のため常駐が必要であり、高い収益性を求める施設ではないので、民間の資金やノウハウ等の活用（ＰＰＰ）は馴染まない。</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100"/>
      <c r="BT97" s="102"/>
      <c r="CB97" s="98"/>
      <c r="CC97" s="124"/>
      <c r="CD97" s="124"/>
      <c r="CE97" s="124"/>
      <c r="CF97" s="124"/>
      <c r="CG97" s="124"/>
      <c r="CH97" s="124"/>
      <c r="CI97" s="124"/>
      <c r="CJ97" s="124"/>
      <c r="CK97" s="124"/>
      <c r="CL97" s="124"/>
      <c r="CM97" s="125"/>
      <c r="CN97" s="125"/>
      <c r="CO97" s="125"/>
      <c r="CP97" s="125"/>
      <c r="CQ97" s="125"/>
      <c r="CR97" s="125"/>
      <c r="CS97" s="125"/>
      <c r="CT97" s="125"/>
      <c r="CU97" s="125"/>
      <c r="CV97" s="125"/>
      <c r="CW97" s="125"/>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2"/>
    </row>
    <row r="98" spans="3:192" ht="20.399999999999999" customHeight="1">
      <c r="C98" s="98"/>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100"/>
      <c r="BT98" s="102"/>
      <c r="CB98" s="98"/>
      <c r="CC98" s="153" t="s">
        <v>12403</v>
      </c>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2"/>
    </row>
    <row r="99" spans="3:192" ht="20.399999999999999" customHeight="1">
      <c r="C99" s="98"/>
      <c r="D99" s="700" t="s">
        <v>12399</v>
      </c>
      <c r="E99" s="700"/>
      <c r="F99" s="700"/>
      <c r="G99" s="700"/>
      <c r="H99" s="700"/>
      <c r="I99" s="700"/>
      <c r="J99" s="700"/>
      <c r="K99" s="700"/>
      <c r="L99" s="706">
        <f>VLOOKUP($D$11,調査票①!$A$3:$HK$1735,152,FALSE)</f>
        <v>84</v>
      </c>
      <c r="M99" s="706"/>
      <c r="N99" s="706"/>
      <c r="O99" s="706">
        <f>VLOOKUP($D$11,調査票①!$A$3:$HK$1735,153,FALSE)</f>
        <v>15</v>
      </c>
      <c r="P99" s="706"/>
      <c r="Q99" s="706"/>
      <c r="R99" s="707">
        <f>VLOOKUP($D$11,調査票①!$A$3:$HK$1735,154,FALSE)</f>
        <v>0.17857142857142858</v>
      </c>
      <c r="S99" s="707"/>
      <c r="T99" s="707"/>
      <c r="U99" s="742" t="str">
        <f>VLOOKUP($D$11,調査票①!$A$3:$HK$1735,155,FALSE)&amp;""</f>
        <v>直営で運営すべき施設と考えるため。</v>
      </c>
      <c r="V99" s="743"/>
      <c r="W99" s="743"/>
      <c r="X99" s="743"/>
      <c r="Y99" s="743"/>
      <c r="Z99" s="743"/>
      <c r="AA99" s="743"/>
      <c r="AB99" s="743"/>
      <c r="AC99" s="743"/>
      <c r="AD99" s="743"/>
      <c r="AE99" s="743"/>
      <c r="AF99" s="743"/>
      <c r="AG99" s="743"/>
      <c r="AH99" s="743"/>
      <c r="AI99" s="744"/>
      <c r="AJ99" s="714">
        <f>VLOOKUP($D$11,調査票①!$A$3:$HK$1735,156,FALSE)</f>
        <v>68</v>
      </c>
      <c r="AK99" s="714"/>
      <c r="AL99" s="714"/>
      <c r="AM99" s="715" t="str">
        <f>VLOOKUP($D$11,調査票①!$A$3:$HK$1735,157,FALSE)&amp;""</f>
        <v>地域の生涯学習の拠点として、講座等公民館事業を中心に地域と密着した関係が維持できている。</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100"/>
      <c r="BT99" s="102"/>
      <c r="CB99" s="98"/>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100"/>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100"/>
      <c r="DW99" s="100"/>
      <c r="DX99" s="100"/>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100"/>
      <c r="ER99" s="100"/>
      <c r="ES99" s="102"/>
      <c r="FP99" s="114"/>
      <c r="FQ99" s="100"/>
      <c r="FR99" s="100"/>
      <c r="FS99" s="100"/>
      <c r="FT99" s="100"/>
      <c r="FU99" s="100"/>
      <c r="FV99" s="100"/>
      <c r="FW99" s="100"/>
      <c r="FX99" s="100"/>
      <c r="FY99" s="100"/>
      <c r="FZ99" s="100"/>
      <c r="GA99" s="100"/>
      <c r="GB99" s="100"/>
      <c r="GC99" s="100"/>
      <c r="GD99" s="100"/>
      <c r="GE99" s="100"/>
      <c r="GF99" s="100"/>
      <c r="GG99" s="100"/>
      <c r="GH99" s="100"/>
      <c r="GI99" s="100"/>
      <c r="GJ99" s="100"/>
    </row>
    <row r="100" spans="3:192" ht="20.399999999999999" customHeight="1">
      <c r="C100" s="98"/>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100"/>
      <c r="BT100" s="102"/>
      <c r="CB100" s="98"/>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100"/>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100"/>
      <c r="DW100" s="100"/>
      <c r="DX100" s="100"/>
      <c r="DY100" s="700"/>
      <c r="DZ100" s="700"/>
      <c r="EA100" s="700"/>
      <c r="EB100" s="700"/>
      <c r="EC100" s="700"/>
      <c r="ED100" s="700"/>
      <c r="EE100" s="700"/>
      <c r="EF100" s="700"/>
      <c r="EG100" s="700"/>
      <c r="EH100" s="700"/>
      <c r="EI100" s="698"/>
      <c r="EJ100" s="698"/>
      <c r="EK100" s="698"/>
      <c r="EL100" s="698"/>
      <c r="EM100" s="698"/>
      <c r="EN100" s="698"/>
      <c r="EO100" s="698"/>
      <c r="EP100" s="698"/>
      <c r="EQ100" s="100"/>
      <c r="ER100" s="100"/>
      <c r="ES100" s="102"/>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8"/>
      <c r="D101" s="700" t="s">
        <v>12400</v>
      </c>
      <c r="E101" s="700"/>
      <c r="F101" s="700"/>
      <c r="G101" s="700"/>
      <c r="H101" s="700"/>
      <c r="I101" s="700"/>
      <c r="J101" s="700"/>
      <c r="K101" s="700"/>
      <c r="L101" s="706">
        <f>VLOOKUP($D$11,調査票①!$A$3:$HK$1735,158,FALSE)</f>
        <v>2</v>
      </c>
      <c r="M101" s="706"/>
      <c r="N101" s="706"/>
      <c r="O101" s="706">
        <f>VLOOKUP($D$11,調査票①!$A$3:$HK$1735,159,FALSE)</f>
        <v>2</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100"/>
      <c r="BT101" s="102"/>
      <c r="CB101" s="98"/>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100"/>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100"/>
      <c r="DW101" s="100"/>
      <c r="DX101" s="100"/>
      <c r="DY101" s="700"/>
      <c r="DZ101" s="700"/>
      <c r="EA101" s="700"/>
      <c r="EB101" s="700"/>
      <c r="EC101" s="700"/>
      <c r="ED101" s="700"/>
      <c r="EE101" s="700"/>
      <c r="EF101" s="700"/>
      <c r="EG101" s="700"/>
      <c r="EH101" s="700"/>
      <c r="EI101" s="698"/>
      <c r="EJ101" s="698"/>
      <c r="EK101" s="698"/>
      <c r="EL101" s="698"/>
      <c r="EM101" s="698"/>
      <c r="EN101" s="698"/>
      <c r="EO101" s="698"/>
      <c r="EP101" s="698"/>
      <c r="EQ101" s="100"/>
      <c r="ER101" s="100"/>
      <c r="ES101" s="102"/>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8"/>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100"/>
      <c r="BT102" s="102"/>
      <c r="CB102" s="98"/>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100"/>
      <c r="DW102" s="100"/>
      <c r="DX102" s="100"/>
      <c r="DY102" s="700"/>
      <c r="DZ102" s="700"/>
      <c r="EA102" s="700"/>
      <c r="EB102" s="700"/>
      <c r="EC102" s="700"/>
      <c r="ED102" s="700"/>
      <c r="EE102" s="700"/>
      <c r="EF102" s="700"/>
      <c r="EG102" s="700"/>
      <c r="EH102" s="700"/>
      <c r="EI102" s="698"/>
      <c r="EJ102" s="698"/>
      <c r="EK102" s="698"/>
      <c r="EL102" s="698"/>
      <c r="EM102" s="698"/>
      <c r="EN102" s="698"/>
      <c r="EO102" s="698"/>
      <c r="EP102" s="698"/>
      <c r="EQ102" s="100"/>
      <c r="ER102" s="100"/>
      <c r="ES102" s="102"/>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8"/>
      <c r="D103" s="734" t="s">
        <v>12401</v>
      </c>
      <c r="E103" s="735"/>
      <c r="F103" s="735"/>
      <c r="G103" s="735"/>
      <c r="H103" s="735"/>
      <c r="I103" s="735"/>
      <c r="J103" s="735"/>
      <c r="K103" s="735"/>
      <c r="L103" s="706">
        <f>VLOOKUP($D$11,調査票①!$A$3:$HK$1735,164,FALSE)</f>
        <v>0</v>
      </c>
      <c r="M103" s="706"/>
      <c r="N103" s="706"/>
      <c r="O103" s="706">
        <f>VLOOKUP($D$11,調査票①!$A$3:$HK$1735,165,FALSE)</f>
        <v>0</v>
      </c>
      <c r="P103" s="706"/>
      <c r="Q103" s="706"/>
      <c r="R103" s="707" t="str">
        <f>VLOOKUP($D$11,調査票①!$A$3:$HK$1735,166,FALSE)</f>
        <v/>
      </c>
      <c r="S103" s="707"/>
      <c r="T103" s="707"/>
      <c r="U103" s="736" t="str">
        <f>VLOOKUP($D$11,調査票①!$A$3:$HK$1735,167,FALSE)&amp;""</f>
        <v>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100"/>
      <c r="BT103" s="102"/>
      <c r="BX103" s="93"/>
      <c r="BY103" s="93"/>
      <c r="BZ103" s="93"/>
      <c r="CA103" s="93"/>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100"/>
      <c r="DW103" s="100"/>
      <c r="DX103" s="100"/>
      <c r="DY103" s="700"/>
      <c r="DZ103" s="700"/>
      <c r="EA103" s="700"/>
      <c r="EB103" s="700"/>
      <c r="EC103" s="700"/>
      <c r="ED103" s="700"/>
      <c r="EE103" s="700"/>
      <c r="EF103" s="700"/>
      <c r="EG103" s="700"/>
      <c r="EH103" s="700"/>
      <c r="EI103" s="698"/>
      <c r="EJ103" s="698"/>
      <c r="EK103" s="698"/>
      <c r="EL103" s="698"/>
      <c r="EM103" s="698"/>
      <c r="EN103" s="698"/>
      <c r="EO103" s="698"/>
      <c r="EP103" s="698"/>
      <c r="EQ103" s="100"/>
      <c r="ER103" s="100"/>
      <c r="ES103" s="102"/>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8"/>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100"/>
      <c r="BT104" s="102"/>
      <c r="CB104" s="98"/>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2"/>
    </row>
    <row r="105" spans="3:192" ht="20.399999999999999" customHeight="1">
      <c r="C105" s="98"/>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100"/>
      <c r="BT105" s="102"/>
      <c r="CB105" s="98"/>
      <c r="CC105" s="114" t="s">
        <v>12394</v>
      </c>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100"/>
      <c r="ER105" s="100"/>
      <c r="ES105" s="100"/>
      <c r="ET105" s="152"/>
    </row>
    <row r="106" spans="3:192" ht="20.399999999999999" customHeight="1">
      <c r="C106" s="98"/>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100"/>
      <c r="BT106" s="102"/>
      <c r="CB106" s="98"/>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2"/>
      <c r="CY106" s="112"/>
      <c r="CZ106" s="112"/>
      <c r="DA106" s="100"/>
      <c r="DB106" s="100"/>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100"/>
      <c r="ER106" s="100"/>
      <c r="ES106" s="102"/>
    </row>
    <row r="107" spans="3:192" ht="20.399999999999999" customHeight="1">
      <c r="C107" s="98"/>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100"/>
      <c r="BT107" s="102"/>
      <c r="CB107" s="98"/>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100"/>
      <c r="DB107" s="99"/>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100"/>
      <c r="ER107" s="100"/>
      <c r="ES107" s="102"/>
    </row>
    <row r="108" spans="3:192" ht="20.399999999999999" customHeight="1">
      <c r="C108" s="98"/>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100"/>
      <c r="BT108" s="102"/>
      <c r="CB108" s="98"/>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100"/>
      <c r="DB108" s="99"/>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100"/>
      <c r="ER108" s="100"/>
      <c r="ES108" s="102"/>
    </row>
    <row r="109" spans="3:192" ht="20.399999999999999" customHeight="1">
      <c r="C109" s="98"/>
      <c r="D109" s="700" t="s">
        <v>12407</v>
      </c>
      <c r="E109" s="700"/>
      <c r="F109" s="700"/>
      <c r="G109" s="700"/>
      <c r="H109" s="700"/>
      <c r="I109" s="700"/>
      <c r="J109" s="700"/>
      <c r="K109" s="700"/>
      <c r="L109" s="706">
        <f>VLOOKUP($D$11,調査票①!$A$3:$HK$1735,182,FALSE)</f>
        <v>10</v>
      </c>
      <c r="M109" s="706"/>
      <c r="N109" s="706"/>
      <c r="O109" s="706">
        <f>VLOOKUP($D$11,調査票①!$A$3:$HK$1735,183,FALSE)</f>
        <v>3</v>
      </c>
      <c r="P109" s="706"/>
      <c r="Q109" s="706"/>
      <c r="R109" s="707">
        <f>VLOOKUP($D$11,調査票①!$A$3:$HK$1735,184,FALSE)</f>
        <v>0.3</v>
      </c>
      <c r="S109" s="707"/>
      <c r="T109" s="707"/>
      <c r="U109" s="708" t="str">
        <f>VLOOKUP($D$11,調査票①!$A$3:$HK$1735,185,FALSE)&amp;""</f>
        <v>施設が小規模であり、指定管理導入効果が少ないと考えられ、今後も導入する予定は無いため。</v>
      </c>
      <c r="V109" s="709"/>
      <c r="W109" s="709"/>
      <c r="X109" s="709"/>
      <c r="Y109" s="709"/>
      <c r="Z109" s="709"/>
      <c r="AA109" s="709"/>
      <c r="AB109" s="709"/>
      <c r="AC109" s="709"/>
      <c r="AD109" s="709"/>
      <c r="AE109" s="709"/>
      <c r="AF109" s="709"/>
      <c r="AG109" s="709"/>
      <c r="AH109" s="709"/>
      <c r="AI109" s="710"/>
      <c r="AJ109" s="714">
        <f>VLOOKUP($D$11,調査票①!$A$3:$HK$1735,186,FALSE)</f>
        <v>2</v>
      </c>
      <c r="AK109" s="714"/>
      <c r="AL109" s="714"/>
      <c r="AM109" s="715" t="str">
        <f>VLOOKUP($D$11,調査票①!$A$3:$HK$1735,187,FALSE)&amp;""</f>
        <v>施設が小規模であり、指定管理導入効果が少ないと考えられる。</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100"/>
      <c r="BT109" s="102"/>
      <c r="CB109" s="98"/>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100"/>
      <c r="CY109" s="100"/>
      <c r="CZ109" s="100"/>
      <c r="DA109" s="100"/>
      <c r="DB109" s="100"/>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100"/>
      <c r="ER109" s="100"/>
      <c r="ES109" s="102"/>
    </row>
    <row r="110" spans="3:192" ht="20.399999999999999" customHeight="1">
      <c r="C110" s="98"/>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100"/>
      <c r="BT110" s="102"/>
      <c r="CB110" s="98"/>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100"/>
      <c r="CY110" s="100"/>
      <c r="CZ110" s="100"/>
      <c r="DA110" s="100"/>
      <c r="DB110" s="100"/>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100"/>
      <c r="ER110" s="100"/>
      <c r="ES110" s="102"/>
    </row>
    <row r="111" spans="3:192" ht="18.649999999999999" customHeight="1">
      <c r="C111" s="98"/>
      <c r="D111" s="700" t="s">
        <v>12409</v>
      </c>
      <c r="E111" s="700"/>
      <c r="F111" s="700"/>
      <c r="G111" s="700"/>
      <c r="H111" s="700"/>
      <c r="I111" s="700"/>
      <c r="J111" s="700"/>
      <c r="K111" s="700"/>
      <c r="L111" s="706">
        <f>VLOOKUP($D$11,調査票①!$A$3:$HK$1735,188,FALSE)</f>
        <v>11</v>
      </c>
      <c r="M111" s="706"/>
      <c r="N111" s="706"/>
      <c r="O111" s="706">
        <f>VLOOKUP($D$11,調査票①!$A$3:$HK$1735,189,FALSE)</f>
        <v>10</v>
      </c>
      <c r="P111" s="706"/>
      <c r="Q111" s="706"/>
      <c r="R111" s="707">
        <f>VLOOKUP($D$11,調査票①!$A$3:$HK$1735,190,FALSE)</f>
        <v>0.90909090909090906</v>
      </c>
      <c r="S111" s="707"/>
      <c r="T111" s="707"/>
      <c r="U111" s="708" t="str">
        <f>VLOOKUP($D$11,調査票①!$A$3:$HK$1735,191,FALSE)&amp;""</f>
        <v>指定管理者制度を導入しても経費節減が見込まれない為（小規模施設）</v>
      </c>
      <c r="V111" s="709"/>
      <c r="W111" s="709"/>
      <c r="X111" s="709"/>
      <c r="Y111" s="709"/>
      <c r="Z111" s="709"/>
      <c r="AA111" s="709"/>
      <c r="AB111" s="709"/>
      <c r="AC111" s="709"/>
      <c r="AD111" s="709"/>
      <c r="AE111" s="709"/>
      <c r="AF111" s="709"/>
      <c r="AG111" s="709"/>
      <c r="AH111" s="709"/>
      <c r="AI111" s="710"/>
      <c r="AJ111" s="714">
        <f>VLOOKUP($D$11,調査票①!$A$3:$HK$1735,192,FALSE)</f>
        <v>1</v>
      </c>
      <c r="AK111" s="714"/>
      <c r="AL111" s="714"/>
      <c r="AM111" s="715" t="str">
        <f>VLOOKUP($D$11,調査票①!$A$3:$HK$1735,193,FALSE)&amp;""</f>
        <v>指定管理者制度を導入しても経費節減が見込まれない為（小規模施設）</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100"/>
      <c r="BT111" s="102"/>
      <c r="CB111" s="98"/>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100"/>
      <c r="CY111" s="100"/>
      <c r="CZ111" s="100"/>
      <c r="DA111" s="100"/>
      <c r="DB111" s="10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100"/>
      <c r="ER111" s="100"/>
      <c r="ES111" s="102"/>
    </row>
    <row r="112" spans="3:192" ht="18.649999999999999" customHeight="1">
      <c r="C112" s="98"/>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100"/>
      <c r="BT112" s="102"/>
      <c r="CB112" s="98"/>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00"/>
      <c r="CY112" s="100"/>
      <c r="CZ112" s="100"/>
      <c r="DA112" s="100"/>
      <c r="DB112" s="100"/>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100"/>
      <c r="ER112" s="100"/>
      <c r="ES112" s="102"/>
    </row>
    <row r="113" spans="3:149" ht="12.65" customHeight="1">
      <c r="C113" s="98"/>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00"/>
      <c r="BT113" s="102"/>
      <c r="CB113" s="98"/>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100"/>
      <c r="CY113" s="100"/>
      <c r="CZ113" s="100"/>
      <c r="DA113" s="100"/>
      <c r="DB113" s="100"/>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100"/>
      <c r="ER113" s="100"/>
      <c r="ES113" s="102"/>
    </row>
    <row r="114" spans="3:149" ht="12.65" customHeight="1">
      <c r="C114" s="98"/>
      <c r="D114" s="99"/>
      <c r="E114" s="99"/>
      <c r="F114" s="99"/>
      <c r="G114" s="99"/>
      <c r="H114" s="99"/>
      <c r="I114" s="99"/>
      <c r="J114" s="99"/>
      <c r="K114" s="99"/>
      <c r="L114" s="99"/>
      <c r="M114" s="99"/>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1"/>
      <c r="BH114" s="100"/>
      <c r="BI114" s="100"/>
      <c r="BJ114" s="100"/>
      <c r="BK114" s="100"/>
      <c r="BL114" s="100"/>
      <c r="BM114" s="100"/>
      <c r="BN114" s="100"/>
      <c r="BO114" s="101"/>
      <c r="BP114" s="100"/>
      <c r="BQ114" s="100"/>
      <c r="BR114" s="100"/>
      <c r="BS114" s="100"/>
      <c r="BT114" s="102"/>
      <c r="CB114" s="98"/>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100"/>
      <c r="CY114" s="100"/>
      <c r="CZ114" s="100"/>
      <c r="DA114" s="100"/>
      <c r="DB114" s="100"/>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100"/>
      <c r="ER114" s="100"/>
      <c r="ES114" s="102"/>
    </row>
    <row r="115" spans="3:149" ht="12.65" customHeight="1">
      <c r="C115" s="117"/>
      <c r="D115" s="155"/>
      <c r="E115" s="155"/>
      <c r="F115" s="155"/>
      <c r="G115" s="155"/>
      <c r="H115" s="155"/>
      <c r="I115" s="155"/>
      <c r="J115" s="155"/>
      <c r="K115" s="155"/>
      <c r="L115" s="155"/>
      <c r="M115" s="155"/>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56"/>
      <c r="BH115" s="119"/>
      <c r="BI115" s="119"/>
      <c r="BJ115" s="119"/>
      <c r="BK115" s="119"/>
      <c r="BL115" s="119"/>
      <c r="BM115" s="119"/>
      <c r="BN115" s="119"/>
      <c r="BO115" s="156"/>
      <c r="BP115" s="119"/>
      <c r="BQ115" s="119"/>
      <c r="BR115" s="119"/>
      <c r="BS115" s="119"/>
      <c r="BT115" s="120"/>
      <c r="CB115" s="117"/>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c r="CY115" s="119"/>
      <c r="CZ115" s="119"/>
      <c r="DA115" s="119"/>
      <c r="DB115" s="119"/>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9"/>
      <c r="ER115" s="119"/>
      <c r="ES115" s="120"/>
    </row>
    <row r="116" spans="3:149" ht="12.65" customHeight="1">
      <c r="C116" s="85"/>
      <c r="D116" s="157"/>
      <c r="E116" s="157"/>
      <c r="F116" s="157"/>
      <c r="G116" s="157"/>
      <c r="H116" s="157"/>
      <c r="I116" s="157"/>
      <c r="J116" s="157"/>
      <c r="K116" s="157"/>
      <c r="L116" s="157"/>
      <c r="M116" s="157"/>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158"/>
      <c r="BH116" s="85"/>
      <c r="BI116" s="85"/>
      <c r="BJ116" s="85"/>
      <c r="BK116" s="85"/>
      <c r="BL116" s="85"/>
      <c r="BM116" s="85"/>
      <c r="BN116" s="85"/>
      <c r="BO116" s="85"/>
    </row>
    <row r="117" spans="3:149" ht="12.65" customHeight="1">
      <c r="C117" s="85"/>
      <c r="D117" s="157"/>
      <c r="E117" s="157"/>
      <c r="F117" s="157"/>
      <c r="G117" s="157"/>
      <c r="H117" s="157"/>
      <c r="I117" s="157"/>
      <c r="J117" s="157"/>
      <c r="K117" s="157"/>
      <c r="L117" s="157"/>
      <c r="M117" s="157"/>
      <c r="N117" s="85"/>
      <c r="O117" s="85"/>
      <c r="P117" s="85"/>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158"/>
      <c r="BH117" s="85"/>
      <c r="BI117" s="85"/>
      <c r="BJ117" s="85"/>
      <c r="BK117" s="85"/>
      <c r="BL117" s="85"/>
      <c r="BM117" s="85"/>
      <c r="BN117" s="85"/>
      <c r="BO117" s="85"/>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【別表】自治体コード!$A$2:$A$41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41"/>
  <sheetViews>
    <sheetView workbookViewId="0">
      <selection activeCell="F22" sqref="F22"/>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47" t="s">
        <v>15088</v>
      </c>
      <c r="B2" s="222" t="s">
        <v>7302</v>
      </c>
      <c r="C2" s="222" t="s">
        <v>7303</v>
      </c>
    </row>
    <row r="3" spans="1:3">
      <c r="A3" s="21" t="s">
        <v>15094</v>
      </c>
      <c r="B3" s="159" t="s">
        <v>7302</v>
      </c>
      <c r="C3" s="159" t="s">
        <v>12249</v>
      </c>
    </row>
    <row r="4" spans="1:3">
      <c r="A4" s="168" t="s">
        <v>16614</v>
      </c>
      <c r="B4" s="55" t="s">
        <v>7302</v>
      </c>
      <c r="C4" s="159" t="s">
        <v>7325</v>
      </c>
    </row>
    <row r="5" spans="1:3">
      <c r="A5" s="168" t="s">
        <v>16616</v>
      </c>
      <c r="B5" s="55" t="s">
        <v>7302</v>
      </c>
      <c r="C5" s="159" t="s">
        <v>7333</v>
      </c>
    </row>
    <row r="6" spans="1:3">
      <c r="A6" s="168" t="s">
        <v>16620</v>
      </c>
      <c r="B6" s="55" t="s">
        <v>7302</v>
      </c>
      <c r="C6" s="159" t="s">
        <v>7347</v>
      </c>
    </row>
    <row r="7" spans="1:3">
      <c r="A7" s="168" t="s">
        <v>16623</v>
      </c>
      <c r="B7" s="55" t="s">
        <v>7302</v>
      </c>
      <c r="C7" s="159" t="s">
        <v>7350</v>
      </c>
    </row>
    <row r="8" spans="1:3">
      <c r="A8" s="168">
        <v>282073</v>
      </c>
      <c r="B8" s="55" t="s">
        <v>7302</v>
      </c>
      <c r="C8" s="159" t="s">
        <v>7357</v>
      </c>
    </row>
    <row r="9" spans="1:3">
      <c r="A9" s="168" t="s">
        <v>15101</v>
      </c>
      <c r="B9" s="55" t="s">
        <v>7302</v>
      </c>
      <c r="C9" s="159" t="s">
        <v>7363</v>
      </c>
    </row>
    <row r="10" spans="1:3">
      <c r="A10" s="168">
        <v>282090</v>
      </c>
      <c r="B10" s="55" t="s">
        <v>7302</v>
      </c>
      <c r="C10" s="159" t="s">
        <v>7371</v>
      </c>
    </row>
    <row r="11" spans="1:3">
      <c r="A11" s="168">
        <v>282103</v>
      </c>
      <c r="B11" s="55" t="s">
        <v>16627</v>
      </c>
      <c r="C11" s="159" t="s">
        <v>7380</v>
      </c>
    </row>
    <row r="12" spans="1:3">
      <c r="A12" s="168">
        <v>282120</v>
      </c>
      <c r="B12" s="55" t="s">
        <v>7302</v>
      </c>
      <c r="C12" s="159" t="s">
        <v>7383</v>
      </c>
    </row>
    <row r="13" spans="1:3">
      <c r="A13" s="168">
        <v>282138</v>
      </c>
      <c r="B13" s="55" t="s">
        <v>7302</v>
      </c>
      <c r="C13" s="159" t="s">
        <v>7391</v>
      </c>
    </row>
    <row r="14" spans="1:3">
      <c r="A14" s="168" t="s">
        <v>16628</v>
      </c>
      <c r="B14" s="55" t="s">
        <v>7302</v>
      </c>
      <c r="C14" s="159" t="s">
        <v>7395</v>
      </c>
    </row>
    <row r="15" spans="1:3">
      <c r="A15" s="168">
        <v>282154</v>
      </c>
      <c r="B15" s="55" t="s">
        <v>16627</v>
      </c>
      <c r="C15" s="159" t="s">
        <v>7399</v>
      </c>
    </row>
    <row r="16" spans="1:3">
      <c r="A16" s="168" t="s">
        <v>15105</v>
      </c>
      <c r="B16" s="55" t="s">
        <v>7302</v>
      </c>
      <c r="C16" s="159" t="s">
        <v>7415</v>
      </c>
    </row>
    <row r="17" spans="1:3">
      <c r="A17" s="168" t="s">
        <v>15106</v>
      </c>
      <c r="B17" s="55" t="s">
        <v>7302</v>
      </c>
      <c r="C17" s="159" t="s">
        <v>7423</v>
      </c>
    </row>
    <row r="18" spans="1:3">
      <c r="A18" s="168">
        <v>282189</v>
      </c>
      <c r="B18" s="55" t="s">
        <v>7302</v>
      </c>
      <c r="C18" s="159" t="s">
        <v>7426</v>
      </c>
    </row>
    <row r="19" spans="1:3">
      <c r="A19" s="168">
        <v>282197</v>
      </c>
      <c r="B19" s="55" t="s">
        <v>7302</v>
      </c>
      <c r="C19" s="159" t="s">
        <v>7437</v>
      </c>
    </row>
    <row r="20" spans="1:3">
      <c r="A20" s="168">
        <v>282201</v>
      </c>
      <c r="B20" s="55" t="s">
        <v>7302</v>
      </c>
      <c r="C20" s="159" t="s">
        <v>7441</v>
      </c>
    </row>
    <row r="21" spans="1:3">
      <c r="A21" s="168">
        <v>282219</v>
      </c>
      <c r="B21" s="55" t="s">
        <v>7302</v>
      </c>
      <c r="C21" s="159" t="s">
        <v>11572</v>
      </c>
    </row>
    <row r="22" spans="1:3">
      <c r="A22" s="168">
        <v>282227</v>
      </c>
      <c r="B22" s="55" t="s">
        <v>7302</v>
      </c>
      <c r="C22" s="159" t="s">
        <v>18746</v>
      </c>
    </row>
    <row r="23" spans="1:3">
      <c r="A23" s="168">
        <v>282235</v>
      </c>
      <c r="B23" s="55" t="s">
        <v>7302</v>
      </c>
      <c r="C23" s="159" t="s">
        <v>7465</v>
      </c>
    </row>
    <row r="24" spans="1:3">
      <c r="A24" s="170">
        <v>282243</v>
      </c>
      <c r="B24" s="55" t="s">
        <v>7302</v>
      </c>
      <c r="C24" s="552" t="s">
        <v>7468</v>
      </c>
    </row>
    <row r="25" spans="1:3">
      <c r="A25" s="170">
        <v>282251</v>
      </c>
      <c r="B25" s="55" t="s">
        <v>7302</v>
      </c>
      <c r="C25" s="552" t="s">
        <v>7486</v>
      </c>
    </row>
    <row r="26" spans="1:3">
      <c r="A26" s="170">
        <v>282260</v>
      </c>
      <c r="B26" s="55" t="s">
        <v>7302</v>
      </c>
      <c r="C26" s="552" t="s">
        <v>7503</v>
      </c>
    </row>
    <row r="27" spans="1:3">
      <c r="A27" s="170" t="s">
        <v>15119</v>
      </c>
      <c r="B27" s="55" t="s">
        <v>7302</v>
      </c>
      <c r="C27" s="552" t="s">
        <v>7509</v>
      </c>
    </row>
    <row r="28" spans="1:3">
      <c r="A28" s="170">
        <v>282286</v>
      </c>
      <c r="B28" s="55" t="s">
        <v>7302</v>
      </c>
      <c r="C28" s="552" t="s">
        <v>7514</v>
      </c>
    </row>
    <row r="29" spans="1:3">
      <c r="A29" s="170">
        <v>282294</v>
      </c>
      <c r="B29" s="55" t="s">
        <v>7302</v>
      </c>
      <c r="C29" s="552" t="s">
        <v>7520</v>
      </c>
    </row>
    <row r="30" spans="1:3">
      <c r="A30" s="170" t="s">
        <v>15127</v>
      </c>
      <c r="B30" s="55" t="s">
        <v>7302</v>
      </c>
      <c r="C30" s="552" t="s">
        <v>7526</v>
      </c>
    </row>
    <row r="31" spans="1:3">
      <c r="A31" s="170" t="s">
        <v>15129</v>
      </c>
      <c r="B31" s="55" t="s">
        <v>7302</v>
      </c>
      <c r="C31" s="552" t="s">
        <v>18747</v>
      </c>
    </row>
    <row r="32" spans="1:3">
      <c r="A32" s="170">
        <v>283819</v>
      </c>
      <c r="B32" s="55" t="s">
        <v>7302</v>
      </c>
      <c r="C32" s="552" t="s">
        <v>7539</v>
      </c>
    </row>
    <row r="33" spans="1:3">
      <c r="A33" s="170" t="s">
        <v>19232</v>
      </c>
      <c r="B33" s="55" t="s">
        <v>16627</v>
      </c>
      <c r="C33" s="552" t="s">
        <v>7569</v>
      </c>
    </row>
    <row r="34" spans="1:3">
      <c r="A34" s="170" t="s">
        <v>16640</v>
      </c>
      <c r="B34" s="55" t="s">
        <v>7302</v>
      </c>
      <c r="C34" s="552" t="s">
        <v>7561</v>
      </c>
    </row>
    <row r="35" spans="1:3">
      <c r="A35" s="170">
        <v>284432</v>
      </c>
      <c r="B35" s="55" t="s">
        <v>7302</v>
      </c>
      <c r="C35" s="552" t="s">
        <v>7549</v>
      </c>
    </row>
    <row r="36" spans="1:3">
      <c r="A36" s="170" t="s">
        <v>19233</v>
      </c>
      <c r="B36" s="55" t="s">
        <v>16627</v>
      </c>
      <c r="C36" s="552" t="s">
        <v>7574</v>
      </c>
    </row>
    <row r="37" spans="1:3">
      <c r="A37" s="170" t="s">
        <v>19234</v>
      </c>
      <c r="B37" s="55" t="s">
        <v>16627</v>
      </c>
      <c r="C37" s="552" t="s">
        <v>7292</v>
      </c>
    </row>
    <row r="38" spans="1:3">
      <c r="A38" s="170">
        <v>284815</v>
      </c>
      <c r="B38" s="55" t="s">
        <v>7302</v>
      </c>
      <c r="C38" s="552" t="s">
        <v>7584</v>
      </c>
    </row>
    <row r="39" spans="1:3">
      <c r="A39" s="170">
        <v>285013</v>
      </c>
      <c r="B39" s="55" t="s">
        <v>7302</v>
      </c>
      <c r="C39" s="552" t="s">
        <v>15135</v>
      </c>
    </row>
    <row r="40" spans="1:3">
      <c r="A40" s="170">
        <v>285854</v>
      </c>
      <c r="B40" s="55" t="s">
        <v>7302</v>
      </c>
      <c r="C40" s="552" t="s">
        <v>7597</v>
      </c>
    </row>
    <row r="41" spans="1:3">
      <c r="A41" s="170">
        <v>285862</v>
      </c>
      <c r="B41" s="55" t="s">
        <v>7302</v>
      </c>
      <c r="C41" s="552" t="s">
        <v>7601</v>
      </c>
    </row>
  </sheetData>
  <autoFilter ref="A1:C41" xr:uid="{421A14DA-6BA2-44A0-9C56-5B2F544CCEF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2022-03-30T05:31:44Z</dcterms:modified>
</cp:coreProperties>
</file>