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D8E37D8-9446-4544-90D8-C70A194A65F8}"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【別表】自治体コード!$A$1:$C$45</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<sst xmlns="http://schemas.openxmlformats.org/spreadsheetml/2006/main" count="198403" uniqueCount="19620">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</sst>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9" t="s">
        <v>59</v>
      </c>
      <c r="HG7" s="667" t="s">
        <v>60</v>
      </c>
      <c r="HH7" s="668"/>
      <c r="HI7" s="59" t="s">
        <v>61</v>
      </c>
      <c r="HJ7" s="667" t="s">
        <v>62</v>
      </c>
      <c r="HK7" s="669"/>
    </row>
    <row r="8" spans="1:219" ht="132" customHeight="1">
      <c r="A8" s="660"/>
      <c r="B8" s="619"/>
      <c r="C8" s="619"/>
      <c r="D8" s="618"/>
      <c r="E8" s="60" t="s">
        <v>63</v>
      </c>
      <c r="F8" s="662"/>
      <c r="G8" s="619"/>
      <c r="H8" s="60" t="s">
        <v>63</v>
      </c>
      <c r="I8" s="662"/>
      <c r="J8" s="619"/>
      <c r="K8" s="61" t="s">
        <v>63</v>
      </c>
      <c r="L8" s="662"/>
      <c r="M8" s="619"/>
      <c r="N8" s="62" t="s">
        <v>63</v>
      </c>
      <c r="O8" s="662"/>
      <c r="P8" s="619"/>
      <c r="Q8" s="62" t="s">
        <v>63</v>
      </c>
      <c r="R8" s="662"/>
      <c r="S8" s="619"/>
      <c r="T8" s="63" t="s">
        <v>63</v>
      </c>
      <c r="U8" s="662"/>
      <c r="V8" s="619"/>
      <c r="W8" s="63" t="s">
        <v>63</v>
      </c>
      <c r="X8" s="662"/>
      <c r="Y8" s="619"/>
      <c r="Z8" s="63" t="s">
        <v>63</v>
      </c>
      <c r="AA8" s="662"/>
      <c r="AB8" s="619"/>
      <c r="AC8" s="63" t="s">
        <v>63</v>
      </c>
      <c r="AD8" s="662"/>
      <c r="AE8" s="619"/>
      <c r="AF8" s="160" t="s">
        <v>63</v>
      </c>
      <c r="AG8" s="675"/>
      <c r="AH8" s="678"/>
      <c r="AI8" s="63" t="s">
        <v>63</v>
      </c>
      <c r="AJ8" s="662"/>
      <c r="AK8" s="619"/>
      <c r="AL8" s="63" t="s">
        <v>63</v>
      </c>
      <c r="AM8" s="662"/>
      <c r="AN8" s="619"/>
      <c r="AO8" s="63" t="s">
        <v>63</v>
      </c>
      <c r="AP8" s="662"/>
      <c r="AQ8" s="619"/>
      <c r="AR8" s="63" t="s">
        <v>63</v>
      </c>
      <c r="AS8" s="662"/>
      <c r="AT8" s="619"/>
      <c r="AU8" s="63" t="s">
        <v>63</v>
      </c>
      <c r="AV8" s="662"/>
      <c r="AW8" s="619"/>
      <c r="AX8" s="63" t="s">
        <v>63</v>
      </c>
      <c r="AY8" s="662"/>
      <c r="AZ8" s="619"/>
      <c r="BA8" s="63"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5" t="s">
        <v>64</v>
      </c>
      <c r="HE8" s="65" t="s">
        <v>128</v>
      </c>
      <c r="HF8" s="66"/>
      <c r="HG8" s="67"/>
      <c r="HH8" s="64" t="s">
        <v>65</v>
      </c>
      <c r="HI8" s="67"/>
      <c r="HJ8" s="67"/>
      <c r="HK8" s="181" t="s">
        <v>66</v>
      </c>
    </row>
    <row r="9" spans="1:219" s="161"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1"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2"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1"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1"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1"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1"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1"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1"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1"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1"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1"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1"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1"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1"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1"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1"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1"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1"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1"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1"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1"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3"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3"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3"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3"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3"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3"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3"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3"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3"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3"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3"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3"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3"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3"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3"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3"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3"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3"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3"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3"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3"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3"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3"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3"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3"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3"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3"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3"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3"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3"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3"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3"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3"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3"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3"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3"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3"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3"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3"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3"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3"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3"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3"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3"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3"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3"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3"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3"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3"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3"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3"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3"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3"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3"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3"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3"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3"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3"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3"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3"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3"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3"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3"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3"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3"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3"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3"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3"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3"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3"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3"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3"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3"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3"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3"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3"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3"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3"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3"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3"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3"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3"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3"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3"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3"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3"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8">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3"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3"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3"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3"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3"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3"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3"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3"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3"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3"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3"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3"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3"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3"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3"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3"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3"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3"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3"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3"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3"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3"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3"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3"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3"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3"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3"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3"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3"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3"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3"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3"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3"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3"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3"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3"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3"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3"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3"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3"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3"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3"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3"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3"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3"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3"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3"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3"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3"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3"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3"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3"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3"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3"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3"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3"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3"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3"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3"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3"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3"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3"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3"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3"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3"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3"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3"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3"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3"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3"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69" t="s">
        <v>132</v>
      </c>
      <c r="F187" s="169"/>
      <c r="G187" s="239" t="s">
        <v>137</v>
      </c>
      <c r="H187" s="169" t="s">
        <v>132</v>
      </c>
      <c r="I187" s="169" t="s">
        <v>137</v>
      </c>
      <c r="J187" s="239" t="s">
        <v>137</v>
      </c>
      <c r="K187" s="341" t="s">
        <v>132</v>
      </c>
      <c r="L187" s="169" t="s">
        <v>137</v>
      </c>
      <c r="M187" s="342" t="s">
        <v>137</v>
      </c>
      <c r="N187" s="169" t="s">
        <v>138</v>
      </c>
      <c r="O187" s="169" t="s">
        <v>132</v>
      </c>
      <c r="P187" s="239" t="s">
        <v>1426</v>
      </c>
      <c r="Q187" s="169" t="s">
        <v>132</v>
      </c>
      <c r="R187" s="169" t="s">
        <v>137</v>
      </c>
      <c r="S187" s="239" t="s">
        <v>137</v>
      </c>
      <c r="T187" s="169" t="s">
        <v>138</v>
      </c>
      <c r="U187" s="169" t="s">
        <v>137</v>
      </c>
      <c r="V187" s="239" t="s">
        <v>137</v>
      </c>
      <c r="W187" s="169" t="s">
        <v>132</v>
      </c>
      <c r="X187" s="169" t="s">
        <v>137</v>
      </c>
      <c r="Y187" s="239" t="s">
        <v>137</v>
      </c>
      <c r="Z187" s="169" t="s">
        <v>132</v>
      </c>
      <c r="AA187" s="169" t="s">
        <v>137</v>
      </c>
      <c r="AB187" s="239" t="s">
        <v>137</v>
      </c>
      <c r="AC187" s="245" t="s">
        <v>132</v>
      </c>
      <c r="AD187" s="245" t="s">
        <v>137</v>
      </c>
      <c r="AE187" s="239" t="s">
        <v>137</v>
      </c>
      <c r="AF187" s="563" t="s">
        <v>148</v>
      </c>
      <c r="AG187" s="556" t="s">
        <v>132</v>
      </c>
      <c r="AH187" s="555" t="s">
        <v>16209</v>
      </c>
      <c r="AI187" s="169" t="s">
        <v>132</v>
      </c>
      <c r="AJ187" s="169" t="s">
        <v>137</v>
      </c>
      <c r="AK187" s="550" t="s">
        <v>137</v>
      </c>
      <c r="AL187" s="169" t="s">
        <v>132</v>
      </c>
      <c r="AM187" s="169" t="s">
        <v>137</v>
      </c>
      <c r="AN187" s="239" t="s">
        <v>137</v>
      </c>
      <c r="AO187" s="169" t="s">
        <v>138</v>
      </c>
      <c r="AP187" s="169" t="s">
        <v>137</v>
      </c>
      <c r="AQ187" s="239" t="s">
        <v>137</v>
      </c>
      <c r="AR187" s="169" t="s">
        <v>132</v>
      </c>
      <c r="AS187" s="169" t="s">
        <v>137</v>
      </c>
      <c r="AT187" s="239" t="s">
        <v>137</v>
      </c>
      <c r="AU187" s="169" t="s">
        <v>132</v>
      </c>
      <c r="AV187" s="169" t="s">
        <v>137</v>
      </c>
      <c r="AW187" s="239" t="s">
        <v>137</v>
      </c>
      <c r="AX187" s="169" t="s">
        <v>132</v>
      </c>
      <c r="AY187" s="169" t="s">
        <v>137</v>
      </c>
      <c r="AZ187" s="239" t="s">
        <v>137</v>
      </c>
      <c r="BA187" s="169" t="s">
        <v>132</v>
      </c>
      <c r="BB187" s="169"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9"/>
      <c r="GP187" s="169"/>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69" t="s">
        <v>132</v>
      </c>
      <c r="F227" s="169" t="s">
        <v>137</v>
      </c>
      <c r="G227" s="239" t="s">
        <v>137</v>
      </c>
      <c r="H227" s="169" t="s">
        <v>132</v>
      </c>
      <c r="I227" s="169" t="s">
        <v>137</v>
      </c>
      <c r="J227" s="239" t="s">
        <v>137</v>
      </c>
      <c r="K227" s="341" t="s">
        <v>132</v>
      </c>
      <c r="L227" s="169" t="s">
        <v>137</v>
      </c>
      <c r="M227" s="342" t="s">
        <v>137</v>
      </c>
      <c r="N227" s="169" t="s">
        <v>138</v>
      </c>
      <c r="O227" s="169" t="s">
        <v>137</v>
      </c>
      <c r="P227" s="239" t="s">
        <v>137</v>
      </c>
      <c r="Q227" s="169" t="s">
        <v>132</v>
      </c>
      <c r="R227" s="169" t="s">
        <v>137</v>
      </c>
      <c r="S227" s="239" t="s">
        <v>137</v>
      </c>
      <c r="T227" s="169" t="s">
        <v>132</v>
      </c>
      <c r="U227" s="169" t="s">
        <v>137</v>
      </c>
      <c r="V227" s="239" t="s">
        <v>137</v>
      </c>
      <c r="W227" s="169" t="s">
        <v>132</v>
      </c>
      <c r="X227" s="169" t="s">
        <v>137</v>
      </c>
      <c r="Y227" s="239" t="s">
        <v>137</v>
      </c>
      <c r="Z227" s="169" t="s">
        <v>132</v>
      </c>
      <c r="AA227" s="169" t="s">
        <v>137</v>
      </c>
      <c r="AB227" s="239" t="s">
        <v>137</v>
      </c>
      <c r="AC227" s="169" t="s">
        <v>132</v>
      </c>
      <c r="AD227" s="245" t="s">
        <v>137</v>
      </c>
      <c r="AE227" s="239" t="s">
        <v>137</v>
      </c>
      <c r="AF227" s="563" t="s">
        <v>148</v>
      </c>
      <c r="AG227" s="556" t="s">
        <v>132</v>
      </c>
      <c r="AH227" s="555" t="s">
        <v>1681</v>
      </c>
      <c r="AI227" s="169" t="s">
        <v>132</v>
      </c>
      <c r="AJ227" s="169" t="s">
        <v>137</v>
      </c>
      <c r="AK227" s="550" t="s">
        <v>137</v>
      </c>
      <c r="AL227" s="169" t="s">
        <v>132</v>
      </c>
      <c r="AM227" s="169" t="s">
        <v>137</v>
      </c>
      <c r="AN227" s="239" t="s">
        <v>137</v>
      </c>
      <c r="AO227" s="169" t="s">
        <v>138</v>
      </c>
      <c r="AP227" s="169" t="s">
        <v>137</v>
      </c>
      <c r="AQ227" s="239" t="s">
        <v>137</v>
      </c>
      <c r="AR227" s="169" t="s">
        <v>132</v>
      </c>
      <c r="AS227" s="169" t="s">
        <v>137</v>
      </c>
      <c r="AT227" s="239" t="s">
        <v>137</v>
      </c>
      <c r="AU227" s="169" t="s">
        <v>132</v>
      </c>
      <c r="AV227" s="169" t="s">
        <v>137</v>
      </c>
      <c r="AW227" s="239" t="s">
        <v>137</v>
      </c>
      <c r="AX227" s="169" t="s">
        <v>132</v>
      </c>
      <c r="AY227" s="169" t="s">
        <v>137</v>
      </c>
      <c r="AZ227" s="239" t="s">
        <v>137</v>
      </c>
      <c r="BA227" s="169" t="s">
        <v>132</v>
      </c>
      <c r="BB227" s="169"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9"/>
      <c r="GP227" s="169"/>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1" customFormat="1" ht="115" customHeight="1">
      <c r="A260" s="336" t="s">
        <v>17068</v>
      </c>
      <c r="B260" s="556" t="s">
        <v>1883</v>
      </c>
      <c r="C260" s="556" t="s">
        <v>17069</v>
      </c>
      <c r="D260" s="556" t="s">
        <v>107</v>
      </c>
      <c r="E260" s="169" t="s">
        <v>132</v>
      </c>
      <c r="F260" s="169" t="s">
        <v>137</v>
      </c>
      <c r="G260" s="239" t="s">
        <v>137</v>
      </c>
      <c r="H260" s="169" t="s">
        <v>132</v>
      </c>
      <c r="I260" s="169" t="s">
        <v>137</v>
      </c>
      <c r="J260" s="239" t="s">
        <v>137</v>
      </c>
      <c r="K260" s="341" t="s">
        <v>132</v>
      </c>
      <c r="L260" s="169" t="s">
        <v>137</v>
      </c>
      <c r="M260" s="342" t="s">
        <v>137</v>
      </c>
      <c r="N260" s="169" t="s">
        <v>132</v>
      </c>
      <c r="O260" s="169" t="s">
        <v>137</v>
      </c>
      <c r="P260" s="239" t="s">
        <v>137</v>
      </c>
      <c r="Q260" s="169" t="s">
        <v>132</v>
      </c>
      <c r="R260" s="169" t="s">
        <v>137</v>
      </c>
      <c r="S260" s="239" t="s">
        <v>137</v>
      </c>
      <c r="T260" s="169" t="s">
        <v>132</v>
      </c>
      <c r="U260" s="169" t="s">
        <v>137</v>
      </c>
      <c r="V260" s="239"/>
      <c r="W260" s="169" t="s">
        <v>132</v>
      </c>
      <c r="X260" s="169" t="s">
        <v>137</v>
      </c>
      <c r="Y260" s="239" t="s">
        <v>137</v>
      </c>
      <c r="Z260" s="169" t="s">
        <v>132</v>
      </c>
      <c r="AA260" s="169"/>
      <c r="AB260" s="239"/>
      <c r="AC260" s="169" t="s">
        <v>132</v>
      </c>
      <c r="AD260" s="169"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9"/>
      <c r="GP260" s="169"/>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1"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2"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1"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1"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1"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1"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1"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1"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1"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1"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1"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1"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1"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1"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1"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1"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1"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1"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1"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1"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1"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3"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3"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3"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3"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3"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3"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3"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3"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3"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3"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3"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3"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1" customFormat="1" ht="306" customHeight="1">
      <c r="A294" s="336" t="s">
        <v>17203</v>
      </c>
      <c r="B294" s="556" t="s">
        <v>2113</v>
      </c>
      <c r="C294" s="556" t="s">
        <v>2114</v>
      </c>
      <c r="D294" s="556" t="s">
        <v>95</v>
      </c>
      <c r="E294" s="169" t="s">
        <v>132</v>
      </c>
      <c r="F294" s="169" t="s">
        <v>137</v>
      </c>
      <c r="G294" s="239" t="s">
        <v>137</v>
      </c>
      <c r="H294" s="169" t="s">
        <v>132</v>
      </c>
      <c r="I294" s="169" t="s">
        <v>137</v>
      </c>
      <c r="J294" s="239" t="s">
        <v>137</v>
      </c>
      <c r="K294" s="341" t="s">
        <v>132</v>
      </c>
      <c r="L294" s="169" t="s">
        <v>137</v>
      </c>
      <c r="M294" s="342" t="s">
        <v>137</v>
      </c>
      <c r="N294" s="169" t="s">
        <v>132</v>
      </c>
      <c r="O294" s="169" t="s">
        <v>137</v>
      </c>
      <c r="P294" s="239" t="s">
        <v>137</v>
      </c>
      <c r="Q294" s="169" t="s">
        <v>132</v>
      </c>
      <c r="R294" s="169"/>
      <c r="S294" s="239"/>
      <c r="T294" s="169" t="s">
        <v>132</v>
      </c>
      <c r="U294" s="169"/>
      <c r="V294" s="239"/>
      <c r="W294" s="169" t="s">
        <v>132</v>
      </c>
      <c r="X294" s="169"/>
      <c r="Y294" s="239"/>
      <c r="Z294" s="169" t="s">
        <v>132</v>
      </c>
      <c r="AA294" s="169" t="s">
        <v>137</v>
      </c>
      <c r="AB294" s="239" t="s">
        <v>137</v>
      </c>
      <c r="AC294" s="169" t="s">
        <v>132</v>
      </c>
      <c r="AD294" s="245" t="s">
        <v>137</v>
      </c>
      <c r="AE294" s="239" t="s">
        <v>137</v>
      </c>
      <c r="AF294" s="563" t="s">
        <v>148</v>
      </c>
      <c r="AG294" s="556" t="s">
        <v>132</v>
      </c>
      <c r="AH294" s="555" t="s">
        <v>18060</v>
      </c>
      <c r="AI294" s="169" t="s">
        <v>132</v>
      </c>
      <c r="AJ294" s="169" t="s">
        <v>137</v>
      </c>
      <c r="AK294" s="550" t="s">
        <v>137</v>
      </c>
      <c r="AL294" s="169" t="s">
        <v>132</v>
      </c>
      <c r="AM294" s="169"/>
      <c r="AN294" s="239"/>
      <c r="AO294" s="169"/>
      <c r="AP294" s="169"/>
      <c r="AQ294" s="239"/>
      <c r="AR294" s="169" t="s">
        <v>132</v>
      </c>
      <c r="AS294" s="169" t="s">
        <v>137</v>
      </c>
      <c r="AT294" s="239" t="s">
        <v>137</v>
      </c>
      <c r="AU294" s="169" t="s">
        <v>132</v>
      </c>
      <c r="AV294" s="169"/>
      <c r="AW294" s="239"/>
      <c r="AX294" s="169" t="s">
        <v>132</v>
      </c>
      <c r="AY294" s="169"/>
      <c r="AZ294" s="239"/>
      <c r="BA294" s="169" t="s">
        <v>132</v>
      </c>
      <c r="BB294" s="169"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9"/>
      <c r="GP294" s="169"/>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1"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2"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1"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1"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1"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1"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1"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1"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1"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1"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1"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1"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1"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1"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1"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1"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1"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1"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3"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3"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3"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3"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3"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3"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1" customFormat="1" ht="115" customHeight="1">
      <c r="A319" s="336" t="s">
        <v>2250</v>
      </c>
      <c r="B319" s="556" t="s">
        <v>2251</v>
      </c>
      <c r="C319" s="556" t="s">
        <v>2252</v>
      </c>
      <c r="D319" s="556" t="s">
        <v>95</v>
      </c>
      <c r="E319" s="169" t="s">
        <v>132</v>
      </c>
      <c r="F319" s="169" t="s">
        <v>137</v>
      </c>
      <c r="G319" s="239" t="s">
        <v>137</v>
      </c>
      <c r="H319" s="169" t="s">
        <v>132</v>
      </c>
      <c r="I319" s="169" t="s">
        <v>137</v>
      </c>
      <c r="J319" s="239" t="s">
        <v>137</v>
      </c>
      <c r="K319" s="341" t="s">
        <v>132</v>
      </c>
      <c r="L319" s="169" t="s">
        <v>137</v>
      </c>
      <c r="M319" s="342" t="s">
        <v>137</v>
      </c>
      <c r="N319" s="169" t="s">
        <v>132</v>
      </c>
      <c r="O319" s="169" t="s">
        <v>137</v>
      </c>
      <c r="P319" s="239" t="s">
        <v>137</v>
      </c>
      <c r="Q319" s="169" t="s">
        <v>132</v>
      </c>
      <c r="R319" s="169" t="s">
        <v>137</v>
      </c>
      <c r="S319" s="239" t="s">
        <v>137</v>
      </c>
      <c r="T319" s="169" t="s">
        <v>132</v>
      </c>
      <c r="U319" s="169" t="s">
        <v>137</v>
      </c>
      <c r="V319" s="239" t="s">
        <v>137</v>
      </c>
      <c r="W319" s="169" t="s">
        <v>132</v>
      </c>
      <c r="X319" s="169" t="s">
        <v>137</v>
      </c>
      <c r="Y319" s="239" t="s">
        <v>137</v>
      </c>
      <c r="Z319" s="169" t="s">
        <v>132</v>
      </c>
      <c r="AA319" s="169" t="s">
        <v>137</v>
      </c>
      <c r="AB319" s="239" t="s">
        <v>137</v>
      </c>
      <c r="AC319" s="245" t="s">
        <v>132</v>
      </c>
      <c r="AD319" s="245" t="s">
        <v>137</v>
      </c>
      <c r="AE319" s="239" t="s">
        <v>137</v>
      </c>
      <c r="AF319" s="563" t="s">
        <v>148</v>
      </c>
      <c r="AG319" s="556" t="s">
        <v>132</v>
      </c>
      <c r="AH319" s="555" t="s">
        <v>2254</v>
      </c>
      <c r="AI319" s="169" t="s">
        <v>132</v>
      </c>
      <c r="AJ319" s="169" t="s">
        <v>137</v>
      </c>
      <c r="AK319" s="550" t="s">
        <v>137</v>
      </c>
      <c r="AL319" s="169" t="s">
        <v>132</v>
      </c>
      <c r="AM319" s="169" t="s">
        <v>137</v>
      </c>
      <c r="AN319" s="239" t="s">
        <v>137</v>
      </c>
      <c r="AO319" s="169" t="s">
        <v>132</v>
      </c>
      <c r="AP319" s="169" t="s">
        <v>137</v>
      </c>
      <c r="AQ319" s="239" t="s">
        <v>137</v>
      </c>
      <c r="AR319" s="169" t="s">
        <v>132</v>
      </c>
      <c r="AS319" s="169" t="s">
        <v>137</v>
      </c>
      <c r="AT319" s="239" t="s">
        <v>137</v>
      </c>
      <c r="AU319" s="169" t="s">
        <v>132</v>
      </c>
      <c r="AV319" s="169" t="s">
        <v>137</v>
      </c>
      <c r="AW319" s="239" t="s">
        <v>137</v>
      </c>
      <c r="AX319" s="169" t="s">
        <v>132</v>
      </c>
      <c r="AY319" s="169" t="s">
        <v>137</v>
      </c>
      <c r="AZ319" s="239" t="s">
        <v>137</v>
      </c>
      <c r="BA319" s="169" t="s">
        <v>132</v>
      </c>
      <c r="BB319" s="169"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9" t="s">
        <v>132</v>
      </c>
      <c r="GP319" s="169"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1"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2"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1"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1"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1"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9"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1"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9"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1"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9"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1"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9"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1"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9"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1"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9"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1"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9"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1"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1"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1"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9"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1"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1"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9"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1"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9"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1"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9"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1"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9"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1"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1"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9"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3"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3"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3"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3"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9"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3"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9"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3"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9"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3"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9"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3"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3"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3"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9"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3"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9"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3"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9"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3"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9"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1"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1"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2"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1"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1"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1"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1"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1"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1"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1"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1"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1"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1"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1"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1"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1"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1"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1"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1"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1"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1"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1"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3"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3"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3"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3"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3"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3"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3"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3"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3"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3"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3"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3"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3"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3"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3"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3"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3"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3"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3"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3"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3"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3"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3"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3"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3"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3"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3"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3"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3"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3"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3"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3"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3"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3"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3"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3"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3"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69" t="s">
        <v>132</v>
      </c>
      <c r="F413" s="169" t="s">
        <v>137</v>
      </c>
      <c r="G413" s="239" t="s">
        <v>137</v>
      </c>
      <c r="H413" s="169" t="s">
        <v>132</v>
      </c>
      <c r="I413" s="169" t="s">
        <v>137</v>
      </c>
      <c r="J413" s="239" t="s">
        <v>137</v>
      </c>
      <c r="K413" s="341" t="s">
        <v>132</v>
      </c>
      <c r="L413" s="169" t="s">
        <v>137</v>
      </c>
      <c r="M413" s="342" t="s">
        <v>137</v>
      </c>
      <c r="N413" s="169" t="s">
        <v>132</v>
      </c>
      <c r="O413" s="169" t="s">
        <v>137</v>
      </c>
      <c r="P413" s="239" t="s">
        <v>137</v>
      </c>
      <c r="Q413" s="169" t="s">
        <v>138</v>
      </c>
      <c r="R413" s="169" t="s">
        <v>132</v>
      </c>
      <c r="S413" s="239" t="s">
        <v>2763</v>
      </c>
      <c r="T413" s="169" t="s">
        <v>132</v>
      </c>
      <c r="U413" s="169" t="s">
        <v>137</v>
      </c>
      <c r="V413" s="239" t="s">
        <v>137</v>
      </c>
      <c r="W413" s="169" t="s">
        <v>132</v>
      </c>
      <c r="X413" s="169" t="s">
        <v>137</v>
      </c>
      <c r="Y413" s="239" t="s">
        <v>137</v>
      </c>
      <c r="Z413" s="169" t="s">
        <v>132</v>
      </c>
      <c r="AA413" s="169" t="s">
        <v>137</v>
      </c>
      <c r="AB413" s="239" t="s">
        <v>137</v>
      </c>
      <c r="AC413" s="169" t="s">
        <v>132</v>
      </c>
      <c r="AD413" s="169" t="s">
        <v>137</v>
      </c>
      <c r="AE413" s="239" t="s">
        <v>137</v>
      </c>
      <c r="AF413" s="563" t="s">
        <v>148</v>
      </c>
      <c r="AG413" s="556" t="s">
        <v>132</v>
      </c>
      <c r="AH413" s="555" t="s">
        <v>14242</v>
      </c>
      <c r="AI413" s="169" t="s">
        <v>132</v>
      </c>
      <c r="AJ413" s="169" t="s">
        <v>137</v>
      </c>
      <c r="AK413" s="550" t="s">
        <v>137</v>
      </c>
      <c r="AL413" s="169" t="s">
        <v>132</v>
      </c>
      <c r="AM413" s="169" t="s">
        <v>137</v>
      </c>
      <c r="AN413" s="239" t="s">
        <v>137</v>
      </c>
      <c r="AO413" s="169" t="s">
        <v>138</v>
      </c>
      <c r="AP413" s="169" t="s">
        <v>137</v>
      </c>
      <c r="AQ413" s="239" t="s">
        <v>137</v>
      </c>
      <c r="AR413" s="169" t="s">
        <v>132</v>
      </c>
      <c r="AS413" s="169" t="s">
        <v>137</v>
      </c>
      <c r="AT413" s="239" t="s">
        <v>137</v>
      </c>
      <c r="AU413" s="169" t="s">
        <v>132</v>
      </c>
      <c r="AV413" s="169" t="s">
        <v>137</v>
      </c>
      <c r="AW413" s="239" t="s">
        <v>137</v>
      </c>
      <c r="AX413" s="169" t="s">
        <v>132</v>
      </c>
      <c r="AY413" s="169" t="s">
        <v>137</v>
      </c>
      <c r="AZ413" s="239" t="s">
        <v>137</v>
      </c>
      <c r="BA413" s="169" t="s">
        <v>132</v>
      </c>
      <c r="BB413" s="169"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9"/>
      <c r="GP413" s="169"/>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9" t="s">
        <v>137</v>
      </c>
      <c r="M432" s="342" t="s">
        <v>137</v>
      </c>
      <c r="N432" s="169" t="s">
        <v>132</v>
      </c>
      <c r="O432" s="169" t="s">
        <v>137</v>
      </c>
      <c r="P432" s="239" t="s">
        <v>137</v>
      </c>
      <c r="Q432" s="169" t="s">
        <v>132</v>
      </c>
      <c r="R432" s="169" t="s">
        <v>137</v>
      </c>
      <c r="S432" s="239" t="s">
        <v>137</v>
      </c>
      <c r="T432" s="169" t="s">
        <v>138</v>
      </c>
      <c r="U432" s="169"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69" t="s">
        <v>132</v>
      </c>
      <c r="F457" s="169" t="s">
        <v>137</v>
      </c>
      <c r="G457" s="239" t="s">
        <v>137</v>
      </c>
      <c r="H457" s="169" t="s">
        <v>132</v>
      </c>
      <c r="I457" s="169" t="s">
        <v>137</v>
      </c>
      <c r="J457" s="239" t="s">
        <v>137</v>
      </c>
      <c r="K457" s="341" t="s">
        <v>132</v>
      </c>
      <c r="L457" s="169" t="s">
        <v>137</v>
      </c>
      <c r="M457" s="342" t="s">
        <v>137</v>
      </c>
      <c r="N457" s="169" t="s">
        <v>132</v>
      </c>
      <c r="O457" s="169" t="s">
        <v>137</v>
      </c>
      <c r="P457" s="239" t="s">
        <v>137</v>
      </c>
      <c r="Q457" s="169" t="s">
        <v>132</v>
      </c>
      <c r="R457" s="169" t="s">
        <v>137</v>
      </c>
      <c r="S457" s="239" t="s">
        <v>137</v>
      </c>
      <c r="T457" s="169" t="s">
        <v>132</v>
      </c>
      <c r="U457" s="169" t="s">
        <v>137</v>
      </c>
      <c r="V457" s="239" t="s">
        <v>137</v>
      </c>
      <c r="W457" s="169" t="s">
        <v>132</v>
      </c>
      <c r="X457" s="169" t="s">
        <v>137</v>
      </c>
      <c r="Y457" s="239" t="s">
        <v>137</v>
      </c>
      <c r="Z457" s="169" t="s">
        <v>132</v>
      </c>
      <c r="AA457" s="169" t="s">
        <v>137</v>
      </c>
      <c r="AB457" s="239" t="s">
        <v>137</v>
      </c>
      <c r="AC457" s="169" t="s">
        <v>132</v>
      </c>
      <c r="AD457" s="245" t="s">
        <v>137</v>
      </c>
      <c r="AE457" s="239" t="s">
        <v>137</v>
      </c>
      <c r="AF457" s="563" t="s">
        <v>132</v>
      </c>
      <c r="AG457" s="556"/>
      <c r="AH457" s="555"/>
      <c r="AI457" s="169" t="s">
        <v>132</v>
      </c>
      <c r="AJ457" s="169" t="s">
        <v>137</v>
      </c>
      <c r="AK457" s="550" t="s">
        <v>137</v>
      </c>
      <c r="AL457" s="169" t="s">
        <v>132</v>
      </c>
      <c r="AM457" s="169" t="s">
        <v>137</v>
      </c>
      <c r="AN457" s="239" t="s">
        <v>137</v>
      </c>
      <c r="AO457" s="169" t="s">
        <v>138</v>
      </c>
      <c r="AP457" s="169" t="s">
        <v>137</v>
      </c>
      <c r="AQ457" s="239" t="s">
        <v>137</v>
      </c>
      <c r="AR457" s="169" t="s">
        <v>132</v>
      </c>
      <c r="AS457" s="169" t="s">
        <v>137</v>
      </c>
      <c r="AT457" s="239" t="s">
        <v>137</v>
      </c>
      <c r="AU457" s="169" t="s">
        <v>132</v>
      </c>
      <c r="AV457" s="169" t="s">
        <v>137</v>
      </c>
      <c r="AW457" s="239" t="s">
        <v>137</v>
      </c>
      <c r="AX457" s="169" t="s">
        <v>132</v>
      </c>
      <c r="AY457" s="169" t="s">
        <v>137</v>
      </c>
      <c r="AZ457" s="239" t="s">
        <v>137</v>
      </c>
      <c r="BA457" s="169" t="s">
        <v>132</v>
      </c>
      <c r="BB457" s="169"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9"/>
      <c r="GP457" s="169"/>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1" customFormat="1" ht="115" customHeight="1">
      <c r="A482" s="336" t="s">
        <v>18304</v>
      </c>
      <c r="B482" s="556" t="s">
        <v>3199</v>
      </c>
      <c r="C482" s="556" t="s">
        <v>3200</v>
      </c>
      <c r="D482" s="563" t="s">
        <v>95</v>
      </c>
      <c r="E482" s="169" t="s">
        <v>132</v>
      </c>
      <c r="F482" s="169" t="s">
        <v>137</v>
      </c>
      <c r="G482" s="239" t="s">
        <v>137</v>
      </c>
      <c r="H482" s="169" t="s">
        <v>132</v>
      </c>
      <c r="I482" s="169" t="s">
        <v>137</v>
      </c>
      <c r="J482" s="239" t="s">
        <v>137</v>
      </c>
      <c r="K482" s="341" t="s">
        <v>132</v>
      </c>
      <c r="L482" s="169" t="s">
        <v>137</v>
      </c>
      <c r="M482" s="342" t="s">
        <v>137</v>
      </c>
      <c r="N482" s="169" t="s">
        <v>132</v>
      </c>
      <c r="O482" s="169" t="s">
        <v>137</v>
      </c>
      <c r="P482" s="239" t="s">
        <v>137</v>
      </c>
      <c r="Q482" s="169" t="s">
        <v>132</v>
      </c>
      <c r="R482" s="169" t="s">
        <v>137</v>
      </c>
      <c r="S482" s="239" t="s">
        <v>137</v>
      </c>
      <c r="T482" s="169" t="s">
        <v>132</v>
      </c>
      <c r="U482" s="169" t="s">
        <v>137</v>
      </c>
      <c r="V482" s="239" t="s">
        <v>137</v>
      </c>
      <c r="W482" s="169" t="s">
        <v>132</v>
      </c>
      <c r="X482" s="169" t="s">
        <v>137</v>
      </c>
      <c r="Y482" s="239" t="s">
        <v>137</v>
      </c>
      <c r="Z482" s="169" t="s">
        <v>132</v>
      </c>
      <c r="AA482" s="169" t="s">
        <v>137</v>
      </c>
      <c r="AB482" s="239" t="s">
        <v>137</v>
      </c>
      <c r="AC482" s="169" t="s">
        <v>132</v>
      </c>
      <c r="AD482" s="169" t="s">
        <v>137</v>
      </c>
      <c r="AE482" s="239" t="s">
        <v>137</v>
      </c>
      <c r="AF482" s="563" t="s">
        <v>148</v>
      </c>
      <c r="AG482" s="552" t="s">
        <v>132</v>
      </c>
      <c r="AH482" s="555" t="s">
        <v>18305</v>
      </c>
      <c r="AI482" s="169" t="s">
        <v>132</v>
      </c>
      <c r="AJ482" s="169" t="s">
        <v>137</v>
      </c>
      <c r="AK482" s="550" t="s">
        <v>137</v>
      </c>
      <c r="AL482" s="169" t="s">
        <v>132</v>
      </c>
      <c r="AM482" s="169" t="s">
        <v>137</v>
      </c>
      <c r="AN482" s="239" t="s">
        <v>137</v>
      </c>
      <c r="AO482" s="169"/>
      <c r="AP482" s="169" t="s">
        <v>137</v>
      </c>
      <c r="AQ482" s="239" t="s">
        <v>137</v>
      </c>
      <c r="AR482" s="169" t="s">
        <v>132</v>
      </c>
      <c r="AS482" s="169" t="s">
        <v>137</v>
      </c>
      <c r="AT482" s="239" t="s">
        <v>137</v>
      </c>
      <c r="AU482" s="169" t="s">
        <v>132</v>
      </c>
      <c r="AV482" s="169" t="s">
        <v>137</v>
      </c>
      <c r="AW482" s="239" t="s">
        <v>137</v>
      </c>
      <c r="AX482" s="169" t="s">
        <v>132</v>
      </c>
      <c r="AY482" s="169" t="s">
        <v>137</v>
      </c>
      <c r="AZ482" s="239" t="s">
        <v>137</v>
      </c>
      <c r="BA482" s="169"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9"/>
      <c r="GP482" s="169"/>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1" customFormat="1" ht="115" customHeight="1">
      <c r="A483" s="558" t="s">
        <v>18311</v>
      </c>
      <c r="B483" s="552" t="s">
        <v>3199</v>
      </c>
      <c r="C483" s="552" t="s">
        <v>3208</v>
      </c>
      <c r="D483" s="559" t="s">
        <v>95</v>
      </c>
      <c r="E483" s="557" t="s">
        <v>132</v>
      </c>
      <c r="F483" s="557" t="s">
        <v>137</v>
      </c>
      <c r="G483" s="554" t="s">
        <v>137</v>
      </c>
      <c r="H483" s="169"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9"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2" customFormat="1" ht="115" customHeight="1">
      <c r="A484" s="558" t="s">
        <v>18312</v>
      </c>
      <c r="B484" s="552" t="s">
        <v>3199</v>
      </c>
      <c r="C484" s="552" t="s">
        <v>3222</v>
      </c>
      <c r="D484" s="559" t="s">
        <v>107</v>
      </c>
      <c r="E484" s="557" t="s">
        <v>132</v>
      </c>
      <c r="F484" s="557" t="s">
        <v>137</v>
      </c>
      <c r="G484" s="552" t="s">
        <v>137</v>
      </c>
      <c r="H484" s="169"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1" customFormat="1" ht="115" customHeight="1">
      <c r="A485" s="558" t="s">
        <v>18313</v>
      </c>
      <c r="B485" s="552" t="s">
        <v>3199</v>
      </c>
      <c r="C485" s="552" t="s">
        <v>3234</v>
      </c>
      <c r="D485" s="559" t="s">
        <v>2253</v>
      </c>
      <c r="E485" s="557" t="s">
        <v>132</v>
      </c>
      <c r="F485" s="557" t="s">
        <v>137</v>
      </c>
      <c r="G485" s="554" t="s">
        <v>137</v>
      </c>
      <c r="H485" s="169"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1" customFormat="1" ht="115" customHeight="1">
      <c r="A486" s="347" t="s">
        <v>18318</v>
      </c>
      <c r="B486" s="242" t="s">
        <v>3199</v>
      </c>
      <c r="C486" s="242" t="s">
        <v>3244</v>
      </c>
      <c r="D486" s="362" t="s">
        <v>2253</v>
      </c>
      <c r="E486" s="242" t="s">
        <v>132</v>
      </c>
      <c r="F486" s="242" t="s">
        <v>137</v>
      </c>
      <c r="G486" s="243" t="s">
        <v>137</v>
      </c>
      <c r="H486" s="169"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1" customFormat="1" ht="115" customHeight="1">
      <c r="A487" s="558" t="s">
        <v>18327</v>
      </c>
      <c r="B487" s="552" t="s">
        <v>3199</v>
      </c>
      <c r="C487" s="552" t="s">
        <v>3249</v>
      </c>
      <c r="D487" s="559" t="s">
        <v>98</v>
      </c>
      <c r="E487" s="557" t="s">
        <v>132</v>
      </c>
      <c r="F487" s="557" t="s">
        <v>137</v>
      </c>
      <c r="G487" s="554" t="s">
        <v>137</v>
      </c>
      <c r="H487" s="169"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1" customFormat="1" ht="115" customHeight="1" thickBot="1">
      <c r="A488" s="558" t="s">
        <v>18330</v>
      </c>
      <c r="B488" s="552" t="s">
        <v>3199</v>
      </c>
      <c r="C488" s="552" t="s">
        <v>3257</v>
      </c>
      <c r="D488" s="559" t="s">
        <v>103</v>
      </c>
      <c r="E488" s="557" t="s">
        <v>132</v>
      </c>
      <c r="F488" s="557" t="s">
        <v>137</v>
      </c>
      <c r="G488" s="554" t="s">
        <v>137</v>
      </c>
      <c r="H488" s="169"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1" customFormat="1" ht="115" customHeight="1" thickBot="1">
      <c r="A489" s="339" t="s">
        <v>18332</v>
      </c>
      <c r="B489" s="182" t="s">
        <v>3199</v>
      </c>
      <c r="C489" s="182" t="s">
        <v>14340</v>
      </c>
      <c r="D489" s="197" t="s">
        <v>103</v>
      </c>
      <c r="E489" s="182" t="s">
        <v>132</v>
      </c>
      <c r="F489" s="182" t="s">
        <v>137</v>
      </c>
      <c r="G489" s="237" t="s">
        <v>137</v>
      </c>
      <c r="H489" s="169"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1" customFormat="1" ht="115" customHeight="1">
      <c r="A490" s="558" t="s">
        <v>18334</v>
      </c>
      <c r="B490" s="552" t="s">
        <v>3199</v>
      </c>
      <c r="C490" s="552" t="s">
        <v>3277</v>
      </c>
      <c r="D490" s="559" t="s">
        <v>103</v>
      </c>
      <c r="E490" s="557" t="s">
        <v>132</v>
      </c>
      <c r="F490" s="557" t="s">
        <v>137</v>
      </c>
      <c r="G490" s="554" t="s">
        <v>137</v>
      </c>
      <c r="H490" s="169"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1" customFormat="1" ht="115" customHeight="1">
      <c r="A491" s="558" t="s">
        <v>18335</v>
      </c>
      <c r="B491" s="552" t="s">
        <v>3199</v>
      </c>
      <c r="C491" s="552" t="s">
        <v>3291</v>
      </c>
      <c r="D491" s="559" t="s">
        <v>99</v>
      </c>
      <c r="E491" s="557" t="s">
        <v>132</v>
      </c>
      <c r="F491" s="557" t="s">
        <v>137</v>
      </c>
      <c r="G491" s="554" t="s">
        <v>137</v>
      </c>
      <c r="H491" s="169"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1"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1" customFormat="1" ht="115" customHeight="1">
      <c r="A493" s="558" t="s">
        <v>18337</v>
      </c>
      <c r="B493" s="552" t="s">
        <v>3199</v>
      </c>
      <c r="C493" s="552" t="s">
        <v>3311</v>
      </c>
      <c r="D493" s="559" t="s">
        <v>103</v>
      </c>
      <c r="E493" s="557" t="s">
        <v>132</v>
      </c>
      <c r="F493" s="557" t="s">
        <v>137</v>
      </c>
      <c r="G493" s="554" t="s">
        <v>137</v>
      </c>
      <c r="H493" s="169"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3" customFormat="1" ht="115" customHeight="1">
      <c r="A494" s="558" t="s">
        <v>18338</v>
      </c>
      <c r="B494" s="552" t="s">
        <v>3199</v>
      </c>
      <c r="C494" s="552" t="s">
        <v>3323</v>
      </c>
      <c r="D494" s="559" t="s">
        <v>120</v>
      </c>
      <c r="E494" s="552" t="s">
        <v>132</v>
      </c>
      <c r="F494" s="552" t="s">
        <v>137</v>
      </c>
      <c r="G494" s="550" t="s">
        <v>137</v>
      </c>
      <c r="H494" s="169"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1" customFormat="1" ht="115" customHeight="1">
      <c r="A495" s="381" t="s">
        <v>18339</v>
      </c>
      <c r="B495" s="255" t="s">
        <v>3199</v>
      </c>
      <c r="C495" s="255" t="s">
        <v>3327</v>
      </c>
      <c r="D495" s="382" t="s">
        <v>126</v>
      </c>
      <c r="E495" s="255" t="s">
        <v>132</v>
      </c>
      <c r="F495" s="255" t="s">
        <v>137</v>
      </c>
      <c r="G495" s="256" t="s">
        <v>137</v>
      </c>
      <c r="H495" s="169"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1" customFormat="1" ht="115" customHeight="1">
      <c r="A496" s="558" t="s">
        <v>18343</v>
      </c>
      <c r="B496" s="552" t="s">
        <v>3199</v>
      </c>
      <c r="C496" s="552" t="s">
        <v>11257</v>
      </c>
      <c r="D496" s="559" t="s">
        <v>112</v>
      </c>
      <c r="E496" s="557"/>
      <c r="F496" s="557" t="s">
        <v>137</v>
      </c>
      <c r="G496" s="554" t="s">
        <v>137</v>
      </c>
      <c r="H496" s="169"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1"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1"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1" customFormat="1" ht="115" customHeight="1">
      <c r="A499" s="558" t="s">
        <v>18351</v>
      </c>
      <c r="B499" s="552" t="s">
        <v>3199</v>
      </c>
      <c r="C499" s="552" t="s">
        <v>3357</v>
      </c>
      <c r="D499" s="559" t="s">
        <v>113</v>
      </c>
      <c r="E499" s="557" t="s">
        <v>132</v>
      </c>
      <c r="F499" s="557" t="s">
        <v>137</v>
      </c>
      <c r="G499" s="554" t="s">
        <v>137</v>
      </c>
      <c r="H499" s="169"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1"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1"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1"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1"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3"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3"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3"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3" customFormat="1" ht="115" customHeight="1">
      <c r="A507" s="558" t="s">
        <v>18359</v>
      </c>
      <c r="B507" s="552" t="s">
        <v>3199</v>
      </c>
      <c r="C507" s="552" t="s">
        <v>3397</v>
      </c>
      <c r="D507" s="559" t="s">
        <v>112</v>
      </c>
      <c r="E507" s="552" t="s">
        <v>132</v>
      </c>
      <c r="F507" s="552" t="s">
        <v>137</v>
      </c>
      <c r="G507" s="550"/>
      <c r="H507" s="169"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3"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3"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3" customFormat="1" ht="115" customHeight="1">
      <c r="A510" s="558" t="s">
        <v>18362</v>
      </c>
      <c r="B510" s="552" t="s">
        <v>3199</v>
      </c>
      <c r="C510" s="552" t="s">
        <v>3417</v>
      </c>
      <c r="D510" s="559" t="s">
        <v>123</v>
      </c>
      <c r="E510" s="552" t="s">
        <v>132</v>
      </c>
      <c r="F510" s="552" t="s">
        <v>137</v>
      </c>
      <c r="G510" s="550" t="s">
        <v>137</v>
      </c>
      <c r="H510" s="169"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3" customFormat="1" ht="115" customHeight="1">
      <c r="A511" s="558" t="s">
        <v>18363</v>
      </c>
      <c r="B511" s="552" t="s">
        <v>3199</v>
      </c>
      <c r="C511" s="552" t="s">
        <v>3426</v>
      </c>
      <c r="D511" s="559" t="s">
        <v>126</v>
      </c>
      <c r="E511" s="552" t="s">
        <v>132</v>
      </c>
      <c r="F511" s="552" t="s">
        <v>137</v>
      </c>
      <c r="G511" s="550" t="s">
        <v>137</v>
      </c>
      <c r="H511" s="169"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3" customFormat="1" ht="115" customHeight="1">
      <c r="A512" s="347" t="s">
        <v>18364</v>
      </c>
      <c r="B512" s="242" t="s">
        <v>3199</v>
      </c>
      <c r="C512" s="242" t="s">
        <v>3429</v>
      </c>
      <c r="D512" s="362" t="s">
        <v>121</v>
      </c>
      <c r="E512" s="242"/>
      <c r="F512" s="242" t="s">
        <v>137</v>
      </c>
      <c r="G512" s="569"/>
      <c r="H512" s="169"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3" customFormat="1" ht="115" customHeight="1">
      <c r="A513" s="558" t="s">
        <v>18365</v>
      </c>
      <c r="B513" s="552" t="s">
        <v>3199</v>
      </c>
      <c r="C513" s="552" t="s">
        <v>3437</v>
      </c>
      <c r="D513" s="559" t="s">
        <v>119</v>
      </c>
      <c r="E513" s="552" t="s">
        <v>132</v>
      </c>
      <c r="F513" s="552" t="s">
        <v>137</v>
      </c>
      <c r="G513" s="550" t="s">
        <v>137</v>
      </c>
      <c r="H513" s="169"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3" customFormat="1" ht="115" customHeight="1">
      <c r="A514" s="558" t="s">
        <v>18366</v>
      </c>
      <c r="B514" s="552" t="s">
        <v>3199</v>
      </c>
      <c r="C514" s="552" t="s">
        <v>3443</v>
      </c>
      <c r="D514" s="559" t="s">
        <v>119</v>
      </c>
      <c r="E514" s="552" t="s">
        <v>132</v>
      </c>
      <c r="F514" s="552" t="s">
        <v>137</v>
      </c>
      <c r="G514" s="550" t="s">
        <v>137</v>
      </c>
      <c r="H514" s="169"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3" customFormat="1" ht="115" customHeight="1">
      <c r="A515" s="389" t="s">
        <v>18367</v>
      </c>
      <c r="B515" s="259" t="s">
        <v>3199</v>
      </c>
      <c r="C515" s="259" t="s">
        <v>3448</v>
      </c>
      <c r="D515" s="390" t="s">
        <v>125</v>
      </c>
      <c r="E515" s="259" t="s">
        <v>132</v>
      </c>
      <c r="F515" s="259" t="s">
        <v>137</v>
      </c>
      <c r="G515" s="260" t="s">
        <v>137</v>
      </c>
      <c r="H515" s="169"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3" customFormat="1" ht="115" customHeight="1">
      <c r="A516" s="381" t="s">
        <v>18368</v>
      </c>
      <c r="B516" s="255" t="s">
        <v>3199</v>
      </c>
      <c r="C516" s="255" t="s">
        <v>3451</v>
      </c>
      <c r="D516" s="382" t="s">
        <v>125</v>
      </c>
      <c r="E516" s="255" t="s">
        <v>132</v>
      </c>
      <c r="F516" s="255" t="s">
        <v>137</v>
      </c>
      <c r="G516" s="261" t="s">
        <v>137</v>
      </c>
      <c r="H516" s="169"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3"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3"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3"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3"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3"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3"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3"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3"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3"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3"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3"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3"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3"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3"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3"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3"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3"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3"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3"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3"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3"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3"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3"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3"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3"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3"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3"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3"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3"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3"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3"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3"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3"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3"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3"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3"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3"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3"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3"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3"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3"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3"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3"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3"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3"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3"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3"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3"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3"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3"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3"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3"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3"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3"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3"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3"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3"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3"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3"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3"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3"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3"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1" customFormat="1" ht="115" customHeight="1">
      <c r="A579" s="336" t="s">
        <v>11270</v>
      </c>
      <c r="B579" s="556" t="s">
        <v>3810</v>
      </c>
      <c r="C579" s="556" t="s">
        <v>3811</v>
      </c>
      <c r="D579" s="556" t="s">
        <v>102</v>
      </c>
      <c r="E579" s="169" t="s">
        <v>132</v>
      </c>
      <c r="F579" s="169" t="s">
        <v>137</v>
      </c>
      <c r="G579" s="239" t="s">
        <v>137</v>
      </c>
      <c r="H579" s="169" t="s">
        <v>132</v>
      </c>
      <c r="I579" s="169" t="s">
        <v>137</v>
      </c>
      <c r="J579" s="239" t="s">
        <v>137</v>
      </c>
      <c r="K579" s="341" t="s">
        <v>132</v>
      </c>
      <c r="L579" s="169" t="s">
        <v>137</v>
      </c>
      <c r="M579" s="342" t="s">
        <v>137</v>
      </c>
      <c r="N579" s="169" t="s">
        <v>132</v>
      </c>
      <c r="O579" s="169" t="s">
        <v>137</v>
      </c>
      <c r="P579" s="239" t="s">
        <v>137</v>
      </c>
      <c r="Q579" s="169" t="s">
        <v>138</v>
      </c>
      <c r="R579" s="169" t="s">
        <v>132</v>
      </c>
      <c r="S579" s="239" t="s">
        <v>3812</v>
      </c>
      <c r="T579" s="169" t="s">
        <v>132</v>
      </c>
      <c r="U579" s="169" t="s">
        <v>137</v>
      </c>
      <c r="V579" s="239" t="s">
        <v>137</v>
      </c>
      <c r="W579" s="169" t="s">
        <v>132</v>
      </c>
      <c r="X579" s="169" t="s">
        <v>137</v>
      </c>
      <c r="Y579" s="239" t="s">
        <v>137</v>
      </c>
      <c r="Z579" s="169" t="s">
        <v>132</v>
      </c>
      <c r="AA579" s="169" t="s">
        <v>137</v>
      </c>
      <c r="AB579" s="239" t="s">
        <v>137</v>
      </c>
      <c r="AC579" s="245" t="s">
        <v>132</v>
      </c>
      <c r="AD579" s="245" t="s">
        <v>137</v>
      </c>
      <c r="AE579" s="239" t="s">
        <v>137</v>
      </c>
      <c r="AF579" s="563" t="s">
        <v>148</v>
      </c>
      <c r="AG579" s="556" t="s">
        <v>132</v>
      </c>
      <c r="AH579" s="555" t="s">
        <v>10810</v>
      </c>
      <c r="AI579" s="169" t="s">
        <v>132</v>
      </c>
      <c r="AJ579" s="169" t="s">
        <v>137</v>
      </c>
      <c r="AK579" s="550" t="s">
        <v>137</v>
      </c>
      <c r="AL579" s="169" t="s">
        <v>132</v>
      </c>
      <c r="AM579" s="169" t="s">
        <v>137</v>
      </c>
      <c r="AN579" s="239" t="s">
        <v>137</v>
      </c>
      <c r="AO579" s="169" t="s">
        <v>138</v>
      </c>
      <c r="AP579" s="169" t="s">
        <v>137</v>
      </c>
      <c r="AQ579" s="239" t="s">
        <v>137</v>
      </c>
      <c r="AR579" s="169"/>
      <c r="AS579" s="169" t="s">
        <v>137</v>
      </c>
      <c r="AT579" s="239" t="s">
        <v>137</v>
      </c>
      <c r="AU579" s="169" t="s">
        <v>132</v>
      </c>
      <c r="AV579" s="169" t="s">
        <v>137</v>
      </c>
      <c r="AW579" s="239" t="s">
        <v>137</v>
      </c>
      <c r="AX579" s="169" t="s">
        <v>132</v>
      </c>
      <c r="AY579" s="169" t="s">
        <v>137</v>
      </c>
      <c r="AZ579" s="239" t="s">
        <v>137</v>
      </c>
      <c r="BA579" s="169" t="s">
        <v>132</v>
      </c>
      <c r="BB579" s="169"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9"/>
      <c r="GP579" s="169"/>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1"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2"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1"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1"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1"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1"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1"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1"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1"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1"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1"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1"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1"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1"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1"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1"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1"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1"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1"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1"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1"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3"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3"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3"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3"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3"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3"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3"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3"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3"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3"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3"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3"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3"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3"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3"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3"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3"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3"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3"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3"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3"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3"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3"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3"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3"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3"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3"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3"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3"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3"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3"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1" customFormat="1" ht="115" customHeight="1">
      <c r="A632" s="336" t="s">
        <v>18430</v>
      </c>
      <c r="B632" s="556" t="s">
        <v>4138</v>
      </c>
      <c r="C632" s="556" t="s">
        <v>4139</v>
      </c>
      <c r="D632" s="563" t="s">
        <v>96</v>
      </c>
      <c r="E632" s="169" t="s">
        <v>132</v>
      </c>
      <c r="F632" s="169" t="s">
        <v>137</v>
      </c>
      <c r="G632" s="239" t="s">
        <v>137</v>
      </c>
      <c r="H632" s="169" t="s">
        <v>132</v>
      </c>
      <c r="I632" s="169" t="s">
        <v>137</v>
      </c>
      <c r="J632" s="239" t="s">
        <v>137</v>
      </c>
      <c r="K632" s="341" t="s">
        <v>132</v>
      </c>
      <c r="L632" s="169" t="s">
        <v>137</v>
      </c>
      <c r="M632" s="342" t="s">
        <v>137</v>
      </c>
      <c r="N632" s="169" t="s">
        <v>132</v>
      </c>
      <c r="O632" s="169" t="s">
        <v>137</v>
      </c>
      <c r="P632" s="239" t="s">
        <v>137</v>
      </c>
      <c r="Q632" s="169" t="s">
        <v>132</v>
      </c>
      <c r="R632" s="169" t="s">
        <v>137</v>
      </c>
      <c r="S632" s="239" t="s">
        <v>137</v>
      </c>
      <c r="T632" s="169" t="s">
        <v>138</v>
      </c>
      <c r="U632" s="169" t="s">
        <v>137</v>
      </c>
      <c r="V632" s="239" t="s">
        <v>137</v>
      </c>
      <c r="W632" s="169" t="s">
        <v>132</v>
      </c>
      <c r="X632" s="169"/>
      <c r="Y632" s="239"/>
      <c r="Z632" s="169" t="s">
        <v>132</v>
      </c>
      <c r="AA632" s="169" t="s">
        <v>137</v>
      </c>
      <c r="AB632" s="239" t="s">
        <v>137</v>
      </c>
      <c r="AC632" s="169" t="s">
        <v>132</v>
      </c>
      <c r="AD632" s="169" t="s">
        <v>137</v>
      </c>
      <c r="AE632" s="239" t="s">
        <v>137</v>
      </c>
      <c r="AF632" s="563" t="s">
        <v>132</v>
      </c>
      <c r="AG632" s="556"/>
      <c r="AH632" s="555"/>
      <c r="AI632" s="169" t="s">
        <v>138</v>
      </c>
      <c r="AJ632" s="169" t="s">
        <v>137</v>
      </c>
      <c r="AK632" s="550" t="s">
        <v>137</v>
      </c>
      <c r="AL632" s="169" t="s">
        <v>132</v>
      </c>
      <c r="AM632" s="169" t="s">
        <v>137</v>
      </c>
      <c r="AN632" s="239" t="s">
        <v>137</v>
      </c>
      <c r="AO632" s="169" t="s">
        <v>132</v>
      </c>
      <c r="AP632" s="169" t="s">
        <v>137</v>
      </c>
      <c r="AQ632" s="239" t="s">
        <v>137</v>
      </c>
      <c r="AR632" s="169" t="s">
        <v>132</v>
      </c>
      <c r="AS632" s="169" t="s">
        <v>137</v>
      </c>
      <c r="AT632" s="239" t="s">
        <v>137</v>
      </c>
      <c r="AU632" s="169" t="s">
        <v>132</v>
      </c>
      <c r="AV632" s="169" t="s">
        <v>137</v>
      </c>
      <c r="AW632" s="239" t="s">
        <v>137</v>
      </c>
      <c r="AX632" s="169" t="s">
        <v>132</v>
      </c>
      <c r="AY632" s="169" t="s">
        <v>137</v>
      </c>
      <c r="AZ632" s="239" t="s">
        <v>137</v>
      </c>
      <c r="BA632" s="169" t="s">
        <v>132</v>
      </c>
      <c r="BB632" s="169"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9"/>
      <c r="GP632" s="169"/>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3"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3"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3"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3"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3"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3"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3"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3"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3"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3"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3"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3"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3"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3"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3"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3"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3"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2"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1"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2"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1"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1"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3"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3"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3"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3"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3"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3"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3"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3"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3"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3"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3"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3"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3"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3"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3"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3"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3"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3"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3"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3"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3"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3"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3"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3"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3"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3"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3"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3"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1"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4"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3"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3"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3"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3"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3"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3"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3"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3"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3"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1" customFormat="1" ht="115" customHeight="1">
      <c r="A694" s="336" t="s">
        <v>16481</v>
      </c>
      <c r="B694" s="556" t="s">
        <v>4448</v>
      </c>
      <c r="C694" s="556" t="s">
        <v>4449</v>
      </c>
      <c r="D694" s="556" t="s">
        <v>95</v>
      </c>
      <c r="E694" s="169" t="s">
        <v>132</v>
      </c>
      <c r="F694" s="169" t="s">
        <v>137</v>
      </c>
      <c r="G694" s="239" t="s">
        <v>137</v>
      </c>
      <c r="H694" s="169" t="s">
        <v>138</v>
      </c>
      <c r="I694" s="169" t="s">
        <v>132</v>
      </c>
      <c r="J694" s="239" t="s">
        <v>4450</v>
      </c>
      <c r="K694" s="341" t="s">
        <v>132</v>
      </c>
      <c r="L694" s="169" t="s">
        <v>137</v>
      </c>
      <c r="M694" s="342" t="s">
        <v>137</v>
      </c>
      <c r="N694" s="169" t="s">
        <v>132</v>
      </c>
      <c r="O694" s="169"/>
      <c r="P694" s="239"/>
      <c r="Q694" s="169" t="s">
        <v>132</v>
      </c>
      <c r="R694" s="169" t="s">
        <v>137</v>
      </c>
      <c r="S694" s="239" t="s">
        <v>137</v>
      </c>
      <c r="T694" s="169" t="s">
        <v>132</v>
      </c>
      <c r="U694" s="169" t="s">
        <v>137</v>
      </c>
      <c r="V694" s="239" t="s">
        <v>137</v>
      </c>
      <c r="W694" s="169" t="s">
        <v>132</v>
      </c>
      <c r="X694" s="169" t="s">
        <v>137</v>
      </c>
      <c r="Y694" s="239" t="s">
        <v>137</v>
      </c>
      <c r="Z694" s="169" t="s">
        <v>138</v>
      </c>
      <c r="AA694" s="169" t="s">
        <v>132</v>
      </c>
      <c r="AB694" s="239" t="s">
        <v>4450</v>
      </c>
      <c r="AC694" s="169" t="s">
        <v>138</v>
      </c>
      <c r="AD694" s="245" t="s">
        <v>137</v>
      </c>
      <c r="AE694" s="239" t="s">
        <v>137</v>
      </c>
      <c r="AF694" s="563" t="s">
        <v>148</v>
      </c>
      <c r="AG694" s="552" t="s">
        <v>132</v>
      </c>
      <c r="AH694" s="555" t="s">
        <v>10825</v>
      </c>
      <c r="AI694" s="169" t="s">
        <v>132</v>
      </c>
      <c r="AJ694" s="169" t="s">
        <v>137</v>
      </c>
      <c r="AK694" s="550" t="s">
        <v>137</v>
      </c>
      <c r="AL694" s="169" t="s">
        <v>132</v>
      </c>
      <c r="AM694" s="169" t="s">
        <v>137</v>
      </c>
      <c r="AN694" s="239" t="s">
        <v>137</v>
      </c>
      <c r="AO694" s="169"/>
      <c r="AP694" s="169" t="s">
        <v>137</v>
      </c>
      <c r="AQ694" s="239"/>
      <c r="AR694" s="169"/>
      <c r="AS694" s="169" t="s">
        <v>137</v>
      </c>
      <c r="AT694" s="239"/>
      <c r="AU694" s="169" t="s">
        <v>132</v>
      </c>
      <c r="AV694" s="169" t="s">
        <v>137</v>
      </c>
      <c r="AW694" s="239" t="s">
        <v>137</v>
      </c>
      <c r="AX694" s="169" t="s">
        <v>132</v>
      </c>
      <c r="AY694" s="169"/>
      <c r="AZ694" s="239"/>
      <c r="BA694" s="169" t="s">
        <v>132</v>
      </c>
      <c r="BB694" s="169"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9"/>
      <c r="GP694" s="169"/>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1"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9" t="s">
        <v>132</v>
      </c>
      <c r="AM695" s="557" t="s">
        <v>137</v>
      </c>
      <c r="AN695" s="554" t="s">
        <v>137</v>
      </c>
      <c r="AO695" s="557" t="s">
        <v>138</v>
      </c>
      <c r="AP695" s="557" t="s">
        <v>137</v>
      </c>
      <c r="AQ695" s="554" t="s">
        <v>137</v>
      </c>
      <c r="AR695" s="557"/>
      <c r="AS695" s="557" t="s">
        <v>137</v>
      </c>
      <c r="AT695" s="554" t="s">
        <v>137</v>
      </c>
      <c r="AU695" s="169" t="s">
        <v>132</v>
      </c>
      <c r="AV695" s="557" t="s">
        <v>137</v>
      </c>
      <c r="AW695" s="554" t="s">
        <v>137</v>
      </c>
      <c r="AX695" s="169" t="s">
        <v>132</v>
      </c>
      <c r="AY695" s="557" t="s">
        <v>137</v>
      </c>
      <c r="AZ695" s="554" t="s">
        <v>137</v>
      </c>
      <c r="BA695" s="169"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2"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1"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9" t="s">
        <v>132</v>
      </c>
      <c r="AM697" s="557" t="s">
        <v>137</v>
      </c>
      <c r="AN697" s="554" t="s">
        <v>137</v>
      </c>
      <c r="AO697" s="169" t="s">
        <v>132</v>
      </c>
      <c r="AP697" s="557" t="s">
        <v>137</v>
      </c>
      <c r="AQ697" s="554" t="s">
        <v>137</v>
      </c>
      <c r="AR697" s="557"/>
      <c r="AS697" s="557" t="s">
        <v>137</v>
      </c>
      <c r="AT697" s="554"/>
      <c r="AU697" s="169" t="s">
        <v>132</v>
      </c>
      <c r="AV697" s="557" t="s">
        <v>137</v>
      </c>
      <c r="AW697" s="554" t="s">
        <v>137</v>
      </c>
      <c r="AX697" s="169" t="s">
        <v>132</v>
      </c>
      <c r="AY697" s="557" t="s">
        <v>137</v>
      </c>
      <c r="AZ697" s="554" t="s">
        <v>137</v>
      </c>
      <c r="BA697" s="557" t="s">
        <v>138</v>
      </c>
      <c r="BB697" s="169"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1"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9" t="s">
        <v>132</v>
      </c>
      <c r="AJ698" s="557" t="s">
        <v>137</v>
      </c>
      <c r="AK698" s="550" t="s">
        <v>137</v>
      </c>
      <c r="AL698" s="169" t="s">
        <v>132</v>
      </c>
      <c r="AM698" s="557" t="s">
        <v>137</v>
      </c>
      <c r="AN698" s="554" t="s">
        <v>137</v>
      </c>
      <c r="AO698" s="557" t="s">
        <v>138</v>
      </c>
      <c r="AP698" s="557" t="s">
        <v>137</v>
      </c>
      <c r="AQ698" s="554" t="s">
        <v>137</v>
      </c>
      <c r="AR698" s="169" t="s">
        <v>132</v>
      </c>
      <c r="AS698" s="557" t="s">
        <v>137</v>
      </c>
      <c r="AT698" s="554" t="s">
        <v>137</v>
      </c>
      <c r="AU698" s="169" t="s">
        <v>132</v>
      </c>
      <c r="AV698" s="557" t="s">
        <v>137</v>
      </c>
      <c r="AW698" s="554" t="s">
        <v>137</v>
      </c>
      <c r="AX698" s="169"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1"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9" t="s">
        <v>132</v>
      </c>
      <c r="AM699" s="557" t="s">
        <v>137</v>
      </c>
      <c r="AN699" s="554" t="s">
        <v>137</v>
      </c>
      <c r="AO699" s="557" t="s">
        <v>138</v>
      </c>
      <c r="AP699" s="557" t="s">
        <v>137</v>
      </c>
      <c r="AQ699" s="554" t="s">
        <v>137</v>
      </c>
      <c r="AR699" s="557" t="s">
        <v>138</v>
      </c>
      <c r="AS699" s="557" t="s">
        <v>137</v>
      </c>
      <c r="AT699" s="554"/>
      <c r="AU699" s="169" t="s">
        <v>132</v>
      </c>
      <c r="AV699" s="557" t="s">
        <v>137</v>
      </c>
      <c r="AW699" s="554" t="s">
        <v>137</v>
      </c>
      <c r="AX699" s="169" t="s">
        <v>132</v>
      </c>
      <c r="AY699" s="557" t="s">
        <v>137</v>
      </c>
      <c r="AZ699" s="554" t="s">
        <v>137</v>
      </c>
      <c r="BA699" s="169"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1"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9" t="s">
        <v>132</v>
      </c>
      <c r="AM700" s="557" t="s">
        <v>137</v>
      </c>
      <c r="AN700" s="554" t="s">
        <v>137</v>
      </c>
      <c r="AO700" s="557" t="s">
        <v>138</v>
      </c>
      <c r="AP700" s="557" t="s">
        <v>137</v>
      </c>
      <c r="AQ700" s="554" t="s">
        <v>137</v>
      </c>
      <c r="AR700" s="169" t="s">
        <v>132</v>
      </c>
      <c r="AS700" s="557" t="s">
        <v>137</v>
      </c>
      <c r="AT700" s="554" t="s">
        <v>137</v>
      </c>
      <c r="AU700" s="169" t="s">
        <v>132</v>
      </c>
      <c r="AV700" s="557" t="s">
        <v>137</v>
      </c>
      <c r="AW700" s="554" t="s">
        <v>137</v>
      </c>
      <c r="AX700" s="169"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1"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9" t="s">
        <v>132</v>
      </c>
      <c r="AJ701" s="557" t="s">
        <v>137</v>
      </c>
      <c r="AK701" s="550" t="s">
        <v>137</v>
      </c>
      <c r="AL701" s="169" t="s">
        <v>132</v>
      </c>
      <c r="AM701" s="557" t="s">
        <v>137</v>
      </c>
      <c r="AN701" s="554" t="s">
        <v>137</v>
      </c>
      <c r="AO701" s="557" t="s">
        <v>138</v>
      </c>
      <c r="AP701" s="557" t="s">
        <v>137</v>
      </c>
      <c r="AQ701" s="554" t="s">
        <v>137</v>
      </c>
      <c r="AR701" s="169" t="s">
        <v>132</v>
      </c>
      <c r="AS701" s="557" t="s">
        <v>137</v>
      </c>
      <c r="AT701" s="554" t="s">
        <v>137</v>
      </c>
      <c r="AU701" s="169" t="s">
        <v>132</v>
      </c>
      <c r="AV701" s="557" t="s">
        <v>137</v>
      </c>
      <c r="AW701" s="554" t="s">
        <v>137</v>
      </c>
      <c r="AX701" s="169" t="s">
        <v>132</v>
      </c>
      <c r="AY701" s="557" t="s">
        <v>137</v>
      </c>
      <c r="AZ701" s="554" t="s">
        <v>137</v>
      </c>
      <c r="BA701" s="169"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1"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9" t="s">
        <v>132</v>
      </c>
      <c r="AJ702" s="557" t="s">
        <v>137</v>
      </c>
      <c r="AK702" s="550" t="s">
        <v>137</v>
      </c>
      <c r="AL702" s="169" t="s">
        <v>132</v>
      </c>
      <c r="AM702" s="557" t="s">
        <v>137</v>
      </c>
      <c r="AN702" s="554" t="s">
        <v>137</v>
      </c>
      <c r="AO702" s="557" t="s">
        <v>138</v>
      </c>
      <c r="AP702" s="557" t="s">
        <v>137</v>
      </c>
      <c r="AQ702" s="554" t="s">
        <v>137</v>
      </c>
      <c r="AR702" s="169" t="s">
        <v>132</v>
      </c>
      <c r="AS702" s="557" t="s">
        <v>137</v>
      </c>
      <c r="AT702" s="554" t="s">
        <v>137</v>
      </c>
      <c r="AU702" s="169" t="s">
        <v>132</v>
      </c>
      <c r="AV702" s="557" t="s">
        <v>137</v>
      </c>
      <c r="AW702" s="554" t="s">
        <v>137</v>
      </c>
      <c r="AX702" s="169" t="s">
        <v>132</v>
      </c>
      <c r="AY702" s="557" t="s">
        <v>137</v>
      </c>
      <c r="AZ702" s="554" t="s">
        <v>137</v>
      </c>
      <c r="BA702" s="169"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1"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9" t="s">
        <v>132</v>
      </c>
      <c r="AM703" s="557" t="s">
        <v>137</v>
      </c>
      <c r="AN703" s="554" t="s">
        <v>137</v>
      </c>
      <c r="AO703" s="169" t="s">
        <v>132</v>
      </c>
      <c r="AP703" s="557" t="s">
        <v>137</v>
      </c>
      <c r="AQ703" s="554" t="s">
        <v>137</v>
      </c>
      <c r="AR703" s="557"/>
      <c r="AS703" s="557" t="s">
        <v>137</v>
      </c>
      <c r="AT703" s="554" t="s">
        <v>137</v>
      </c>
      <c r="AU703" s="169" t="s">
        <v>132</v>
      </c>
      <c r="AV703" s="557" t="s">
        <v>137</v>
      </c>
      <c r="AW703" s="554" t="s">
        <v>137</v>
      </c>
      <c r="AX703" s="169" t="s">
        <v>132</v>
      </c>
      <c r="AY703" s="557" t="s">
        <v>137</v>
      </c>
      <c r="AZ703" s="554" t="s">
        <v>137</v>
      </c>
      <c r="BA703" s="169"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1"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9" t="s">
        <v>132</v>
      </c>
      <c r="AM704" s="557" t="s">
        <v>137</v>
      </c>
      <c r="AN704" s="554" t="s">
        <v>137</v>
      </c>
      <c r="AO704" s="557" t="s">
        <v>138</v>
      </c>
      <c r="AP704" s="557" t="s">
        <v>137</v>
      </c>
      <c r="AQ704" s="554" t="s">
        <v>137</v>
      </c>
      <c r="AR704" s="557" t="s">
        <v>138</v>
      </c>
      <c r="AS704" s="557" t="s">
        <v>137</v>
      </c>
      <c r="AT704" s="554" t="s">
        <v>137</v>
      </c>
      <c r="AU704" s="169" t="s">
        <v>132</v>
      </c>
      <c r="AV704" s="557" t="s">
        <v>137</v>
      </c>
      <c r="AW704" s="554" t="s">
        <v>137</v>
      </c>
      <c r="AX704" s="169" t="s">
        <v>132</v>
      </c>
      <c r="AY704" s="557" t="s">
        <v>137</v>
      </c>
      <c r="AZ704" s="554" t="s">
        <v>137</v>
      </c>
      <c r="BA704" s="169"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1"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9" t="s">
        <v>132</v>
      </c>
      <c r="AM705" s="557" t="s">
        <v>137</v>
      </c>
      <c r="AN705" s="554" t="s">
        <v>137</v>
      </c>
      <c r="AO705" s="557"/>
      <c r="AP705" s="557"/>
      <c r="AQ705" s="554"/>
      <c r="AR705" s="169" t="s">
        <v>132</v>
      </c>
      <c r="AS705" s="557" t="s">
        <v>137</v>
      </c>
      <c r="AT705" s="554" t="s">
        <v>137</v>
      </c>
      <c r="AU705" s="169" t="s">
        <v>132</v>
      </c>
      <c r="AV705" s="557" t="s">
        <v>137</v>
      </c>
      <c r="AW705" s="554" t="s">
        <v>137</v>
      </c>
      <c r="AX705" s="169" t="s">
        <v>132</v>
      </c>
      <c r="AY705" s="557" t="s">
        <v>137</v>
      </c>
      <c r="AZ705" s="554" t="s">
        <v>137</v>
      </c>
      <c r="BA705" s="169"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1"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9" t="s">
        <v>132</v>
      </c>
      <c r="AM706" s="557" t="s">
        <v>137</v>
      </c>
      <c r="AN706" s="554" t="s">
        <v>137</v>
      </c>
      <c r="AO706" s="169"/>
      <c r="AP706" s="557" t="s">
        <v>137</v>
      </c>
      <c r="AQ706" s="554" t="s">
        <v>137</v>
      </c>
      <c r="AR706" s="169" t="s">
        <v>132</v>
      </c>
      <c r="AS706" s="557" t="s">
        <v>137</v>
      </c>
      <c r="AT706" s="554" t="s">
        <v>137</v>
      </c>
      <c r="AU706" s="169" t="s">
        <v>132</v>
      </c>
      <c r="AV706" s="557" t="s">
        <v>137</v>
      </c>
      <c r="AW706" s="554" t="s">
        <v>137</v>
      </c>
      <c r="AX706" s="169"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1"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9" t="s">
        <v>132</v>
      </c>
      <c r="AJ707" s="557" t="s">
        <v>137</v>
      </c>
      <c r="AK707" s="550" t="s">
        <v>137</v>
      </c>
      <c r="AL707" s="169" t="s">
        <v>132</v>
      </c>
      <c r="AM707" s="557" t="s">
        <v>137</v>
      </c>
      <c r="AN707" s="554" t="s">
        <v>137</v>
      </c>
      <c r="AO707" s="169" t="s">
        <v>132</v>
      </c>
      <c r="AP707" s="557" t="s">
        <v>137</v>
      </c>
      <c r="AQ707" s="554" t="s">
        <v>137</v>
      </c>
      <c r="AR707" s="169" t="s">
        <v>132</v>
      </c>
      <c r="AS707" s="557" t="s">
        <v>137</v>
      </c>
      <c r="AT707" s="554" t="s">
        <v>137</v>
      </c>
      <c r="AU707" s="169" t="s">
        <v>132</v>
      </c>
      <c r="AV707" s="557" t="s">
        <v>137</v>
      </c>
      <c r="AW707" s="554" t="s">
        <v>137</v>
      </c>
      <c r="AX707" s="169" t="s">
        <v>132</v>
      </c>
      <c r="AY707" s="557" t="s">
        <v>137</v>
      </c>
      <c r="AZ707" s="554" t="s">
        <v>137</v>
      </c>
      <c r="BA707" s="169"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1"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9" t="s">
        <v>132</v>
      </c>
      <c r="AJ708" s="557" t="s">
        <v>137</v>
      </c>
      <c r="AK708" s="550" t="s">
        <v>137</v>
      </c>
      <c r="AL708" s="169" t="s">
        <v>132</v>
      </c>
      <c r="AM708" s="557" t="s">
        <v>137</v>
      </c>
      <c r="AN708" s="554" t="s">
        <v>137</v>
      </c>
      <c r="AO708" s="557" t="s">
        <v>138</v>
      </c>
      <c r="AP708" s="557" t="s">
        <v>137</v>
      </c>
      <c r="AQ708" s="554" t="s">
        <v>137</v>
      </c>
      <c r="AR708" s="169" t="s">
        <v>132</v>
      </c>
      <c r="AS708" s="557" t="s">
        <v>137</v>
      </c>
      <c r="AT708" s="554" t="s">
        <v>137</v>
      </c>
      <c r="AU708" s="169" t="s">
        <v>132</v>
      </c>
      <c r="AV708" s="557" t="s">
        <v>137</v>
      </c>
      <c r="AW708" s="554" t="s">
        <v>137</v>
      </c>
      <c r="AX708" s="557" t="s">
        <v>138</v>
      </c>
      <c r="AY708" s="557" t="s">
        <v>137</v>
      </c>
      <c r="AZ708" s="554" t="s">
        <v>137</v>
      </c>
      <c r="BA708" s="169"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1"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9" t="s">
        <v>132</v>
      </c>
      <c r="AM709" s="557" t="s">
        <v>137</v>
      </c>
      <c r="AN709" s="554" t="s">
        <v>137</v>
      </c>
      <c r="AO709" s="557" t="s">
        <v>138</v>
      </c>
      <c r="AP709" s="557" t="s">
        <v>137</v>
      </c>
      <c r="AQ709" s="554" t="s">
        <v>137</v>
      </c>
      <c r="AR709" s="169" t="s">
        <v>132</v>
      </c>
      <c r="AS709" s="557" t="s">
        <v>137</v>
      </c>
      <c r="AT709" s="554" t="s">
        <v>137</v>
      </c>
      <c r="AU709" s="169" t="s">
        <v>132</v>
      </c>
      <c r="AV709" s="557" t="s">
        <v>137</v>
      </c>
      <c r="AW709" s="554" t="s">
        <v>137</v>
      </c>
      <c r="AX709" s="169" t="s">
        <v>132</v>
      </c>
      <c r="AY709" s="557" t="s">
        <v>137</v>
      </c>
      <c r="AZ709" s="554" t="s">
        <v>137</v>
      </c>
      <c r="BA709" s="169"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1"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1"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9" t="s">
        <v>132</v>
      </c>
      <c r="AM711" s="557" t="s">
        <v>137</v>
      </c>
      <c r="AN711" s="554" t="s">
        <v>137</v>
      </c>
      <c r="AO711" s="557"/>
      <c r="AP711" s="557" t="s">
        <v>137</v>
      </c>
      <c r="AQ711" s="554" t="s">
        <v>137</v>
      </c>
      <c r="AR711" s="169" t="s">
        <v>132</v>
      </c>
      <c r="AS711" s="557" t="s">
        <v>137</v>
      </c>
      <c r="AT711" s="554" t="s">
        <v>137</v>
      </c>
      <c r="AU711" s="169" t="s">
        <v>132</v>
      </c>
      <c r="AV711" s="557" t="s">
        <v>137</v>
      </c>
      <c r="AW711" s="554" t="s">
        <v>137</v>
      </c>
      <c r="AX711" s="169" t="s">
        <v>132</v>
      </c>
      <c r="AY711" s="557" t="s">
        <v>137</v>
      </c>
      <c r="AZ711" s="554" t="s">
        <v>137</v>
      </c>
      <c r="BA711" s="169"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1"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9" t="s">
        <v>132</v>
      </c>
      <c r="AM712" s="557" t="s">
        <v>137</v>
      </c>
      <c r="AN712" s="552" t="s">
        <v>137</v>
      </c>
      <c r="AO712" s="169" t="s">
        <v>132</v>
      </c>
      <c r="AP712" s="557" t="s">
        <v>137</v>
      </c>
      <c r="AQ712" s="552" t="s">
        <v>137</v>
      </c>
      <c r="AR712" s="169" t="s">
        <v>132</v>
      </c>
      <c r="AS712" s="557" t="s">
        <v>137</v>
      </c>
      <c r="AT712" s="552" t="s">
        <v>137</v>
      </c>
      <c r="AU712" s="169" t="s">
        <v>132</v>
      </c>
      <c r="AV712" s="557" t="s">
        <v>137</v>
      </c>
      <c r="AW712" s="552" t="s">
        <v>137</v>
      </c>
      <c r="AX712" s="169" t="s">
        <v>132</v>
      </c>
      <c r="AY712" s="557" t="s">
        <v>137</v>
      </c>
      <c r="AZ712" s="552" t="s">
        <v>137</v>
      </c>
      <c r="BA712" s="169"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1"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9" t="s">
        <v>132</v>
      </c>
      <c r="AV713" s="557" t="s">
        <v>137</v>
      </c>
      <c r="AW713" s="554" t="s">
        <v>137</v>
      </c>
      <c r="AX713" s="169"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1"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9" t="s">
        <v>132</v>
      </c>
      <c r="AJ714" s="557" t="s">
        <v>137</v>
      </c>
      <c r="AK714" s="550" t="s">
        <v>137</v>
      </c>
      <c r="AL714" s="169" t="s">
        <v>132</v>
      </c>
      <c r="AM714" s="557" t="s">
        <v>137</v>
      </c>
      <c r="AN714" s="554" t="s">
        <v>137</v>
      </c>
      <c r="AO714" s="557" t="s">
        <v>138</v>
      </c>
      <c r="AP714" s="557" t="s">
        <v>137</v>
      </c>
      <c r="AQ714" s="554" t="s">
        <v>137</v>
      </c>
      <c r="AR714" s="169" t="s">
        <v>132</v>
      </c>
      <c r="AS714" s="557" t="s">
        <v>137</v>
      </c>
      <c r="AT714" s="554" t="s">
        <v>137</v>
      </c>
      <c r="AU714" s="169" t="s">
        <v>132</v>
      </c>
      <c r="AV714" s="557" t="s">
        <v>137</v>
      </c>
      <c r="AW714" s="554" t="s">
        <v>137</v>
      </c>
      <c r="AX714" s="169" t="s">
        <v>132</v>
      </c>
      <c r="AY714" s="557" t="s">
        <v>137</v>
      </c>
      <c r="AZ714" s="554" t="s">
        <v>137</v>
      </c>
      <c r="BA714" s="169"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1"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9" t="s">
        <v>132</v>
      </c>
      <c r="AJ715" s="557" t="s">
        <v>137</v>
      </c>
      <c r="AK715" s="550" t="s">
        <v>137</v>
      </c>
      <c r="AL715" s="169" t="s">
        <v>132</v>
      </c>
      <c r="AM715" s="557" t="s">
        <v>137</v>
      </c>
      <c r="AN715" s="554" t="s">
        <v>137</v>
      </c>
      <c r="AO715" s="557" t="s">
        <v>138</v>
      </c>
      <c r="AP715" s="557" t="s">
        <v>137</v>
      </c>
      <c r="AQ715" s="554" t="s">
        <v>137</v>
      </c>
      <c r="AR715" s="169" t="s">
        <v>132</v>
      </c>
      <c r="AS715" s="557" t="s">
        <v>137</v>
      </c>
      <c r="AT715" s="554" t="s">
        <v>137</v>
      </c>
      <c r="AU715" s="169" t="s">
        <v>132</v>
      </c>
      <c r="AV715" s="557" t="s">
        <v>137</v>
      </c>
      <c r="AW715" s="554" t="s">
        <v>137</v>
      </c>
      <c r="AX715" s="169" t="s">
        <v>132</v>
      </c>
      <c r="AY715" s="557" t="s">
        <v>137</v>
      </c>
      <c r="AZ715" s="554" t="s">
        <v>137</v>
      </c>
      <c r="BA715" s="169"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3"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9" t="s">
        <v>132</v>
      </c>
      <c r="AM716" s="550" t="s">
        <v>137</v>
      </c>
      <c r="AN716" s="550" t="s">
        <v>137</v>
      </c>
      <c r="AO716" s="550" t="s">
        <v>138</v>
      </c>
      <c r="AP716" s="550" t="s">
        <v>137</v>
      </c>
      <c r="AQ716" s="550" t="s">
        <v>137</v>
      </c>
      <c r="AR716" s="169" t="s">
        <v>132</v>
      </c>
      <c r="AS716" s="550" t="s">
        <v>137</v>
      </c>
      <c r="AT716" s="550" t="s">
        <v>137</v>
      </c>
      <c r="AU716" s="169" t="s">
        <v>132</v>
      </c>
      <c r="AV716" s="550" t="s">
        <v>137</v>
      </c>
      <c r="AW716" s="550" t="s">
        <v>137</v>
      </c>
      <c r="AX716" s="550" t="s">
        <v>138</v>
      </c>
      <c r="AY716" s="550" t="s">
        <v>137</v>
      </c>
      <c r="AZ716" s="550" t="s">
        <v>137</v>
      </c>
      <c r="BA716" s="169"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3"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9" t="s">
        <v>132</v>
      </c>
      <c r="AJ717" s="550" t="s">
        <v>137</v>
      </c>
      <c r="AK717" s="550" t="s">
        <v>137</v>
      </c>
      <c r="AL717" s="169" t="s">
        <v>132</v>
      </c>
      <c r="AM717" s="550" t="s">
        <v>137</v>
      </c>
      <c r="AN717" s="550" t="s">
        <v>137</v>
      </c>
      <c r="AO717" s="550" t="s">
        <v>138</v>
      </c>
      <c r="AP717" s="550" t="s">
        <v>137</v>
      </c>
      <c r="AQ717" s="550" t="s">
        <v>137</v>
      </c>
      <c r="AR717" s="169" t="s">
        <v>132</v>
      </c>
      <c r="AS717" s="550" t="s">
        <v>137</v>
      </c>
      <c r="AT717" s="550" t="s">
        <v>137</v>
      </c>
      <c r="AU717" s="169" t="s">
        <v>132</v>
      </c>
      <c r="AV717" s="550" t="s">
        <v>137</v>
      </c>
      <c r="AW717" s="550" t="s">
        <v>137</v>
      </c>
      <c r="AX717" s="169" t="s">
        <v>132</v>
      </c>
      <c r="AY717" s="550" t="s">
        <v>137</v>
      </c>
      <c r="AZ717" s="550" t="s">
        <v>137</v>
      </c>
      <c r="BA717" s="169"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3"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9" t="s">
        <v>132</v>
      </c>
      <c r="AM718" s="550" t="s">
        <v>137</v>
      </c>
      <c r="AN718" s="550" t="s">
        <v>137</v>
      </c>
      <c r="AO718" s="550" t="s">
        <v>138</v>
      </c>
      <c r="AP718" s="550" t="s">
        <v>137</v>
      </c>
      <c r="AQ718" s="550" t="s">
        <v>137</v>
      </c>
      <c r="AR718" s="550"/>
      <c r="AS718" s="550" t="s">
        <v>137</v>
      </c>
      <c r="AT718" s="550" t="s">
        <v>137</v>
      </c>
      <c r="AU718" s="169" t="s">
        <v>132</v>
      </c>
      <c r="AV718" s="550" t="s">
        <v>137</v>
      </c>
      <c r="AW718" s="550" t="s">
        <v>137</v>
      </c>
      <c r="AX718" s="552" t="s">
        <v>132</v>
      </c>
      <c r="AY718" s="550" t="s">
        <v>137</v>
      </c>
      <c r="AZ718" s="550" t="s">
        <v>137</v>
      </c>
      <c r="BA718" s="169"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3"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9" t="s">
        <v>132</v>
      </c>
      <c r="AJ719" s="550" t="s">
        <v>137</v>
      </c>
      <c r="AK719" s="550" t="s">
        <v>137</v>
      </c>
      <c r="AL719" s="550" t="s">
        <v>138</v>
      </c>
      <c r="AM719" s="550" t="s">
        <v>137</v>
      </c>
      <c r="AN719" s="550" t="s">
        <v>137</v>
      </c>
      <c r="AO719" s="550" t="s">
        <v>138</v>
      </c>
      <c r="AP719" s="550" t="s">
        <v>137</v>
      </c>
      <c r="AQ719" s="550" t="s">
        <v>137</v>
      </c>
      <c r="AR719" s="169" t="s">
        <v>132</v>
      </c>
      <c r="AS719" s="550" t="s">
        <v>137</v>
      </c>
      <c r="AT719" s="550" t="s">
        <v>137</v>
      </c>
      <c r="AU719" s="169" t="s">
        <v>132</v>
      </c>
      <c r="AV719" s="550" t="s">
        <v>137</v>
      </c>
      <c r="AW719" s="550" t="s">
        <v>137</v>
      </c>
      <c r="AX719" s="169" t="s">
        <v>132</v>
      </c>
      <c r="AY719" s="550" t="s">
        <v>137</v>
      </c>
      <c r="AZ719" s="550" t="s">
        <v>137</v>
      </c>
      <c r="BA719" s="169"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3"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9" t="s">
        <v>132</v>
      </c>
      <c r="AJ720" s="552"/>
      <c r="AK720" s="550"/>
      <c r="AL720" s="169" t="s">
        <v>132</v>
      </c>
      <c r="AM720" s="169"/>
      <c r="AN720" s="550" t="s">
        <v>137</v>
      </c>
      <c r="AO720" s="169" t="s">
        <v>132</v>
      </c>
      <c r="AP720" s="550" t="s">
        <v>137</v>
      </c>
      <c r="AQ720" s="550" t="s">
        <v>137</v>
      </c>
      <c r="AR720" s="169" t="s">
        <v>132</v>
      </c>
      <c r="AS720" s="550" t="s">
        <v>137</v>
      </c>
      <c r="AT720" s="550" t="s">
        <v>137</v>
      </c>
      <c r="AU720" s="169" t="s">
        <v>132</v>
      </c>
      <c r="AV720" s="550" t="s">
        <v>137</v>
      </c>
      <c r="AW720" s="550" t="s">
        <v>137</v>
      </c>
      <c r="AX720" s="169" t="s">
        <v>132</v>
      </c>
      <c r="AY720" s="550" t="s">
        <v>137</v>
      </c>
      <c r="AZ720" s="550" t="s">
        <v>137</v>
      </c>
      <c r="BA720" s="169"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3"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9" t="s">
        <v>132</v>
      </c>
      <c r="AJ721" s="550" t="s">
        <v>137</v>
      </c>
      <c r="AK721" s="550" t="s">
        <v>137</v>
      </c>
      <c r="AL721" s="169" t="s">
        <v>132</v>
      </c>
      <c r="AM721" s="550" t="s">
        <v>137</v>
      </c>
      <c r="AN721" s="550" t="s">
        <v>137</v>
      </c>
      <c r="AO721" s="550" t="s">
        <v>138</v>
      </c>
      <c r="AP721" s="550" t="s">
        <v>137</v>
      </c>
      <c r="AQ721" s="550" t="s">
        <v>137</v>
      </c>
      <c r="AR721" s="169" t="s">
        <v>132</v>
      </c>
      <c r="AS721" s="550" t="s">
        <v>137</v>
      </c>
      <c r="AT721" s="550" t="s">
        <v>137</v>
      </c>
      <c r="AU721" s="169" t="s">
        <v>132</v>
      </c>
      <c r="AV721" s="550" t="s">
        <v>137</v>
      </c>
      <c r="AW721" s="550" t="s">
        <v>137</v>
      </c>
      <c r="AX721" s="169" t="s">
        <v>132</v>
      </c>
      <c r="AY721" s="550"/>
      <c r="AZ721" s="550"/>
      <c r="BA721" s="169"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3"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9" t="s">
        <v>132</v>
      </c>
      <c r="AJ722" s="550" t="s">
        <v>137</v>
      </c>
      <c r="AK722" s="550" t="s">
        <v>137</v>
      </c>
      <c r="AL722" s="169" t="s">
        <v>132</v>
      </c>
      <c r="AM722" s="550" t="s">
        <v>137</v>
      </c>
      <c r="AN722" s="550" t="s">
        <v>137</v>
      </c>
      <c r="AO722" s="550" t="s">
        <v>138</v>
      </c>
      <c r="AP722" s="550" t="s">
        <v>137</v>
      </c>
      <c r="AQ722" s="550" t="s">
        <v>137</v>
      </c>
      <c r="AR722" s="169" t="s">
        <v>132</v>
      </c>
      <c r="AS722" s="550" t="s">
        <v>137</v>
      </c>
      <c r="AT722" s="550" t="s">
        <v>137</v>
      </c>
      <c r="AU722" s="169" t="s">
        <v>132</v>
      </c>
      <c r="AV722" s="550" t="s">
        <v>137</v>
      </c>
      <c r="AW722" s="550" t="s">
        <v>137</v>
      </c>
      <c r="AX722" s="169" t="s">
        <v>132</v>
      </c>
      <c r="AY722" s="550" t="s">
        <v>137</v>
      </c>
      <c r="AZ722" s="550" t="s">
        <v>137</v>
      </c>
      <c r="BA722" s="169"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3"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9" t="s">
        <v>132</v>
      </c>
      <c r="AJ723" s="550" t="s">
        <v>137</v>
      </c>
      <c r="AK723" s="550" t="s">
        <v>137</v>
      </c>
      <c r="AL723" s="169" t="s">
        <v>132</v>
      </c>
      <c r="AM723" s="550" t="s">
        <v>137</v>
      </c>
      <c r="AN723" s="550" t="s">
        <v>137</v>
      </c>
      <c r="AO723" s="169" t="s">
        <v>132</v>
      </c>
      <c r="AP723" s="550" t="s">
        <v>137</v>
      </c>
      <c r="AQ723" s="550" t="s">
        <v>137</v>
      </c>
      <c r="AR723" s="169" t="s">
        <v>132</v>
      </c>
      <c r="AS723" s="550" t="s">
        <v>137</v>
      </c>
      <c r="AT723" s="550" t="s">
        <v>137</v>
      </c>
      <c r="AU723" s="169" t="s">
        <v>132</v>
      </c>
      <c r="AV723" s="550" t="s">
        <v>137</v>
      </c>
      <c r="AW723" s="550" t="s">
        <v>137</v>
      </c>
      <c r="AX723" s="169"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3" customFormat="1" ht="115" customHeight="1">
      <c r="A724" s="558" t="s">
        <v>18556</v>
      </c>
      <c r="B724" s="556" t="s">
        <v>4629</v>
      </c>
      <c r="C724" s="556" t="s">
        <v>4630</v>
      </c>
      <c r="D724" s="556" t="s">
        <v>2253</v>
      </c>
      <c r="E724" s="169" t="s">
        <v>132</v>
      </c>
      <c r="F724" s="169" t="s">
        <v>137</v>
      </c>
      <c r="G724" s="239" t="s">
        <v>137</v>
      </c>
      <c r="H724" s="169" t="s">
        <v>132</v>
      </c>
      <c r="I724" s="169" t="s">
        <v>137</v>
      </c>
      <c r="J724" s="239" t="s">
        <v>137</v>
      </c>
      <c r="K724" s="341" t="s">
        <v>132</v>
      </c>
      <c r="L724" s="169" t="s">
        <v>137</v>
      </c>
      <c r="M724" s="342" t="s">
        <v>137</v>
      </c>
      <c r="N724" s="169" t="s">
        <v>132</v>
      </c>
      <c r="O724" s="169" t="s">
        <v>137</v>
      </c>
      <c r="P724" s="239" t="s">
        <v>137</v>
      </c>
      <c r="Q724" s="169" t="s">
        <v>132</v>
      </c>
      <c r="R724" s="169" t="s">
        <v>137</v>
      </c>
      <c r="S724" s="239" t="s">
        <v>137</v>
      </c>
      <c r="T724" s="169" t="s">
        <v>132</v>
      </c>
      <c r="U724" s="169" t="s">
        <v>137</v>
      </c>
      <c r="V724" s="239" t="s">
        <v>137</v>
      </c>
      <c r="W724" s="169" t="s">
        <v>132</v>
      </c>
      <c r="X724" s="169" t="s">
        <v>137</v>
      </c>
      <c r="Y724" s="239" t="s">
        <v>137</v>
      </c>
      <c r="Z724" s="169" t="s">
        <v>132</v>
      </c>
      <c r="AA724" s="169" t="s">
        <v>137</v>
      </c>
      <c r="AB724" s="239" t="s">
        <v>137</v>
      </c>
      <c r="AC724" s="169" t="s">
        <v>132</v>
      </c>
      <c r="AD724" s="245" t="s">
        <v>137</v>
      </c>
      <c r="AE724" s="239" t="s">
        <v>137</v>
      </c>
      <c r="AF724" s="563" t="s">
        <v>148</v>
      </c>
      <c r="AG724" s="556" t="s">
        <v>132</v>
      </c>
      <c r="AH724" s="555" t="s">
        <v>4631</v>
      </c>
      <c r="AI724" s="169" t="s">
        <v>132</v>
      </c>
      <c r="AJ724" s="169" t="s">
        <v>137</v>
      </c>
      <c r="AK724" s="550" t="s">
        <v>137</v>
      </c>
      <c r="AL724" s="169" t="s">
        <v>132</v>
      </c>
      <c r="AM724" s="169" t="s">
        <v>137</v>
      </c>
      <c r="AN724" s="239" t="s">
        <v>137</v>
      </c>
      <c r="AO724" s="169" t="s">
        <v>138</v>
      </c>
      <c r="AP724" s="169" t="s">
        <v>137</v>
      </c>
      <c r="AQ724" s="239" t="s">
        <v>137</v>
      </c>
      <c r="AR724" s="169" t="s">
        <v>138</v>
      </c>
      <c r="AS724" s="169" t="s">
        <v>137</v>
      </c>
      <c r="AT724" s="239" t="s">
        <v>137</v>
      </c>
      <c r="AU724" s="169" t="s">
        <v>132</v>
      </c>
      <c r="AV724" s="169" t="s">
        <v>137</v>
      </c>
      <c r="AW724" s="239" t="s">
        <v>137</v>
      </c>
      <c r="AX724" s="169" t="s">
        <v>132</v>
      </c>
      <c r="AY724" s="169" t="s">
        <v>137</v>
      </c>
      <c r="AZ724" s="239" t="s">
        <v>137</v>
      </c>
      <c r="BA724" s="169" t="s">
        <v>132</v>
      </c>
      <c r="BB724" s="169"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9" t="s">
        <v>132</v>
      </c>
      <c r="GP724" s="169"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3"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3"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3"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3"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3"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3"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3"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3"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3"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3"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3"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3"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3"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3"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3"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3"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3"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3"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3"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3"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3"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3"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3"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3"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3"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3"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3"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3"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69" t="s">
        <v>132</v>
      </c>
      <c r="F753" s="169" t="s">
        <v>137</v>
      </c>
      <c r="G753" s="556" t="s">
        <v>137</v>
      </c>
      <c r="H753" s="169" t="s">
        <v>132</v>
      </c>
      <c r="I753" s="169" t="s">
        <v>137</v>
      </c>
      <c r="J753" s="556" t="s">
        <v>137</v>
      </c>
      <c r="K753" s="341" t="s">
        <v>132</v>
      </c>
      <c r="L753" s="169" t="s">
        <v>137</v>
      </c>
      <c r="M753" s="424" t="s">
        <v>137</v>
      </c>
      <c r="N753" s="169" t="s">
        <v>132</v>
      </c>
      <c r="O753" s="169" t="s">
        <v>137</v>
      </c>
      <c r="P753" s="556" t="s">
        <v>137</v>
      </c>
      <c r="Q753" s="169" t="s">
        <v>132</v>
      </c>
      <c r="R753" s="169" t="s">
        <v>137</v>
      </c>
      <c r="S753" s="556" t="s">
        <v>137</v>
      </c>
      <c r="T753" s="169" t="s">
        <v>132</v>
      </c>
      <c r="U753" s="169" t="s">
        <v>137</v>
      </c>
      <c r="V753" s="556" t="s">
        <v>137</v>
      </c>
      <c r="W753" s="169" t="s">
        <v>132</v>
      </c>
      <c r="X753" s="169" t="s">
        <v>137</v>
      </c>
      <c r="Y753" s="556" t="s">
        <v>137</v>
      </c>
      <c r="Z753" s="169" t="s">
        <v>132</v>
      </c>
      <c r="AA753" s="169" t="s">
        <v>137</v>
      </c>
      <c r="AB753" s="556" t="s">
        <v>137</v>
      </c>
      <c r="AC753" s="169" t="s">
        <v>132</v>
      </c>
      <c r="AD753" s="169" t="s">
        <v>137</v>
      </c>
      <c r="AE753" s="556" t="s">
        <v>137</v>
      </c>
      <c r="AF753" s="563" t="s">
        <v>148</v>
      </c>
      <c r="AG753" s="556" t="s">
        <v>132</v>
      </c>
      <c r="AH753" s="556" t="s">
        <v>4793</v>
      </c>
      <c r="AI753" s="169" t="s">
        <v>132</v>
      </c>
      <c r="AJ753" s="169" t="s">
        <v>137</v>
      </c>
      <c r="AK753" s="556" t="s">
        <v>137</v>
      </c>
      <c r="AL753" s="169" t="s">
        <v>132</v>
      </c>
      <c r="AM753" s="169" t="s">
        <v>137</v>
      </c>
      <c r="AN753" s="556" t="s">
        <v>137</v>
      </c>
      <c r="AO753" s="169" t="s">
        <v>132</v>
      </c>
      <c r="AP753" s="169"/>
      <c r="AQ753" s="556"/>
      <c r="AR753" s="169" t="s">
        <v>132</v>
      </c>
      <c r="AS753" s="169" t="s">
        <v>137</v>
      </c>
      <c r="AT753" s="556" t="s">
        <v>137</v>
      </c>
      <c r="AU753" s="169" t="s">
        <v>132</v>
      </c>
      <c r="AV753" s="169" t="s">
        <v>137</v>
      </c>
      <c r="AW753" s="556" t="s">
        <v>137</v>
      </c>
      <c r="AX753" s="169" t="s">
        <v>132</v>
      </c>
      <c r="AY753" s="169" t="s">
        <v>137</v>
      </c>
      <c r="AZ753" s="556" t="s">
        <v>137</v>
      </c>
      <c r="BA753" s="169" t="s">
        <v>132</v>
      </c>
      <c r="BB753" s="169"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9"/>
      <c r="GP753" s="169"/>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69" t="s">
        <v>132</v>
      </c>
      <c r="F768" s="169" t="s">
        <v>137</v>
      </c>
      <c r="G768" s="239" t="s">
        <v>137</v>
      </c>
      <c r="H768" s="169" t="s">
        <v>132</v>
      </c>
      <c r="I768" s="169" t="s">
        <v>137</v>
      </c>
      <c r="J768" s="239" t="s">
        <v>137</v>
      </c>
      <c r="K768" s="341" t="s">
        <v>138</v>
      </c>
      <c r="L768" s="169" t="s">
        <v>137</v>
      </c>
      <c r="M768" s="342" t="s">
        <v>137</v>
      </c>
      <c r="N768" s="169" t="s">
        <v>132</v>
      </c>
      <c r="O768" s="169" t="s">
        <v>137</v>
      </c>
      <c r="P768" s="239" t="s">
        <v>137</v>
      </c>
      <c r="Q768" s="169" t="s">
        <v>132</v>
      </c>
      <c r="R768" s="169" t="s">
        <v>137</v>
      </c>
      <c r="S768" s="239" t="s">
        <v>137</v>
      </c>
      <c r="T768" s="169" t="s">
        <v>138</v>
      </c>
      <c r="U768" s="169" t="s">
        <v>137</v>
      </c>
      <c r="V768" s="239"/>
      <c r="W768" s="169" t="s">
        <v>132</v>
      </c>
      <c r="X768" s="169" t="s">
        <v>137</v>
      </c>
      <c r="Y768" s="239" t="s">
        <v>137</v>
      </c>
      <c r="Z768" s="169" t="s">
        <v>132</v>
      </c>
      <c r="AA768" s="169" t="s">
        <v>137</v>
      </c>
      <c r="AB768" s="239" t="s">
        <v>137</v>
      </c>
      <c r="AC768" s="245" t="s">
        <v>132</v>
      </c>
      <c r="AD768" s="245" t="s">
        <v>137</v>
      </c>
      <c r="AE768" s="239" t="s">
        <v>137</v>
      </c>
      <c r="AF768" s="563" t="s">
        <v>132</v>
      </c>
      <c r="AG768" s="556"/>
      <c r="AH768" s="555"/>
      <c r="AI768" s="169" t="s">
        <v>132</v>
      </c>
      <c r="AJ768" s="169" t="s">
        <v>137</v>
      </c>
      <c r="AK768" s="239" t="s">
        <v>137</v>
      </c>
      <c r="AL768" s="169" t="s">
        <v>132</v>
      </c>
      <c r="AM768" s="169" t="s">
        <v>137</v>
      </c>
      <c r="AN768" s="239" t="s">
        <v>137</v>
      </c>
      <c r="AO768" s="169" t="s">
        <v>138</v>
      </c>
      <c r="AP768" s="169" t="s">
        <v>137</v>
      </c>
      <c r="AQ768" s="239" t="s">
        <v>137</v>
      </c>
      <c r="AR768" s="169" t="s">
        <v>132</v>
      </c>
      <c r="AS768" s="169" t="s">
        <v>137</v>
      </c>
      <c r="AT768" s="239" t="s">
        <v>137</v>
      </c>
      <c r="AU768" s="169" t="s">
        <v>132</v>
      </c>
      <c r="AV768" s="169" t="s">
        <v>137</v>
      </c>
      <c r="AW768" s="239" t="s">
        <v>137</v>
      </c>
      <c r="AX768" s="169" t="s">
        <v>132</v>
      </c>
      <c r="AY768" s="169" t="s">
        <v>137</v>
      </c>
      <c r="AZ768" s="239" t="s">
        <v>137</v>
      </c>
      <c r="BA768" s="169" t="s">
        <v>132</v>
      </c>
      <c r="BB768" s="169"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9"/>
      <c r="GP768" s="169"/>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1"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1"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2"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1"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1"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1"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1"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1"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1"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1"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1"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1"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1"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1"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1"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1"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1"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3" customFormat="1" ht="115" customHeight="1">
      <c r="A831" s="336" t="s">
        <v>18632</v>
      </c>
      <c r="B831" s="556" t="s">
        <v>5346</v>
      </c>
      <c r="C831" s="556" t="s">
        <v>5347</v>
      </c>
      <c r="D831" s="556" t="s">
        <v>95</v>
      </c>
      <c r="E831" s="169" t="s">
        <v>132</v>
      </c>
      <c r="F831" s="169"/>
      <c r="G831" s="239" t="s">
        <v>137</v>
      </c>
      <c r="H831" s="169" t="s">
        <v>132</v>
      </c>
      <c r="I831" s="169"/>
      <c r="J831" s="239"/>
      <c r="K831" s="341" t="s">
        <v>138</v>
      </c>
      <c r="L831" s="169"/>
      <c r="M831" s="342"/>
      <c r="N831" s="169" t="s">
        <v>138</v>
      </c>
      <c r="O831" s="169"/>
      <c r="P831" s="239"/>
      <c r="Q831" s="169" t="s">
        <v>132</v>
      </c>
      <c r="R831" s="169" t="s">
        <v>137</v>
      </c>
      <c r="S831" s="239" t="s">
        <v>137</v>
      </c>
      <c r="T831" s="169" t="s">
        <v>132</v>
      </c>
      <c r="U831" s="169" t="s">
        <v>137</v>
      </c>
      <c r="V831" s="239" t="s">
        <v>137</v>
      </c>
      <c r="W831" s="169" t="s">
        <v>132</v>
      </c>
      <c r="X831" s="169" t="s">
        <v>137</v>
      </c>
      <c r="Y831" s="239" t="s">
        <v>137</v>
      </c>
      <c r="Z831" s="169" t="s">
        <v>132</v>
      </c>
      <c r="AA831" s="169" t="s">
        <v>137</v>
      </c>
      <c r="AB831" s="239" t="s">
        <v>137</v>
      </c>
      <c r="AC831" s="245" t="s">
        <v>132</v>
      </c>
      <c r="AD831" s="245" t="s">
        <v>137</v>
      </c>
      <c r="AE831" s="239" t="s">
        <v>137</v>
      </c>
      <c r="AF831" s="563" t="s">
        <v>148</v>
      </c>
      <c r="AG831" s="556" t="s">
        <v>132</v>
      </c>
      <c r="AH831" s="555" t="s">
        <v>14726</v>
      </c>
      <c r="AI831" s="169" t="s">
        <v>132</v>
      </c>
      <c r="AJ831" s="169" t="s">
        <v>137</v>
      </c>
      <c r="AK831" s="239" t="s">
        <v>137</v>
      </c>
      <c r="AL831" s="169" t="s">
        <v>132</v>
      </c>
      <c r="AM831" s="169" t="s">
        <v>137</v>
      </c>
      <c r="AN831" s="239" t="s">
        <v>137</v>
      </c>
      <c r="AO831" s="169" t="s">
        <v>138</v>
      </c>
      <c r="AP831" s="169" t="s">
        <v>137</v>
      </c>
      <c r="AQ831" s="239" t="s">
        <v>137</v>
      </c>
      <c r="AR831" s="169" t="s">
        <v>132</v>
      </c>
      <c r="AS831" s="169" t="s">
        <v>137</v>
      </c>
      <c r="AT831" s="239" t="s">
        <v>137</v>
      </c>
      <c r="AU831" s="169" t="s">
        <v>132</v>
      </c>
      <c r="AV831" s="169" t="s">
        <v>137</v>
      </c>
      <c r="AW831" s="239" t="s">
        <v>137</v>
      </c>
      <c r="AX831" s="169" t="s">
        <v>132</v>
      </c>
      <c r="AY831" s="169" t="s">
        <v>137</v>
      </c>
      <c r="AZ831" s="239" t="s">
        <v>137</v>
      </c>
      <c r="BA831" s="169" t="s">
        <v>132</v>
      </c>
      <c r="BB831" s="169"/>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9"/>
      <c r="GP831" s="169"/>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3"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3"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3"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3"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3"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3"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3"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3"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3"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3"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3"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3"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3"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3"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3"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3"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3"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3"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3"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3"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3"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3"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3"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3"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3"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3"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3"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3"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3"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3"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3"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3"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3"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3"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3"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3"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3"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3"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3"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3"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3"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3"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3"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3"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3"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3"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3"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3"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3"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3"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3"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3"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3"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3"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3"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3"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3"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3"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3"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3"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3"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3"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3"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3"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3"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3"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3"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3"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3"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3"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3"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3"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3"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3"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3"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3"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69" t="s">
        <v>132</v>
      </c>
      <c r="F908" s="169" t="s">
        <v>137</v>
      </c>
      <c r="G908" s="239" t="s">
        <v>137</v>
      </c>
      <c r="H908" s="169" t="s">
        <v>132</v>
      </c>
      <c r="I908" s="169" t="s">
        <v>137</v>
      </c>
      <c r="J908" s="239" t="s">
        <v>137</v>
      </c>
      <c r="K908" s="341" t="s">
        <v>132</v>
      </c>
      <c r="L908" s="169" t="s">
        <v>137</v>
      </c>
      <c r="M908" s="342" t="s">
        <v>137</v>
      </c>
      <c r="N908" s="169" t="s">
        <v>138</v>
      </c>
      <c r="O908" s="169" t="s">
        <v>132</v>
      </c>
      <c r="P908" s="239" t="s">
        <v>5869</v>
      </c>
      <c r="Q908" s="169" t="s">
        <v>138</v>
      </c>
      <c r="R908" s="169" t="s">
        <v>132</v>
      </c>
      <c r="S908" s="239" t="s">
        <v>5870</v>
      </c>
      <c r="T908" s="169" t="s">
        <v>132</v>
      </c>
      <c r="U908" s="169" t="s">
        <v>137</v>
      </c>
      <c r="V908" s="239" t="s">
        <v>137</v>
      </c>
      <c r="W908" s="169" t="s">
        <v>132</v>
      </c>
      <c r="X908" s="169" t="s">
        <v>137</v>
      </c>
      <c r="Y908" s="239" t="s">
        <v>137</v>
      </c>
      <c r="Z908" s="169" t="s">
        <v>132</v>
      </c>
      <c r="AA908" s="169" t="s">
        <v>137</v>
      </c>
      <c r="AB908" s="239" t="s">
        <v>137</v>
      </c>
      <c r="AC908" s="245" t="s">
        <v>132</v>
      </c>
      <c r="AD908" s="245" t="s">
        <v>137</v>
      </c>
      <c r="AE908" s="239" t="s">
        <v>137</v>
      </c>
      <c r="AF908" s="563" t="s">
        <v>148</v>
      </c>
      <c r="AG908" s="556" t="s">
        <v>132</v>
      </c>
      <c r="AH908" s="555" t="s">
        <v>16432</v>
      </c>
      <c r="AI908" s="169" t="s">
        <v>132</v>
      </c>
      <c r="AJ908" s="169" t="s">
        <v>137</v>
      </c>
      <c r="AK908" s="239" t="s">
        <v>137</v>
      </c>
      <c r="AL908" s="169" t="s">
        <v>132</v>
      </c>
      <c r="AM908" s="169" t="s">
        <v>137</v>
      </c>
      <c r="AN908" s="239" t="s">
        <v>137</v>
      </c>
      <c r="AO908" s="169" t="s">
        <v>138</v>
      </c>
      <c r="AP908" s="169" t="s">
        <v>137</v>
      </c>
      <c r="AQ908" s="239" t="s">
        <v>137</v>
      </c>
      <c r="AR908" s="169" t="s">
        <v>132</v>
      </c>
      <c r="AS908" s="169" t="s">
        <v>137</v>
      </c>
      <c r="AT908" s="239" t="s">
        <v>137</v>
      </c>
      <c r="AU908" s="169" t="s">
        <v>132</v>
      </c>
      <c r="AV908" s="169" t="s">
        <v>137</v>
      </c>
      <c r="AW908" s="239" t="s">
        <v>137</v>
      </c>
      <c r="AX908" s="169" t="s">
        <v>132</v>
      </c>
      <c r="AY908" s="169" t="s">
        <v>137</v>
      </c>
      <c r="AZ908" s="239" t="s">
        <v>137</v>
      </c>
      <c r="BA908" s="169" t="s">
        <v>132</v>
      </c>
      <c r="BB908" s="169"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9" t="s">
        <v>132</v>
      </c>
      <c r="GP908" s="169"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3" customFormat="1" ht="115" customHeight="1">
      <c r="A950" s="240">
        <v>222038</v>
      </c>
      <c r="B950" s="556" t="s">
        <v>6189</v>
      </c>
      <c r="C950" s="556" t="s">
        <v>6190</v>
      </c>
      <c r="D950" s="556" t="s">
        <v>2253</v>
      </c>
      <c r="E950" s="169" t="s">
        <v>132</v>
      </c>
      <c r="F950" s="169" t="s">
        <v>137</v>
      </c>
      <c r="G950" s="239" t="s">
        <v>137</v>
      </c>
      <c r="H950" s="169" t="s">
        <v>132</v>
      </c>
      <c r="I950" s="169" t="s">
        <v>137</v>
      </c>
      <c r="J950" s="239" t="s">
        <v>137</v>
      </c>
      <c r="K950" s="341" t="s">
        <v>132</v>
      </c>
      <c r="L950" s="169" t="s">
        <v>137</v>
      </c>
      <c r="M950" s="342" t="s">
        <v>137</v>
      </c>
      <c r="N950" s="169" t="s">
        <v>132</v>
      </c>
      <c r="O950" s="169" t="s">
        <v>137</v>
      </c>
      <c r="P950" s="239" t="s">
        <v>137</v>
      </c>
      <c r="Q950" s="169" t="s">
        <v>132</v>
      </c>
      <c r="R950" s="169" t="s">
        <v>137</v>
      </c>
      <c r="S950" s="239" t="s">
        <v>137</v>
      </c>
      <c r="T950" s="169"/>
      <c r="U950" s="169" t="s">
        <v>137</v>
      </c>
      <c r="V950" s="239" t="s">
        <v>137</v>
      </c>
      <c r="W950" s="169" t="s">
        <v>132</v>
      </c>
      <c r="X950" s="169" t="s">
        <v>137</v>
      </c>
      <c r="Y950" s="239" t="s">
        <v>137</v>
      </c>
      <c r="Z950" s="169" t="s">
        <v>132</v>
      </c>
      <c r="AA950" s="169" t="s">
        <v>137</v>
      </c>
      <c r="AB950" s="239" t="s">
        <v>137</v>
      </c>
      <c r="AC950" s="169" t="s">
        <v>132</v>
      </c>
      <c r="AD950" s="245" t="s">
        <v>137</v>
      </c>
      <c r="AE950" s="239" t="s">
        <v>137</v>
      </c>
      <c r="AF950" s="563" t="s">
        <v>132</v>
      </c>
      <c r="AG950" s="556"/>
      <c r="AH950" s="555"/>
      <c r="AI950" s="169" t="s">
        <v>132</v>
      </c>
      <c r="AJ950" s="169" t="s">
        <v>137</v>
      </c>
      <c r="AK950" s="239" t="s">
        <v>137</v>
      </c>
      <c r="AL950" s="169" t="s">
        <v>132</v>
      </c>
      <c r="AM950" s="169" t="s">
        <v>137</v>
      </c>
      <c r="AN950" s="239" t="s">
        <v>137</v>
      </c>
      <c r="AO950" s="169"/>
      <c r="AP950" s="169"/>
      <c r="AQ950" s="239" t="s">
        <v>137</v>
      </c>
      <c r="AR950" s="169" t="s">
        <v>132</v>
      </c>
      <c r="AS950" s="169" t="s">
        <v>137</v>
      </c>
      <c r="AT950" s="239" t="s">
        <v>137</v>
      </c>
      <c r="AU950" s="169" t="s">
        <v>132</v>
      </c>
      <c r="AV950" s="169" t="s">
        <v>137</v>
      </c>
      <c r="AW950" s="239" t="s">
        <v>137</v>
      </c>
      <c r="AX950" s="169" t="s">
        <v>132</v>
      </c>
      <c r="AY950" s="169" t="s">
        <v>137</v>
      </c>
      <c r="AZ950" s="239" t="s">
        <v>137</v>
      </c>
      <c r="BA950" s="169" t="s">
        <v>132</v>
      </c>
      <c r="BB950" s="169"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9"/>
      <c r="GP950" s="169"/>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3"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3"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3"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3"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3"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3"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3"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3"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3"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3"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3"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3"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3"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3"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3"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3"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3"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3"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3"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3"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3"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3"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3"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3"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3"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3"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3"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3"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3"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3"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3"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3"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3"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9" t="s">
        <v>133</v>
      </c>
      <c r="GO983" s="169"/>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3"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3"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1"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3"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3"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3"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3"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3"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3"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3"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3"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3"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3"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3"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3"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3"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3"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3"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3"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3"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3"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3"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3"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3"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3"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3"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3"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2"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3"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3"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3"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3"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3"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3"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3"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3"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3"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3"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3"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3"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3"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3"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3"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3"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3"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3"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3"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3"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3"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3"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3"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3"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1" customFormat="1" ht="115" customHeight="1">
      <c r="A1036" s="336">
        <v>242012</v>
      </c>
      <c r="B1036" s="556" t="s">
        <v>6618</v>
      </c>
      <c r="C1036" s="556" t="s">
        <v>6619</v>
      </c>
      <c r="D1036" s="556" t="s">
        <v>111</v>
      </c>
      <c r="E1036" s="169" t="s">
        <v>132</v>
      </c>
      <c r="F1036" s="169" t="s">
        <v>137</v>
      </c>
      <c r="G1036" s="239" t="s">
        <v>137</v>
      </c>
      <c r="H1036" s="169" t="s">
        <v>138</v>
      </c>
      <c r="I1036" s="169"/>
      <c r="J1036" s="239" t="s">
        <v>137</v>
      </c>
      <c r="K1036" s="341" t="s">
        <v>132</v>
      </c>
      <c r="L1036" s="169" t="s">
        <v>137</v>
      </c>
      <c r="M1036" s="342" t="s">
        <v>137</v>
      </c>
      <c r="N1036" s="169" t="s">
        <v>138</v>
      </c>
      <c r="O1036" s="169" t="s">
        <v>137</v>
      </c>
      <c r="P1036" s="239" t="s">
        <v>137</v>
      </c>
      <c r="Q1036" s="169" t="s">
        <v>132</v>
      </c>
      <c r="R1036" s="169" t="s">
        <v>137</v>
      </c>
      <c r="S1036" s="239" t="s">
        <v>137</v>
      </c>
      <c r="T1036" s="169" t="s">
        <v>132</v>
      </c>
      <c r="U1036" s="169" t="s">
        <v>137</v>
      </c>
      <c r="V1036" s="239" t="s">
        <v>137</v>
      </c>
      <c r="W1036" s="169" t="s">
        <v>132</v>
      </c>
      <c r="X1036" s="169" t="s">
        <v>137</v>
      </c>
      <c r="Y1036" s="239" t="s">
        <v>137</v>
      </c>
      <c r="Z1036" s="169" t="s">
        <v>132</v>
      </c>
      <c r="AA1036" s="169" t="s">
        <v>137</v>
      </c>
      <c r="AB1036" s="239" t="s">
        <v>137</v>
      </c>
      <c r="AC1036" s="245" t="s">
        <v>132</v>
      </c>
      <c r="AD1036" s="245" t="s">
        <v>137</v>
      </c>
      <c r="AE1036" s="239" t="s">
        <v>137</v>
      </c>
      <c r="AF1036" s="563" t="s">
        <v>148</v>
      </c>
      <c r="AG1036" s="556" t="s">
        <v>132</v>
      </c>
      <c r="AH1036" s="555" t="s">
        <v>6620</v>
      </c>
      <c r="AI1036" s="169" t="s">
        <v>132</v>
      </c>
      <c r="AJ1036" s="169" t="s">
        <v>137</v>
      </c>
      <c r="AK1036" s="239" t="s">
        <v>137</v>
      </c>
      <c r="AL1036" s="169" t="s">
        <v>132</v>
      </c>
      <c r="AM1036" s="169" t="s">
        <v>137</v>
      </c>
      <c r="AN1036" s="239" t="s">
        <v>137</v>
      </c>
      <c r="AO1036" s="169" t="s">
        <v>138</v>
      </c>
      <c r="AP1036" s="169" t="s">
        <v>137</v>
      </c>
      <c r="AQ1036" s="239" t="s">
        <v>137</v>
      </c>
      <c r="AR1036" s="169" t="s">
        <v>132</v>
      </c>
      <c r="AS1036" s="169" t="s">
        <v>137</v>
      </c>
      <c r="AT1036" s="239" t="s">
        <v>137</v>
      </c>
      <c r="AU1036" s="169" t="s">
        <v>132</v>
      </c>
      <c r="AV1036" s="169" t="s">
        <v>137</v>
      </c>
      <c r="AW1036" s="239" t="s">
        <v>137</v>
      </c>
      <c r="AX1036" s="169" t="s">
        <v>132</v>
      </c>
      <c r="AY1036" s="169" t="s">
        <v>137</v>
      </c>
      <c r="AZ1036" s="239" t="s">
        <v>137</v>
      </c>
      <c r="BA1036" s="169" t="s">
        <v>138</v>
      </c>
      <c r="BB1036" s="169"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9"/>
      <c r="GP1036" s="169"/>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69"/>
      <c r="HF1036" s="560" t="s">
        <v>132</v>
      </c>
      <c r="HG1036" s="169"/>
      <c r="HH1036" s="169"/>
      <c r="HI1036" s="557" t="s">
        <v>132</v>
      </c>
      <c r="HJ1036" s="169" t="s">
        <v>148</v>
      </c>
      <c r="HK1036" s="169"/>
    </row>
    <row r="1037" spans="1:219" s="161"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2"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1"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1"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1"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1"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1"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1"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1"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1"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1"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1"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1"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1"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1"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1"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1"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1"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1"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1"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1"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3"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3"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3"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3"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3"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3"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3"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3" customFormat="1" ht="115" customHeight="1">
      <c r="A1065" s="336" t="s">
        <v>14988</v>
      </c>
      <c r="B1065" s="556" t="s">
        <v>6805</v>
      </c>
      <c r="C1065" s="556" t="s">
        <v>6806</v>
      </c>
      <c r="D1065" s="556" t="s">
        <v>95</v>
      </c>
      <c r="E1065" s="169" t="s">
        <v>132</v>
      </c>
      <c r="F1065" s="169" t="s">
        <v>137</v>
      </c>
      <c r="G1065" s="239" t="s">
        <v>137</v>
      </c>
      <c r="H1065" s="169" t="s">
        <v>132</v>
      </c>
      <c r="I1065" s="169" t="s">
        <v>137</v>
      </c>
      <c r="J1065" s="239" t="s">
        <v>137</v>
      </c>
      <c r="K1065" s="341"/>
      <c r="L1065" s="169" t="s">
        <v>132</v>
      </c>
      <c r="M1065" s="342" t="s">
        <v>17014</v>
      </c>
      <c r="N1065" s="169" t="s">
        <v>132</v>
      </c>
      <c r="O1065" s="169" t="s">
        <v>137</v>
      </c>
      <c r="P1065" s="239" t="s">
        <v>137</v>
      </c>
      <c r="Q1065" s="169" t="s">
        <v>132</v>
      </c>
      <c r="R1065" s="169" t="s">
        <v>137</v>
      </c>
      <c r="S1065" s="239" t="s">
        <v>137</v>
      </c>
      <c r="T1065" s="169" t="s">
        <v>132</v>
      </c>
      <c r="U1065" s="169" t="s">
        <v>137</v>
      </c>
      <c r="V1065" s="239"/>
      <c r="W1065" s="169" t="s">
        <v>132</v>
      </c>
      <c r="X1065" s="169" t="s">
        <v>137</v>
      </c>
      <c r="Y1065" s="239" t="s">
        <v>137</v>
      </c>
      <c r="Z1065" s="169" t="s">
        <v>132</v>
      </c>
      <c r="AA1065" s="169" t="s">
        <v>137</v>
      </c>
      <c r="AB1065" s="239" t="s">
        <v>137</v>
      </c>
      <c r="AC1065" s="245" t="s">
        <v>132</v>
      </c>
      <c r="AD1065" s="245" t="s">
        <v>137</v>
      </c>
      <c r="AE1065" s="239" t="s">
        <v>137</v>
      </c>
      <c r="AF1065" s="563" t="s">
        <v>132</v>
      </c>
      <c r="AG1065" s="556"/>
      <c r="AH1065" s="555"/>
      <c r="AI1065" s="169" t="s">
        <v>132</v>
      </c>
      <c r="AJ1065" s="169" t="s">
        <v>137</v>
      </c>
      <c r="AK1065" s="239" t="s">
        <v>137</v>
      </c>
      <c r="AL1065" s="169" t="s">
        <v>132</v>
      </c>
      <c r="AM1065" s="169" t="s">
        <v>137</v>
      </c>
      <c r="AN1065" s="239" t="s">
        <v>137</v>
      </c>
      <c r="AO1065" s="169" t="s">
        <v>132</v>
      </c>
      <c r="AP1065" s="169" t="s">
        <v>137</v>
      </c>
      <c r="AQ1065" s="239" t="s">
        <v>137</v>
      </c>
      <c r="AR1065" s="169" t="s">
        <v>132</v>
      </c>
      <c r="AS1065" s="169" t="s">
        <v>137</v>
      </c>
      <c r="AT1065" s="239" t="s">
        <v>137</v>
      </c>
      <c r="AU1065" s="169" t="s">
        <v>132</v>
      </c>
      <c r="AV1065" s="169" t="s">
        <v>137</v>
      </c>
      <c r="AW1065" s="239" t="s">
        <v>137</v>
      </c>
      <c r="AX1065" s="169" t="s">
        <v>132</v>
      </c>
      <c r="AY1065" s="169" t="s">
        <v>137</v>
      </c>
      <c r="AZ1065" s="239" t="s">
        <v>137</v>
      </c>
      <c r="BA1065" s="169" t="s">
        <v>132</v>
      </c>
      <c r="BB1065" s="169"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9"/>
      <c r="GP1065" s="169"/>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3"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3"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3"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3"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3"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3"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3"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3"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3"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3"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3"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3"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3"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3"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3"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3"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3"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3"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69" t="s">
        <v>132</v>
      </c>
      <c r="F1084" s="169" t="s">
        <v>137</v>
      </c>
      <c r="G1084" s="239" t="s">
        <v>137</v>
      </c>
      <c r="H1084" s="169" t="s">
        <v>132</v>
      </c>
      <c r="I1084" s="169" t="s">
        <v>137</v>
      </c>
      <c r="J1084" s="239" t="s">
        <v>137</v>
      </c>
      <c r="K1084" s="341" t="s">
        <v>138</v>
      </c>
      <c r="L1084" s="169" t="s">
        <v>137</v>
      </c>
      <c r="M1084" s="342" t="s">
        <v>137</v>
      </c>
      <c r="N1084" s="169" t="s">
        <v>132</v>
      </c>
      <c r="O1084" s="169" t="s">
        <v>137</v>
      </c>
      <c r="P1084" s="239" t="s">
        <v>137</v>
      </c>
      <c r="Q1084" s="545" t="s">
        <v>132</v>
      </c>
      <c r="R1084" s="169" t="s">
        <v>137</v>
      </c>
      <c r="S1084" s="239" t="s">
        <v>137</v>
      </c>
      <c r="T1084" s="169" t="s">
        <v>132</v>
      </c>
      <c r="U1084" s="169" t="s">
        <v>137</v>
      </c>
      <c r="V1084" s="239"/>
      <c r="W1084" s="169" t="s">
        <v>132</v>
      </c>
      <c r="X1084" s="169" t="s">
        <v>137</v>
      </c>
      <c r="Y1084" s="239" t="s">
        <v>137</v>
      </c>
      <c r="Z1084" s="169" t="s">
        <v>132</v>
      </c>
      <c r="AA1084" s="169" t="s">
        <v>137</v>
      </c>
      <c r="AB1084" s="239" t="s">
        <v>137</v>
      </c>
      <c r="AC1084" s="245" t="s">
        <v>132</v>
      </c>
      <c r="AD1084" s="245" t="s">
        <v>137</v>
      </c>
      <c r="AE1084" s="239" t="s">
        <v>137</v>
      </c>
      <c r="AF1084" s="563" t="s">
        <v>148</v>
      </c>
      <c r="AG1084" s="556"/>
      <c r="AH1084" s="555"/>
      <c r="AI1084" s="169" t="s">
        <v>132</v>
      </c>
      <c r="AJ1084" s="169" t="s">
        <v>137</v>
      </c>
      <c r="AK1084" s="239" t="s">
        <v>137</v>
      </c>
      <c r="AL1084" s="169" t="s">
        <v>132</v>
      </c>
      <c r="AM1084" s="169" t="s">
        <v>137</v>
      </c>
      <c r="AN1084" s="239" t="s">
        <v>137</v>
      </c>
      <c r="AO1084" s="169" t="s">
        <v>138</v>
      </c>
      <c r="AP1084" s="169" t="s">
        <v>137</v>
      </c>
      <c r="AQ1084" s="239" t="s">
        <v>137</v>
      </c>
      <c r="AR1084" s="169" t="s">
        <v>132</v>
      </c>
      <c r="AS1084" s="169" t="s">
        <v>137</v>
      </c>
      <c r="AT1084" s="239" t="s">
        <v>137</v>
      </c>
      <c r="AU1084" s="169" t="s">
        <v>132</v>
      </c>
      <c r="AV1084" s="169" t="s">
        <v>137</v>
      </c>
      <c r="AW1084" s="239" t="s">
        <v>137</v>
      </c>
      <c r="AX1084" s="169" t="s">
        <v>132</v>
      </c>
      <c r="AY1084" s="169" t="s">
        <v>137</v>
      </c>
      <c r="AZ1084" s="239" t="s">
        <v>137</v>
      </c>
      <c r="BA1084" s="169" t="s">
        <v>132</v>
      </c>
      <c r="BB1084" s="169"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9"/>
      <c r="GP1084" s="169"/>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3"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3"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3"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3"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3"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3"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1"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1"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3"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1"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1"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5"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3"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3"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3"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3"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3"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3"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3"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3"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3"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3"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3"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3"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3"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3"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3"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3"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3"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3"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3"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3"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3"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3"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3"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3"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3"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3"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3"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3"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3"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69" t="s">
        <v>132</v>
      </c>
      <c r="F1150" s="169"/>
      <c r="G1150" s="239"/>
      <c r="H1150" s="169" t="s">
        <v>132</v>
      </c>
      <c r="I1150" s="169"/>
      <c r="J1150" s="239"/>
      <c r="K1150" s="341" t="s">
        <v>132</v>
      </c>
      <c r="L1150" s="169"/>
      <c r="M1150" s="342"/>
      <c r="N1150" s="169" t="s">
        <v>132</v>
      </c>
      <c r="O1150" s="169"/>
      <c r="P1150" s="239"/>
      <c r="Q1150" s="169"/>
      <c r="R1150" s="169" t="s">
        <v>132</v>
      </c>
      <c r="S1150" s="239" t="s">
        <v>7304</v>
      </c>
      <c r="T1150" s="169" t="s">
        <v>132</v>
      </c>
      <c r="U1150" s="169"/>
      <c r="V1150" s="239"/>
      <c r="W1150" s="169" t="s">
        <v>132</v>
      </c>
      <c r="X1150" s="169"/>
      <c r="Y1150" s="239"/>
      <c r="Z1150" s="169" t="s">
        <v>132</v>
      </c>
      <c r="AA1150" s="169"/>
      <c r="AB1150" s="239"/>
      <c r="AC1150" s="245" t="s">
        <v>132</v>
      </c>
      <c r="AD1150" s="245"/>
      <c r="AE1150" s="239"/>
      <c r="AF1150" s="563" t="s">
        <v>148</v>
      </c>
      <c r="AG1150" s="556" t="s">
        <v>132</v>
      </c>
      <c r="AH1150" s="555" t="s">
        <v>15089</v>
      </c>
      <c r="AI1150" s="169" t="s">
        <v>132</v>
      </c>
      <c r="AJ1150" s="169"/>
      <c r="AK1150" s="239"/>
      <c r="AL1150" s="169" t="s">
        <v>132</v>
      </c>
      <c r="AM1150" s="169"/>
      <c r="AN1150" s="239"/>
      <c r="AO1150" s="169" t="s">
        <v>132</v>
      </c>
      <c r="AP1150" s="169"/>
      <c r="AQ1150" s="239"/>
      <c r="AR1150" s="169"/>
      <c r="AS1150" s="169"/>
      <c r="AT1150" s="239"/>
      <c r="AU1150" s="169" t="s">
        <v>132</v>
      </c>
      <c r="AV1150" s="169"/>
      <c r="AW1150" s="239"/>
      <c r="AX1150" s="169" t="s">
        <v>132</v>
      </c>
      <c r="AY1150" s="169"/>
      <c r="AZ1150" s="239"/>
      <c r="BA1150" s="169" t="s">
        <v>132</v>
      </c>
      <c r="BB1150" s="169"/>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9"/>
      <c r="GP1150" s="169"/>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1"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1"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2"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1"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1"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1"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1"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1"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1"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1"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1"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1"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1"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1"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1"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1"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1"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1"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1"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1"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1"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1"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3"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3"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3"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3"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3"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3"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3"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3"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3"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3"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3"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3"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3"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3"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3"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3"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3"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3"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3"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3"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3"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3"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3"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3"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3"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3"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3"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3"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3"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3"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3"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3"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3"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3"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3"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3"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3"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3"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3"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3"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3"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3"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3"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3"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3"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3"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3"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69" t="s">
        <v>132</v>
      </c>
      <c r="F1259" s="169" t="s">
        <v>137</v>
      </c>
      <c r="G1259" s="239" t="s">
        <v>137</v>
      </c>
      <c r="H1259" s="169" t="s">
        <v>132</v>
      </c>
      <c r="I1259" s="169" t="s">
        <v>137</v>
      </c>
      <c r="J1259" s="239"/>
      <c r="K1259" s="341" t="s">
        <v>132</v>
      </c>
      <c r="L1259" s="169"/>
      <c r="M1259" s="342"/>
      <c r="N1259" s="169" t="s">
        <v>132</v>
      </c>
      <c r="O1259" s="169" t="s">
        <v>137</v>
      </c>
      <c r="P1259" s="239" t="s">
        <v>137</v>
      </c>
      <c r="Q1259" s="169" t="s">
        <v>132</v>
      </c>
      <c r="R1259" s="169" t="s">
        <v>137</v>
      </c>
      <c r="S1259" s="239"/>
      <c r="T1259" s="169" t="s">
        <v>132</v>
      </c>
      <c r="U1259" s="169" t="s">
        <v>137</v>
      </c>
      <c r="V1259" s="239" t="s">
        <v>137</v>
      </c>
      <c r="W1259" s="169" t="s">
        <v>132</v>
      </c>
      <c r="X1259" s="169" t="s">
        <v>137</v>
      </c>
      <c r="Y1259" s="239" t="s">
        <v>137</v>
      </c>
      <c r="Z1259" s="169" t="s">
        <v>132</v>
      </c>
      <c r="AA1259" s="169" t="s">
        <v>137</v>
      </c>
      <c r="AB1259" s="239" t="s">
        <v>137</v>
      </c>
      <c r="AC1259" s="245" t="s">
        <v>132</v>
      </c>
      <c r="AD1259" s="245" t="s">
        <v>137</v>
      </c>
      <c r="AE1259" s="239" t="s">
        <v>137</v>
      </c>
      <c r="AF1259" s="563" t="s">
        <v>148</v>
      </c>
      <c r="AG1259" s="556"/>
      <c r="AH1259" s="555"/>
      <c r="AI1259" s="169" t="s">
        <v>132</v>
      </c>
      <c r="AJ1259" s="169" t="s">
        <v>137</v>
      </c>
      <c r="AK1259" s="239" t="s">
        <v>137</v>
      </c>
      <c r="AL1259" s="169" t="s">
        <v>132</v>
      </c>
      <c r="AM1259" s="169" t="s">
        <v>137</v>
      </c>
      <c r="AN1259" s="239" t="s">
        <v>137</v>
      </c>
      <c r="AO1259" s="169" t="s">
        <v>132</v>
      </c>
      <c r="AP1259" s="169" t="s">
        <v>137</v>
      </c>
      <c r="AQ1259" s="239" t="s">
        <v>137</v>
      </c>
      <c r="AR1259" s="169"/>
      <c r="AS1259" s="169" t="s">
        <v>137</v>
      </c>
      <c r="AT1259" s="239" t="s">
        <v>137</v>
      </c>
      <c r="AU1259" s="169" t="s">
        <v>132</v>
      </c>
      <c r="AV1259" s="169" t="s">
        <v>137</v>
      </c>
      <c r="AW1259" s="239" t="s">
        <v>137</v>
      </c>
      <c r="AX1259" s="169" t="s">
        <v>132</v>
      </c>
      <c r="AY1259" s="169" t="s">
        <v>137</v>
      </c>
      <c r="AZ1259" s="239" t="s">
        <v>137</v>
      </c>
      <c r="BA1259" s="169" t="s">
        <v>132</v>
      </c>
      <c r="BB1259" s="169"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9" t="s">
        <v>132</v>
      </c>
      <c r="GP1259" s="169"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3" customFormat="1" ht="115" customHeight="1">
      <c r="A1278" s="336" t="s">
        <v>17802</v>
      </c>
      <c r="B1278" s="556" t="s">
        <v>8184</v>
      </c>
      <c r="C1278" s="556" t="s">
        <v>8185</v>
      </c>
      <c r="D1278" s="556" t="s">
        <v>95</v>
      </c>
      <c r="E1278" s="169" t="s">
        <v>132</v>
      </c>
      <c r="F1278" s="169" t="s">
        <v>137</v>
      </c>
      <c r="G1278" s="239" t="s">
        <v>137</v>
      </c>
      <c r="H1278" s="169" t="s">
        <v>132</v>
      </c>
      <c r="I1278" s="169" t="s">
        <v>137</v>
      </c>
      <c r="J1278" s="239" t="s">
        <v>137</v>
      </c>
      <c r="K1278" s="341" t="s">
        <v>132</v>
      </c>
      <c r="L1278" s="169" t="s">
        <v>137</v>
      </c>
      <c r="M1278" s="342" t="s">
        <v>137</v>
      </c>
      <c r="N1278" s="169" t="s">
        <v>132</v>
      </c>
      <c r="O1278" s="169" t="s">
        <v>137</v>
      </c>
      <c r="P1278" s="239" t="s">
        <v>137</v>
      </c>
      <c r="Q1278" s="169" t="s">
        <v>132</v>
      </c>
      <c r="R1278" s="169" t="s">
        <v>137</v>
      </c>
      <c r="S1278" s="239" t="s">
        <v>137</v>
      </c>
      <c r="T1278" s="169" t="s">
        <v>132</v>
      </c>
      <c r="U1278" s="169" t="s">
        <v>137</v>
      </c>
      <c r="V1278" s="239" t="s">
        <v>137</v>
      </c>
      <c r="W1278" s="169" t="s">
        <v>132</v>
      </c>
      <c r="X1278" s="169" t="s">
        <v>137</v>
      </c>
      <c r="Y1278" s="239" t="s">
        <v>137</v>
      </c>
      <c r="Z1278" s="169" t="s">
        <v>132</v>
      </c>
      <c r="AA1278" s="169" t="s">
        <v>137</v>
      </c>
      <c r="AB1278" s="239" t="s">
        <v>137</v>
      </c>
      <c r="AC1278" s="245" t="s">
        <v>132</v>
      </c>
      <c r="AD1278" s="245" t="s">
        <v>137</v>
      </c>
      <c r="AE1278" s="239" t="s">
        <v>137</v>
      </c>
      <c r="AF1278" s="563" t="s">
        <v>148</v>
      </c>
      <c r="AG1278" s="556"/>
      <c r="AH1278" s="555"/>
      <c r="AI1278" s="169" t="s">
        <v>132</v>
      </c>
      <c r="AJ1278" s="169" t="s">
        <v>137</v>
      </c>
      <c r="AK1278" s="239" t="s">
        <v>137</v>
      </c>
      <c r="AL1278" s="169" t="s">
        <v>132</v>
      </c>
      <c r="AM1278" s="169" t="s">
        <v>137</v>
      </c>
      <c r="AN1278" s="239" t="s">
        <v>137</v>
      </c>
      <c r="AO1278" s="169" t="s">
        <v>138</v>
      </c>
      <c r="AP1278" s="169" t="s">
        <v>137</v>
      </c>
      <c r="AQ1278" s="239" t="s">
        <v>137</v>
      </c>
      <c r="AR1278" s="169" t="s">
        <v>132</v>
      </c>
      <c r="AS1278" s="169" t="s">
        <v>137</v>
      </c>
      <c r="AT1278" s="239" t="s">
        <v>137</v>
      </c>
      <c r="AU1278" s="169" t="s">
        <v>132</v>
      </c>
      <c r="AV1278" s="169" t="s">
        <v>137</v>
      </c>
      <c r="AW1278" s="239" t="s">
        <v>137</v>
      </c>
      <c r="AX1278" s="169" t="s">
        <v>132</v>
      </c>
      <c r="AY1278" s="169" t="s">
        <v>137</v>
      </c>
      <c r="AZ1278" s="239" t="s">
        <v>137</v>
      </c>
      <c r="BA1278" s="169" t="s">
        <v>132</v>
      </c>
      <c r="BB1278" s="169"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9"/>
      <c r="GP1278" s="169"/>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3"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3"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3"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3"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3"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3"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3"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3"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3"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3"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3"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3"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3"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3"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3"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3"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3"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3"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3"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3"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3"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3"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3"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3"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3"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3"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3"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3"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3"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3"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3"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3"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3"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3"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3"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3"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3"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3"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3"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3"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3"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3"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3"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3"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1" customFormat="1" ht="115" customHeight="1">
      <c r="A1364" s="336" t="s">
        <v>18861</v>
      </c>
      <c r="B1364" s="556" t="s">
        <v>8784</v>
      </c>
      <c r="C1364" s="556" t="s">
        <v>18862</v>
      </c>
      <c r="D1364" s="563" t="s">
        <v>111</v>
      </c>
      <c r="E1364" s="169" t="s">
        <v>132</v>
      </c>
      <c r="F1364" s="169" t="s">
        <v>137</v>
      </c>
      <c r="G1364" s="239" t="s">
        <v>137</v>
      </c>
      <c r="H1364" s="169" t="s">
        <v>132</v>
      </c>
      <c r="I1364" s="169" t="s">
        <v>137</v>
      </c>
      <c r="J1364" s="239" t="s">
        <v>137</v>
      </c>
      <c r="K1364" s="341" t="s">
        <v>132</v>
      </c>
      <c r="L1364" s="169" t="s">
        <v>137</v>
      </c>
      <c r="M1364" s="342" t="s">
        <v>137</v>
      </c>
      <c r="N1364" s="169" t="s">
        <v>132</v>
      </c>
      <c r="O1364" s="169" t="s">
        <v>137</v>
      </c>
      <c r="P1364" s="239" t="s">
        <v>137</v>
      </c>
      <c r="Q1364" s="169" t="s">
        <v>138</v>
      </c>
      <c r="R1364" s="169" t="s">
        <v>132</v>
      </c>
      <c r="S1364" s="239" t="s">
        <v>8785</v>
      </c>
      <c r="T1364" s="169" t="s">
        <v>132</v>
      </c>
      <c r="U1364" s="169" t="s">
        <v>137</v>
      </c>
      <c r="V1364" s="239" t="s">
        <v>137</v>
      </c>
      <c r="W1364" s="169" t="s">
        <v>132</v>
      </c>
      <c r="X1364" s="169" t="s">
        <v>137</v>
      </c>
      <c r="Y1364" s="239" t="s">
        <v>137</v>
      </c>
      <c r="Z1364" s="169" t="s">
        <v>132</v>
      </c>
      <c r="AA1364" s="169"/>
      <c r="AB1364" s="239"/>
      <c r="AC1364" s="169" t="s">
        <v>138</v>
      </c>
      <c r="AD1364" s="169" t="s">
        <v>137</v>
      </c>
      <c r="AE1364" s="239" t="s">
        <v>137</v>
      </c>
      <c r="AF1364" s="563" t="s">
        <v>148</v>
      </c>
      <c r="AG1364" s="556" t="s">
        <v>132</v>
      </c>
      <c r="AH1364" s="555" t="s">
        <v>8786</v>
      </c>
      <c r="AI1364" s="169" t="s">
        <v>132</v>
      </c>
      <c r="AJ1364" s="169" t="s">
        <v>137</v>
      </c>
      <c r="AK1364" s="239" t="s">
        <v>137</v>
      </c>
      <c r="AL1364" s="169" t="s">
        <v>132</v>
      </c>
      <c r="AM1364" s="169" t="s">
        <v>137</v>
      </c>
      <c r="AN1364" s="239" t="s">
        <v>137</v>
      </c>
      <c r="AO1364" s="169" t="s">
        <v>132</v>
      </c>
      <c r="AP1364" s="169" t="s">
        <v>137</v>
      </c>
      <c r="AQ1364" s="239" t="s">
        <v>137</v>
      </c>
      <c r="AR1364" s="169" t="s">
        <v>132</v>
      </c>
      <c r="AS1364" s="169" t="s">
        <v>137</v>
      </c>
      <c r="AT1364" s="239" t="s">
        <v>137</v>
      </c>
      <c r="AU1364" s="169" t="s">
        <v>132</v>
      </c>
      <c r="AV1364" s="169" t="s">
        <v>137</v>
      </c>
      <c r="AW1364" s="239" t="s">
        <v>137</v>
      </c>
      <c r="AX1364" s="169" t="s">
        <v>132</v>
      </c>
      <c r="AY1364" s="169" t="s">
        <v>137</v>
      </c>
      <c r="AZ1364" s="239" t="s">
        <v>137</v>
      </c>
      <c r="BA1364" s="169" t="s">
        <v>132</v>
      </c>
      <c r="BB1364" s="169"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9"/>
      <c r="GP1364" s="169"/>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1"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2"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1"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1"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1"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1"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1"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1"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1"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1"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1"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1"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1"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1"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1"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1"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1"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1"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1"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1"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3"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3"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3"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3" customFormat="1" ht="115" customHeight="1">
      <c r="A1388" s="336" t="s">
        <v>11698</v>
      </c>
      <c r="B1388" s="556" t="s">
        <v>8934</v>
      </c>
      <c r="C1388" s="556" t="s">
        <v>8935</v>
      </c>
      <c r="D1388" s="556" t="s">
        <v>95</v>
      </c>
      <c r="E1388" s="169" t="s">
        <v>132</v>
      </c>
      <c r="F1388" s="169" t="s">
        <v>137</v>
      </c>
      <c r="G1388" s="239" t="s">
        <v>137</v>
      </c>
      <c r="H1388" s="169" t="s">
        <v>138</v>
      </c>
      <c r="I1388" s="169" t="s">
        <v>132</v>
      </c>
      <c r="J1388" s="239" t="s">
        <v>12438</v>
      </c>
      <c r="K1388" s="341" t="s">
        <v>138</v>
      </c>
      <c r="L1388" s="169" t="s">
        <v>137</v>
      </c>
      <c r="M1388" s="342" t="s">
        <v>137</v>
      </c>
      <c r="N1388" s="169" t="s">
        <v>138</v>
      </c>
      <c r="O1388" s="169" t="s">
        <v>137</v>
      </c>
      <c r="P1388" s="239" t="s">
        <v>137</v>
      </c>
      <c r="Q1388" s="169" t="s">
        <v>132</v>
      </c>
      <c r="R1388" s="169" t="s">
        <v>137</v>
      </c>
      <c r="S1388" s="239" t="s">
        <v>137</v>
      </c>
      <c r="T1388" s="169" t="s">
        <v>132</v>
      </c>
      <c r="U1388" s="169" t="s">
        <v>137</v>
      </c>
      <c r="V1388" s="239"/>
      <c r="W1388" s="169" t="s">
        <v>132</v>
      </c>
      <c r="X1388" s="169" t="s">
        <v>137</v>
      </c>
      <c r="Y1388" s="239" t="s">
        <v>137</v>
      </c>
      <c r="Z1388" s="169" t="s">
        <v>132</v>
      </c>
      <c r="AA1388" s="169"/>
      <c r="AB1388" s="239"/>
      <c r="AC1388" s="245" t="s">
        <v>132</v>
      </c>
      <c r="AD1388" s="245" t="s">
        <v>137</v>
      </c>
      <c r="AE1388" s="239" t="s">
        <v>137</v>
      </c>
      <c r="AF1388" s="563" t="s">
        <v>148</v>
      </c>
      <c r="AG1388" s="556" t="s">
        <v>132</v>
      </c>
      <c r="AH1388" s="555" t="s">
        <v>8936</v>
      </c>
      <c r="AI1388" s="169" t="s">
        <v>138</v>
      </c>
      <c r="AJ1388" s="169" t="s">
        <v>137</v>
      </c>
      <c r="AK1388" s="239" t="s">
        <v>137</v>
      </c>
      <c r="AL1388" s="169" t="s">
        <v>132</v>
      </c>
      <c r="AM1388" s="169"/>
      <c r="AN1388" s="239"/>
      <c r="AO1388" s="169" t="s">
        <v>138</v>
      </c>
      <c r="AP1388" s="169" t="s">
        <v>137</v>
      </c>
      <c r="AQ1388" s="239" t="s">
        <v>137</v>
      </c>
      <c r="AR1388" s="169" t="s">
        <v>132</v>
      </c>
      <c r="AS1388" s="169" t="s">
        <v>137</v>
      </c>
      <c r="AT1388" s="239" t="s">
        <v>137</v>
      </c>
      <c r="AU1388" s="169" t="s">
        <v>132</v>
      </c>
      <c r="AV1388" s="169" t="s">
        <v>137</v>
      </c>
      <c r="AW1388" s="239" t="s">
        <v>137</v>
      </c>
      <c r="AX1388" s="169" t="s">
        <v>132</v>
      </c>
      <c r="AY1388" s="169" t="s">
        <v>137</v>
      </c>
      <c r="AZ1388" s="239" t="s">
        <v>137</v>
      </c>
      <c r="BA1388" s="169"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9"/>
      <c r="GP1388" s="169"/>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3"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3"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3"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3"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3"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3"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3"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3"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3"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3"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3"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3"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3"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3"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3"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3"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3"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3"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3"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3"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3"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3"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3"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3"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3"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3"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3"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3"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3"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3"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3"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3"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3"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3"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3"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3"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1"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1"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2"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1"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1"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1"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1"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1"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1"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1"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1"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1"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1"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1"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1"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1"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1"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1"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1"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1"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1"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1"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1"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3"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3"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3"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3"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3"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3"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3"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3"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3"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3"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3"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1"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1"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2"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1"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1"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1"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1"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1"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1"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1"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1"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1"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1"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1"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1"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1"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1"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1"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1"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1"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1"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1"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3"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3"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3"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3"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3"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3"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3"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3"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3"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3"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3"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3"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3"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3"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3"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3"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3"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3"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3"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3"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3"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3"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3"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3"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3"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3"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3"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3"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3"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3"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3"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3"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3"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3"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3"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3"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1"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1"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2"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1"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1"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1"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1"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1"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1"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1"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1"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1"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9">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1"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1"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1"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1"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1"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1"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6"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1"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6"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6"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6"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6"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6"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6"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6"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6"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6"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6"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6"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6"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6"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6"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6"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6"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6"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6"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6"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6"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6"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6"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6"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6"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1"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1"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2"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1"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1"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1"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1"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1"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1"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1"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1"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1"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1"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1"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1"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1"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1"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1"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1"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1"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1"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1"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3"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3"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3"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3"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3"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3"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3"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3"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3"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3"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3"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3"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3"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3"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3"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3"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3"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3"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3"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3"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3"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69" t="s">
        <v>132</v>
      </c>
      <c r="F1689" s="169" t="s">
        <v>137</v>
      </c>
      <c r="G1689" s="239"/>
      <c r="H1689" s="169" t="s">
        <v>132</v>
      </c>
      <c r="I1689" s="169" t="s">
        <v>137</v>
      </c>
      <c r="J1689" s="239" t="s">
        <v>137</v>
      </c>
      <c r="K1689" s="341" t="s">
        <v>138</v>
      </c>
      <c r="L1689" s="169" t="s">
        <v>137</v>
      </c>
      <c r="M1689" s="342" t="s">
        <v>137</v>
      </c>
      <c r="N1689" s="169" t="s">
        <v>138</v>
      </c>
      <c r="O1689" s="169" t="s">
        <v>137</v>
      </c>
      <c r="P1689" s="239" t="s">
        <v>137</v>
      </c>
      <c r="Q1689" s="169" t="s">
        <v>132</v>
      </c>
      <c r="R1689" s="169" t="s">
        <v>137</v>
      </c>
      <c r="S1689" s="239" t="s">
        <v>137</v>
      </c>
      <c r="T1689" s="169" t="s">
        <v>132</v>
      </c>
      <c r="U1689" s="169" t="s">
        <v>137</v>
      </c>
      <c r="V1689" s="239" t="s">
        <v>137</v>
      </c>
      <c r="W1689" s="169" t="s">
        <v>132</v>
      </c>
      <c r="X1689" s="169" t="s">
        <v>137</v>
      </c>
      <c r="Y1689" s="239" t="s">
        <v>137</v>
      </c>
      <c r="Z1689" s="169" t="s">
        <v>132</v>
      </c>
      <c r="AA1689" s="169" t="s">
        <v>137</v>
      </c>
      <c r="AB1689" s="239" t="s">
        <v>137</v>
      </c>
      <c r="AC1689" s="245" t="s">
        <v>132</v>
      </c>
      <c r="AD1689" s="245" t="s">
        <v>137</v>
      </c>
      <c r="AE1689" s="239" t="s">
        <v>137</v>
      </c>
      <c r="AF1689" s="563" t="s">
        <v>148</v>
      </c>
      <c r="AG1689" s="556" t="s">
        <v>132</v>
      </c>
      <c r="AH1689" s="555" t="s">
        <v>15673</v>
      </c>
      <c r="AI1689" s="169" t="s">
        <v>132</v>
      </c>
      <c r="AJ1689" s="169" t="s">
        <v>137</v>
      </c>
      <c r="AK1689" s="239" t="s">
        <v>137</v>
      </c>
      <c r="AL1689" s="169" t="s">
        <v>132</v>
      </c>
      <c r="AM1689" s="169" t="s">
        <v>137</v>
      </c>
      <c r="AN1689" s="239" t="s">
        <v>137</v>
      </c>
      <c r="AO1689" s="169" t="s">
        <v>132</v>
      </c>
      <c r="AP1689" s="169" t="s">
        <v>137</v>
      </c>
      <c r="AQ1689" s="239" t="s">
        <v>137</v>
      </c>
      <c r="AR1689" s="169" t="s">
        <v>132</v>
      </c>
      <c r="AS1689" s="169" t="s">
        <v>137</v>
      </c>
      <c r="AT1689" s="239" t="s">
        <v>137</v>
      </c>
      <c r="AU1689" s="169" t="s">
        <v>132</v>
      </c>
      <c r="AV1689" s="169" t="s">
        <v>137</v>
      </c>
      <c r="AW1689" s="239" t="s">
        <v>137</v>
      </c>
      <c r="AX1689" s="169" t="s">
        <v>132</v>
      </c>
      <c r="AY1689" s="169" t="s">
        <v>137</v>
      </c>
      <c r="AZ1689" s="239" t="s">
        <v>137</v>
      </c>
      <c r="BA1689" s="169" t="s">
        <v>132</v>
      </c>
      <c r="BB1689" s="169"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9"/>
      <c r="GP1689" s="169"/>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9" t="s">
        <v>132</v>
      </c>
      <c r="AZ1715" s="550" t="s">
        <v>16726</v>
      </c>
      <c r="BA1715" s="169"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6"/>
      <c r="AX8" s="86"/>
      <c r="AY8" s="86"/>
      <c r="AZ8" s="86"/>
      <c r="BA8" s="86"/>
      <c r="BB8" s="86"/>
      <c r="BC8" s="86"/>
      <c r="BD8" s="86"/>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6"/>
      <c r="AX9" s="86"/>
      <c r="AY9" s="86"/>
      <c r="AZ9" s="86"/>
      <c r="BA9" s="86"/>
      <c r="BB9" s="86"/>
      <c r="BC9" s="86"/>
      <c r="BD9" s="86"/>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6"/>
      <c r="AS10" s="86"/>
      <c r="AT10" s="86"/>
      <c r="AW10" s="86"/>
      <c r="AX10" s="86"/>
      <c r="AY10" s="86"/>
      <c r="AZ10" s="86"/>
      <c r="BA10" s="86"/>
      <c r="BB10" s="86"/>
      <c r="BC10" s="86"/>
      <c r="BD10" s="86"/>
    </row>
    <row r="11" spans="3:143" ht="12.65" customHeight="1">
      <c r="D11" s="938" t="s">
        <v>16109</v>
      </c>
      <c r="E11" s="939"/>
      <c r="F11" s="939"/>
      <c r="G11" s="939"/>
      <c r="H11" s="939"/>
      <c r="I11" s="939"/>
      <c r="J11" s="939"/>
      <c r="K11" s="939"/>
      <c r="L11" s="939"/>
      <c r="M11" s="939"/>
      <c r="N11" s="940" t="str">
        <f>VLOOKUP($D$11,調査票①!$A$2:$HK$1735,2,FALSE)&amp;""</f>
        <v>熊本県</v>
      </c>
      <c r="O11" s="940"/>
      <c r="P11" s="940"/>
      <c r="Q11" s="940"/>
      <c r="R11" s="940"/>
      <c r="S11" s="940"/>
      <c r="T11" s="940"/>
      <c r="U11" s="940"/>
      <c r="V11" s="940"/>
      <c r="W11" s="940"/>
      <c r="X11" s="940"/>
      <c r="Y11" s="940"/>
      <c r="Z11" s="940"/>
      <c r="AA11" s="940" t="str">
        <f>VLOOKUP($D$11,調査票①!$A$3:$HK$1735,3,FALSE)&amp;""</f>
        <v>八代市</v>
      </c>
      <c r="AB11" s="940"/>
      <c r="AC11" s="940"/>
      <c r="AD11" s="940"/>
      <c r="AE11" s="940"/>
      <c r="AF11" s="940"/>
      <c r="AG11" s="940"/>
      <c r="AH11" s="940"/>
      <c r="AI11" s="940"/>
      <c r="AJ11" s="940"/>
      <c r="AK11" s="816" t="str">
        <f>VLOOKUP($D$11,調査票①!$A$3:$HK$1735,4,FALSE)&amp;""</f>
        <v>都市　Ⅲ－１</v>
      </c>
      <c r="AL11" s="816"/>
      <c r="AM11" s="816"/>
      <c r="AN11" s="816"/>
      <c r="AO11" s="816"/>
      <c r="AP11" s="816"/>
      <c r="AQ11" s="816"/>
      <c r="AR11" s="88"/>
      <c r="AS11" s="88"/>
      <c r="AT11" s="86"/>
      <c r="AW11" s="86"/>
      <c r="AX11" s="86"/>
      <c r="AY11" s="86"/>
      <c r="AZ11" s="86"/>
      <c r="BA11" s="86"/>
      <c r="BB11" s="86"/>
      <c r="BC11" s="86"/>
      <c r="BD11" s="86"/>
      <c r="CC11" s="81"/>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6"/>
      <c r="BP19" s="806"/>
      <c r="BQ19" s="806"/>
      <c r="BR19" s="806"/>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9"/>
      <c r="BT21" s="101"/>
      <c r="BU21" s="107"/>
      <c r="BV21" s="107"/>
      <c r="BW21" s="107"/>
      <c r="BX21" s="107"/>
      <c r="BY21" s="107"/>
      <c r="BZ21" s="107"/>
      <c r="CA21" s="107"/>
      <c r="CB21" s="108"/>
      <c r="CC21" s="900" t="s">
        <v>12322</v>
      </c>
      <c r="CD21" s="901"/>
      <c r="CE21" s="901"/>
      <c r="CF21" s="901"/>
      <c r="CG21" s="901"/>
      <c r="CH21" s="901"/>
      <c r="CI21" s="901"/>
      <c r="CJ21" s="901"/>
      <c r="CK21" s="901"/>
      <c r="CL21" s="902"/>
      <c r="CM21" s="900" t="str">
        <f>VLOOKUP($D$11,調査票①!$A$3:$HK$1735,194,FALSE)&amp;""</f>
        <v>設置済</v>
      </c>
      <c r="CN21" s="901"/>
      <c r="CO21" s="901"/>
      <c r="CP21" s="901"/>
      <c r="CQ21" s="901"/>
      <c r="CR21" s="901"/>
      <c r="CS21" s="901"/>
      <c r="CT21" s="901"/>
      <c r="CU21" s="901"/>
      <c r="CV21" s="902"/>
      <c r="CW21" s="110"/>
      <c r="CX21" s="111"/>
      <c r="CY21" s="112"/>
      <c r="CZ21" s="906" t="s">
        <v>12323</v>
      </c>
      <c r="DA21" s="907"/>
      <c r="DB21" s="907"/>
      <c r="DC21" s="907"/>
      <c r="DD21" s="907"/>
      <c r="DE21" s="907"/>
      <c r="DF21" s="907"/>
      <c r="DG21" s="907"/>
      <c r="DH21" s="907"/>
      <c r="DI21" s="908"/>
      <c r="DJ21" s="912" t="str">
        <f>VLOOKUP($D$11,調査票①!$A$3:$HK$1735,195,FALSE)&amp;""</f>
        <v/>
      </c>
      <c r="DK21" s="913"/>
      <c r="DL21" s="913"/>
      <c r="DM21" s="913"/>
      <c r="DN21" s="913"/>
      <c r="DO21" s="913"/>
      <c r="DP21" s="913"/>
      <c r="DQ21" s="913"/>
      <c r="DR21" s="913"/>
      <c r="DS21" s="914"/>
      <c r="DT21" s="103"/>
      <c r="DU21" s="103"/>
      <c r="DV21" s="103"/>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99"/>
      <c r="EN21" s="99"/>
      <c r="EO21" s="99"/>
      <c r="EP21" s="99"/>
      <c r="EQ21" s="99"/>
      <c r="ER21" s="99"/>
      <c r="ES21" s="101"/>
    </row>
    <row r="22" spans="3:149" ht="19.75" customHeight="1">
      <c r="C22" s="97"/>
      <c r="D22" s="844" t="s">
        <v>12325</v>
      </c>
      <c r="E22" s="845"/>
      <c r="F22" s="845"/>
      <c r="G22" s="845"/>
      <c r="H22" s="845"/>
      <c r="I22" s="845"/>
      <c r="J22" s="845"/>
      <c r="K22" s="845"/>
      <c r="L22" s="845"/>
      <c r="M22" s="846"/>
      <c r="N22" s="825" t="str">
        <f>VLOOKUP($D$11,調査票①!$A$3:$HK$1735,6,FALSE)&amp;""</f>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9"/>
      <c r="BT22" s="101"/>
      <c r="CB22" s="108"/>
      <c r="CC22" s="903"/>
      <c r="CD22" s="904"/>
      <c r="CE22" s="904"/>
      <c r="CF22" s="904"/>
      <c r="CG22" s="904"/>
      <c r="CH22" s="904"/>
      <c r="CI22" s="904"/>
      <c r="CJ22" s="904"/>
      <c r="CK22" s="904"/>
      <c r="CL22" s="905"/>
      <c r="CM22" s="903"/>
      <c r="CN22" s="904"/>
      <c r="CO22" s="904"/>
      <c r="CP22" s="904"/>
      <c r="CQ22" s="904"/>
      <c r="CR22" s="904"/>
      <c r="CS22" s="904"/>
      <c r="CT22" s="904"/>
      <c r="CU22" s="904"/>
      <c r="CV22" s="905"/>
      <c r="CW22" s="99"/>
      <c r="CX22" s="99"/>
      <c r="CY22" s="99"/>
      <c r="CZ22" s="909"/>
      <c r="DA22" s="910"/>
      <c r="DB22" s="910"/>
      <c r="DC22" s="910"/>
      <c r="DD22" s="910"/>
      <c r="DE22" s="910"/>
      <c r="DF22" s="910"/>
      <c r="DG22" s="910"/>
      <c r="DH22" s="910"/>
      <c r="DI22" s="911"/>
      <c r="DJ22" s="915"/>
      <c r="DK22" s="916"/>
      <c r="DL22" s="916"/>
      <c r="DM22" s="916"/>
      <c r="DN22" s="916"/>
      <c r="DO22" s="916"/>
      <c r="DP22" s="916"/>
      <c r="DQ22" s="916"/>
      <c r="DR22" s="916"/>
      <c r="DS22" s="917"/>
      <c r="DT22" s="99"/>
      <c r="DU22" s="99"/>
      <c r="DV22" s="99"/>
      <c r="DW22" s="909"/>
      <c r="DX22" s="910"/>
      <c r="DY22" s="910"/>
      <c r="DZ22" s="910"/>
      <c r="EA22" s="910"/>
      <c r="EB22" s="910"/>
      <c r="EC22" s="910"/>
      <c r="ED22" s="910"/>
      <c r="EE22" s="910"/>
      <c r="EF22" s="911"/>
      <c r="EG22" s="921"/>
      <c r="EH22" s="922"/>
      <c r="EI22" s="922"/>
      <c r="EJ22" s="922"/>
      <c r="EK22" s="922"/>
      <c r="EL22" s="923"/>
      <c r="EM22" s="97"/>
      <c r="EN22" s="99"/>
      <c r="EO22" s="99"/>
      <c r="EP22" s="99"/>
      <c r="EQ22" s="99"/>
      <c r="ER22" s="99"/>
      <c r="ES22" s="101"/>
    </row>
    <row r="23" spans="3:149" ht="19.75" customHeight="1">
      <c r="C23" s="97"/>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4" t="s">
        <v>12327</v>
      </c>
      <c r="E24" s="845"/>
      <c r="F24" s="845"/>
      <c r="G24" s="845"/>
      <c r="H24" s="845"/>
      <c r="I24" s="845"/>
      <c r="J24" s="845"/>
      <c r="K24" s="845"/>
      <c r="L24" s="845"/>
      <c r="M24" s="846"/>
      <c r="N24" s="825" t="str">
        <f>VLOOKUP($D$11,調査票①!$A$3:$HK$1735,9,FALSE)&amp;""</f>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1</v>
      </c>
      <c r="BK24" s="833"/>
      <c r="BL24" s="833"/>
      <c r="BM24" s="833"/>
      <c r="BN24" s="834"/>
      <c r="BO24" s="838">
        <f>調査票①!H1731</f>
        <v>0.98486932599724897</v>
      </c>
      <c r="BP24" s="839"/>
      <c r="BQ24" s="839"/>
      <c r="BR24" s="840"/>
      <c r="BS24" s="99"/>
      <c r="BT24" s="101"/>
      <c r="CB24" s="97"/>
      <c r="CC24" s="888" t="s">
        <v>12328</v>
      </c>
      <c r="CD24" s="888"/>
      <c r="CE24" s="888"/>
      <c r="CF24" s="888"/>
      <c r="CG24" s="888"/>
      <c r="CH24" s="888"/>
      <c r="CI24" s="888"/>
      <c r="CJ24" s="888"/>
      <c r="CK24" s="888"/>
      <c r="CL24" s="888"/>
      <c r="CM24" s="888"/>
      <c r="CN24" s="888"/>
      <c r="CO24" s="888"/>
      <c r="CP24" s="888"/>
      <c r="CQ24" s="888"/>
      <c r="CR24" s="888"/>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59" t="s">
        <v>70</v>
      </c>
      <c r="DX24" s="860"/>
      <c r="DY24" s="860"/>
      <c r="DZ24" s="860"/>
      <c r="EA24" s="860"/>
      <c r="EB24" s="860"/>
      <c r="EC24" s="860"/>
      <c r="ED24" s="861"/>
      <c r="EE24" s="890" t="s">
        <v>12329</v>
      </c>
      <c r="EF24" s="860"/>
      <c r="EG24" s="860"/>
      <c r="EH24" s="860"/>
      <c r="EI24" s="860"/>
      <c r="EJ24" s="860"/>
      <c r="EK24" s="860"/>
      <c r="EL24" s="861"/>
      <c r="EM24" s="99"/>
      <c r="EN24" s="99"/>
      <c r="EO24" s="99"/>
      <c r="EP24" s="99"/>
      <c r="EQ24" s="99"/>
      <c r="ER24" s="99"/>
      <c r="ES24" s="101"/>
    </row>
    <row r="25" spans="3:149" ht="19.75" customHeight="1">
      <c r="C25" s="97"/>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9"/>
      <c r="BT25" s="101"/>
      <c r="CA25" s="81"/>
      <c r="CB25" s="114"/>
      <c r="CC25" s="889"/>
      <c r="CD25" s="889"/>
      <c r="CE25" s="889"/>
      <c r="CF25" s="889"/>
      <c r="CG25" s="889"/>
      <c r="CH25" s="889"/>
      <c r="CI25" s="889"/>
      <c r="CJ25" s="889"/>
      <c r="CK25" s="889"/>
      <c r="CL25" s="889"/>
      <c r="CM25" s="888"/>
      <c r="CN25" s="888"/>
      <c r="CO25" s="888"/>
      <c r="CP25" s="888"/>
      <c r="CQ25" s="888"/>
      <c r="CR25" s="888"/>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1" t="s">
        <v>12330</v>
      </c>
      <c r="DX25" s="863"/>
      <c r="DY25" s="863"/>
      <c r="DZ25" s="864"/>
      <c r="EA25" s="692" t="s">
        <v>12331</v>
      </c>
      <c r="EB25" s="892"/>
      <c r="EC25" s="892"/>
      <c r="ED25" s="893"/>
      <c r="EE25" s="891" t="s">
        <v>12330</v>
      </c>
      <c r="EF25" s="863"/>
      <c r="EG25" s="863"/>
      <c r="EH25" s="864"/>
      <c r="EI25" s="692" t="s">
        <v>12331</v>
      </c>
      <c r="EJ25" s="892"/>
      <c r="EK25" s="892"/>
      <c r="EL25" s="893"/>
      <c r="EM25" s="99"/>
      <c r="EN25" s="99"/>
      <c r="EO25" s="99"/>
      <c r="EP25" s="99"/>
      <c r="EQ25" s="99"/>
      <c r="ER25" s="99"/>
      <c r="ES25" s="101"/>
    </row>
    <row r="26" spans="3:149" ht="19.75" customHeight="1">
      <c r="C26" s="97"/>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0.9375</v>
      </c>
      <c r="BK26" s="833"/>
      <c r="BL26" s="833"/>
      <c r="BM26" s="833"/>
      <c r="BN26" s="834"/>
      <c r="BO26" s="838">
        <f>調査票①!K1731</f>
        <v>0.89906542056074767</v>
      </c>
      <c r="BP26" s="839"/>
      <c r="BQ26" s="839"/>
      <c r="BR26" s="840"/>
      <c r="BS26" s="99"/>
      <c r="BT26" s="101"/>
      <c r="CB26" s="114"/>
      <c r="CC26" s="887" t="s">
        <v>12333</v>
      </c>
      <c r="CD26" s="887"/>
      <c r="CE26" s="887"/>
      <c r="CF26" s="887"/>
      <c r="CG26" s="887"/>
      <c r="CH26" s="887"/>
      <c r="CI26" s="887"/>
      <c r="CJ26" s="887"/>
      <c r="CK26" s="887"/>
      <c r="CL26" s="887"/>
      <c r="CM26" s="897" t="str">
        <f>VLOOKUP($D$11,調査票①!$A$3:$HK$1735,197,FALSE)&amp;""</f>
        <v>○</v>
      </c>
      <c r="CN26" s="897"/>
      <c r="CO26" s="897"/>
      <c r="CP26" s="897"/>
      <c r="CQ26" s="897"/>
      <c r="CR26" s="897"/>
      <c r="CS26" s="897"/>
      <c r="CT26" s="897"/>
      <c r="CU26" s="897"/>
      <c r="CV26" s="897"/>
      <c r="CW26" s="115"/>
      <c r="CX26" s="115"/>
      <c r="CY26" s="115"/>
      <c r="CZ26" s="898" t="s">
        <v>12334</v>
      </c>
      <c r="DA26" s="898"/>
      <c r="DB26" s="898"/>
      <c r="DC26" s="898"/>
      <c r="DD26" s="898"/>
      <c r="DE26" s="898"/>
      <c r="DF26" s="898"/>
      <c r="DG26" s="898"/>
      <c r="DH26" s="898"/>
      <c r="DI26" s="898"/>
      <c r="DJ26" s="899" t="str">
        <f>VLOOKUP($D$11,調査票①!$A$3:$HK$1735,198,FALSE)&amp;""</f>
        <v>○</v>
      </c>
      <c r="DK26" s="899"/>
      <c r="DL26" s="899"/>
      <c r="DM26" s="899"/>
      <c r="DN26" s="899"/>
      <c r="DO26" s="899"/>
      <c r="DP26" s="899"/>
      <c r="DQ26" s="899"/>
      <c r="DR26" s="899"/>
      <c r="DS26" s="899"/>
      <c r="DT26" s="115"/>
      <c r="DU26" s="115"/>
      <c r="DV26" s="115"/>
      <c r="DW26" s="865"/>
      <c r="DX26" s="866"/>
      <c r="DY26" s="866"/>
      <c r="DZ26" s="867"/>
      <c r="EA26" s="894"/>
      <c r="EB26" s="895"/>
      <c r="EC26" s="895"/>
      <c r="ED26" s="896"/>
      <c r="EE26" s="865"/>
      <c r="EF26" s="866"/>
      <c r="EG26" s="866"/>
      <c r="EH26" s="867"/>
      <c r="EI26" s="894"/>
      <c r="EJ26" s="895"/>
      <c r="EK26" s="895"/>
      <c r="EL26" s="896"/>
      <c r="EM26" s="99"/>
      <c r="EN26" s="99"/>
      <c r="EO26" s="99"/>
      <c r="EP26" s="99"/>
      <c r="EQ26" s="99"/>
      <c r="ER26" s="99"/>
      <c r="ES26" s="101"/>
    </row>
    <row r="27" spans="3:149" ht="19.75" customHeight="1">
      <c r="C27" s="97"/>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9"/>
      <c r="BT27" s="101"/>
      <c r="CB27" s="114"/>
      <c r="CC27" s="887"/>
      <c r="CD27" s="887"/>
      <c r="CE27" s="887"/>
      <c r="CF27" s="887"/>
      <c r="CG27" s="887"/>
      <c r="CH27" s="887"/>
      <c r="CI27" s="887"/>
      <c r="CJ27" s="887"/>
      <c r="CK27" s="887"/>
      <c r="CL27" s="887"/>
      <c r="CM27" s="897"/>
      <c r="CN27" s="897"/>
      <c r="CO27" s="897"/>
      <c r="CP27" s="897"/>
      <c r="CQ27" s="897"/>
      <c r="CR27" s="897"/>
      <c r="CS27" s="897"/>
      <c r="CT27" s="897"/>
      <c r="CU27" s="897"/>
      <c r="CV27" s="897"/>
      <c r="CW27" s="115"/>
      <c r="CX27" s="115"/>
      <c r="CY27" s="115"/>
      <c r="CZ27" s="898"/>
      <c r="DA27" s="898"/>
      <c r="DB27" s="898"/>
      <c r="DC27" s="898"/>
      <c r="DD27" s="898"/>
      <c r="DE27" s="898"/>
      <c r="DF27" s="898"/>
      <c r="DG27" s="898"/>
      <c r="DH27" s="898"/>
      <c r="DI27" s="898"/>
      <c r="DJ27" s="899"/>
      <c r="DK27" s="899"/>
      <c r="DL27" s="899"/>
      <c r="DM27" s="899"/>
      <c r="DN27" s="899"/>
      <c r="DO27" s="899"/>
      <c r="DP27" s="899"/>
      <c r="DQ27" s="899"/>
      <c r="DR27" s="899"/>
      <c r="DS27" s="899"/>
      <c r="DT27" s="115"/>
      <c r="DU27" s="115"/>
      <c r="DV27" s="115"/>
      <c r="DW27" s="721">
        <f>VLOOKUP($AK$11,導入率!A4:AX37,43,FALSE)</f>
        <v>0.2857142857142857</v>
      </c>
      <c r="DX27" s="722"/>
      <c r="DY27" s="722"/>
      <c r="DZ27" s="723"/>
      <c r="EA27" s="721">
        <f>VLOOKUP($AK$11,導入率!A4:AX37,44,FALSE)</f>
        <v>0.52380952380952384</v>
      </c>
      <c r="EB27" s="722"/>
      <c r="EC27" s="722"/>
      <c r="ED27" s="723"/>
      <c r="EE27" s="721">
        <f>調査票①!GL1731</f>
        <v>0.14177803602556652</v>
      </c>
      <c r="EF27" s="722"/>
      <c r="EG27" s="722"/>
      <c r="EH27" s="723"/>
      <c r="EI27" s="721">
        <f>調査票①!GN1731</f>
        <v>0.27425915165601394</v>
      </c>
      <c r="EJ27" s="722"/>
      <c r="EK27" s="722"/>
      <c r="EL27" s="723"/>
      <c r="EM27" s="99"/>
      <c r="EN27" s="99"/>
      <c r="EO27" s="99"/>
      <c r="EP27" s="99"/>
      <c r="EQ27" s="99"/>
      <c r="ER27" s="99"/>
      <c r="ES27" s="101"/>
    </row>
    <row r="28" spans="3:149" ht="19.75" customHeight="1">
      <c r="C28" s="97"/>
      <c r="D28" s="844" t="s">
        <v>12335</v>
      </c>
      <c r="E28" s="845"/>
      <c r="F28" s="845"/>
      <c r="G28" s="845"/>
      <c r="H28" s="845"/>
      <c r="I28" s="845"/>
      <c r="J28" s="845"/>
      <c r="K28" s="845"/>
      <c r="L28" s="845"/>
      <c r="M28" s="846"/>
      <c r="N28" s="825" t="str">
        <f>VLOOKUP($D$11,調査票①!$A$3:$HK$1735,15,FALSE)&amp;""</f>
        <v/>
      </c>
      <c r="O28" s="825"/>
      <c r="P28" s="825"/>
      <c r="Q28" s="825"/>
      <c r="R28" s="826" t="str">
        <f>VLOOKUP($D$11,調査票①!$A$3:$HK$1735,16,FALSE)&amp;""</f>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1</v>
      </c>
      <c r="BK28" s="833"/>
      <c r="BL28" s="833"/>
      <c r="BM28" s="833"/>
      <c r="BN28" s="834"/>
      <c r="BO28" s="838">
        <f>調査票①!N1731</f>
        <v>0.92835820895522392</v>
      </c>
      <c r="BP28" s="839"/>
      <c r="BQ28" s="839"/>
      <c r="BR28" s="840"/>
      <c r="BS28" s="99"/>
      <c r="BT28" s="101"/>
      <c r="CB28" s="114"/>
      <c r="CC28" s="887"/>
      <c r="CD28" s="887"/>
      <c r="CE28" s="887"/>
      <c r="CF28" s="887"/>
      <c r="CG28" s="887"/>
      <c r="CH28" s="887"/>
      <c r="CI28" s="887"/>
      <c r="CJ28" s="887"/>
      <c r="CK28" s="887"/>
      <c r="CL28" s="887"/>
      <c r="CM28" s="897"/>
      <c r="CN28" s="897"/>
      <c r="CO28" s="897"/>
      <c r="CP28" s="897"/>
      <c r="CQ28" s="897"/>
      <c r="CR28" s="897"/>
      <c r="CS28" s="897"/>
      <c r="CT28" s="897"/>
      <c r="CU28" s="897"/>
      <c r="CV28" s="897"/>
      <c r="CW28" s="115"/>
      <c r="CX28" s="115"/>
      <c r="CY28" s="115"/>
      <c r="CZ28" s="898"/>
      <c r="DA28" s="898"/>
      <c r="DB28" s="898"/>
      <c r="DC28" s="898"/>
      <c r="DD28" s="898"/>
      <c r="DE28" s="898"/>
      <c r="DF28" s="898"/>
      <c r="DG28" s="898"/>
      <c r="DH28" s="898"/>
      <c r="DI28" s="898"/>
      <c r="DJ28" s="899"/>
      <c r="DK28" s="899"/>
      <c r="DL28" s="899"/>
      <c r="DM28" s="899"/>
      <c r="DN28" s="899"/>
      <c r="DO28" s="899"/>
      <c r="DP28" s="899"/>
      <c r="DQ28" s="899"/>
      <c r="DR28" s="899"/>
      <c r="DS28" s="899"/>
      <c r="DT28" s="115"/>
      <c r="DU28" s="115"/>
      <c r="DV28" s="115"/>
      <c r="DW28" s="724"/>
      <c r="DX28" s="725"/>
      <c r="DY28" s="725"/>
      <c r="DZ28" s="726"/>
      <c r="EA28" s="724"/>
      <c r="EB28" s="725"/>
      <c r="EC28" s="725"/>
      <c r="ED28" s="726"/>
      <c r="EE28" s="724"/>
      <c r="EF28" s="725"/>
      <c r="EG28" s="725"/>
      <c r="EH28" s="726"/>
      <c r="EI28" s="724"/>
      <c r="EJ28" s="725"/>
      <c r="EK28" s="725"/>
      <c r="EL28" s="726"/>
      <c r="EM28" s="99"/>
      <c r="EN28" s="99"/>
      <c r="EO28" s="99"/>
      <c r="EP28" s="99"/>
      <c r="EQ28" s="99"/>
      <c r="ER28" s="99"/>
      <c r="ES28" s="101"/>
    </row>
    <row r="29" spans="3:149" ht="19.75" customHeight="1">
      <c r="C29" s="97"/>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4" t="s">
        <v>12336</v>
      </c>
      <c r="E30" s="845"/>
      <c r="F30" s="845"/>
      <c r="G30" s="845"/>
      <c r="H30" s="845"/>
      <c r="I30" s="845"/>
      <c r="J30" s="845"/>
      <c r="K30" s="845"/>
      <c r="L30" s="845"/>
      <c r="M30" s="846"/>
      <c r="N30" s="825" t="str">
        <f>VLOOKUP($D$11,調査票①!$A$3:$HK$1735,18,FALSE)&amp;""</f>
        <v>○</v>
      </c>
      <c r="O30" s="825"/>
      <c r="P30" s="825"/>
      <c r="Q30" s="825"/>
      <c r="R30" s="826" t="str">
        <f>VLOOKUP($D$11,調査票①!$A$3:$HK$1735,19,FALSE)&amp;""</f>
        <v>秘書が、秘書業務の一つとして公用車の運転を行っているため、今後も同様の対応を行う。</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0.94444444444444442</v>
      </c>
      <c r="BK30" s="833"/>
      <c r="BL30" s="833"/>
      <c r="BM30" s="833"/>
      <c r="BN30" s="834"/>
      <c r="BO30" s="838">
        <f>調査票①!Q1731</f>
        <v>0.88569321533923306</v>
      </c>
      <c r="BP30" s="839"/>
      <c r="BQ30" s="839"/>
      <c r="BR30" s="840"/>
      <c r="BS30" s="99"/>
      <c r="BT30" s="101"/>
      <c r="EQ30" s="81"/>
    </row>
    <row r="31" spans="3:149" ht="19.75" customHeight="1">
      <c r="C31" s="97"/>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1</v>
      </c>
      <c r="BK32" s="833"/>
      <c r="BL32" s="833"/>
      <c r="BM32" s="833"/>
      <c r="BN32" s="834"/>
      <c r="BO32" s="838">
        <f>調査票①!T1731</f>
        <v>0.98208469055374592</v>
      </c>
      <c r="BP32" s="839"/>
      <c r="BQ32" s="839"/>
      <c r="BR32" s="840"/>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1</v>
      </c>
      <c r="BK34" s="833"/>
      <c r="BL34" s="833"/>
      <c r="BM34" s="833"/>
      <c r="BN34" s="834"/>
      <c r="BO34" s="838">
        <f>調査票①!W1731</f>
        <v>0.97490092470277412</v>
      </c>
      <c r="BP34" s="839"/>
      <c r="BQ34" s="839"/>
      <c r="BR34" s="840"/>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9"/>
      <c r="BT35" s="101"/>
      <c r="CB35" s="110"/>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1"/>
      <c r="CX35" s="111"/>
      <c r="CY35" s="111"/>
      <c r="CZ35" s="111"/>
      <c r="DA35" s="111"/>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1"/>
      <c r="EI35" s="859" t="s">
        <v>70</v>
      </c>
      <c r="EJ35" s="860"/>
      <c r="EK35" s="860"/>
      <c r="EL35" s="860"/>
      <c r="EM35" s="860"/>
      <c r="EN35" s="860"/>
      <c r="EO35" s="860"/>
      <c r="EP35" s="861"/>
      <c r="EQ35" s="99"/>
      <c r="ER35" s="99"/>
      <c r="ES35" s="101"/>
    </row>
    <row r="36" spans="3:149" ht="19.75" customHeight="1">
      <c r="C36" s="97"/>
      <c r="D36" s="844" t="s">
        <v>12341</v>
      </c>
      <c r="E36" s="845"/>
      <c r="F36" s="845"/>
      <c r="G36" s="845"/>
      <c r="H36" s="845"/>
      <c r="I36" s="845"/>
      <c r="J36" s="845"/>
      <c r="K36" s="845"/>
      <c r="L36" s="845"/>
      <c r="M36" s="846"/>
      <c r="N36" s="825" t="str">
        <f>VLOOKUP($D$11,調査票①!$A$3:$HK$1735,27,FALSE)&amp;""</f>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0.90476190476190477</v>
      </c>
      <c r="BK36" s="833"/>
      <c r="BL36" s="833"/>
      <c r="BM36" s="833"/>
      <c r="BN36" s="834"/>
      <c r="BO36" s="838">
        <f>調査票①!Z1731</f>
        <v>0.72546419098143233</v>
      </c>
      <c r="BP36" s="839"/>
      <c r="BQ36" s="839"/>
      <c r="BR36" s="840"/>
      <c r="BS36" s="99"/>
      <c r="BT36" s="101"/>
      <c r="CB36" s="110"/>
      <c r="CC36" s="877"/>
      <c r="CD36" s="878"/>
      <c r="CE36" s="878"/>
      <c r="CF36" s="878"/>
      <c r="CG36" s="878"/>
      <c r="CH36" s="878"/>
      <c r="CI36" s="878"/>
      <c r="CJ36" s="878"/>
      <c r="CK36" s="878"/>
      <c r="CL36" s="879"/>
      <c r="CM36" s="877"/>
      <c r="CN36" s="878"/>
      <c r="CO36" s="878"/>
      <c r="CP36" s="878"/>
      <c r="CQ36" s="878"/>
      <c r="CR36" s="878"/>
      <c r="CS36" s="878"/>
      <c r="CT36" s="878"/>
      <c r="CU36" s="878"/>
      <c r="CV36" s="879"/>
      <c r="CW36" s="111"/>
      <c r="CX36" s="111"/>
      <c r="CY36" s="111"/>
      <c r="CZ36" s="111"/>
      <c r="DA36" s="111"/>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1"/>
      <c r="EI36" s="862" t="s">
        <v>12342</v>
      </c>
      <c r="EJ36" s="863"/>
      <c r="EK36" s="863"/>
      <c r="EL36" s="864"/>
      <c r="EM36" s="868" t="s">
        <v>12331</v>
      </c>
      <c r="EN36" s="863"/>
      <c r="EO36" s="863"/>
      <c r="EP36" s="864"/>
      <c r="EQ36" s="99"/>
      <c r="ER36" s="99"/>
      <c r="ES36" s="101"/>
    </row>
    <row r="37" spans="3:149" ht="19.75" customHeight="1">
      <c r="C37" s="97"/>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9"/>
      <c r="BT37" s="101"/>
      <c r="CB37" s="110"/>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1"/>
      <c r="CX37" s="111"/>
      <c r="CY37" s="111"/>
      <c r="CZ37" s="111"/>
      <c r="DA37" s="111"/>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1"/>
      <c r="EI37" s="865"/>
      <c r="EJ37" s="866"/>
      <c r="EK37" s="866"/>
      <c r="EL37" s="867"/>
      <c r="EM37" s="865"/>
      <c r="EN37" s="866"/>
      <c r="EO37" s="866"/>
      <c r="EP37" s="867"/>
      <c r="EQ37" s="99"/>
      <c r="ER37" s="99"/>
      <c r="ES37" s="101"/>
    </row>
    <row r="38" spans="3:149" ht="19.75" customHeight="1">
      <c r="C38" s="97"/>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0.95</v>
      </c>
      <c r="BK38" s="833"/>
      <c r="BL38" s="833"/>
      <c r="BM38" s="833"/>
      <c r="BN38" s="834"/>
      <c r="BO38" s="838">
        <f>調査票①!AC1731</f>
        <v>0.91211401425178151</v>
      </c>
      <c r="BP38" s="839"/>
      <c r="BQ38" s="839"/>
      <c r="BR38" s="840"/>
      <c r="BS38" s="99"/>
      <c r="BT38" s="101"/>
      <c r="CB38" s="110"/>
      <c r="CC38" s="877"/>
      <c r="CD38" s="878"/>
      <c r="CE38" s="878"/>
      <c r="CF38" s="878"/>
      <c r="CG38" s="878"/>
      <c r="CH38" s="878"/>
      <c r="CI38" s="878"/>
      <c r="CJ38" s="878"/>
      <c r="CK38" s="878"/>
      <c r="CL38" s="879"/>
      <c r="CM38" s="877"/>
      <c r="CN38" s="878"/>
      <c r="CO38" s="878"/>
      <c r="CP38" s="878"/>
      <c r="CQ38" s="878"/>
      <c r="CR38" s="878"/>
      <c r="CS38" s="878"/>
      <c r="CT38" s="878"/>
      <c r="CU38" s="878"/>
      <c r="CV38" s="879"/>
      <c r="CW38" s="111"/>
      <c r="CX38" s="111"/>
      <c r="CY38" s="111"/>
      <c r="CZ38" s="111"/>
      <c r="DA38" s="111"/>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1"/>
      <c r="EI38" s="721">
        <f>VLOOKUP($AK$11,導入率!A4:AX37,45,FALSE)</f>
        <v>0.61904761904761907</v>
      </c>
      <c r="EJ38" s="722"/>
      <c r="EK38" s="722"/>
      <c r="EL38" s="723"/>
      <c r="EM38" s="721">
        <f>VLOOKUP($AK$11,導入率!A4:AX37,46,FALSE)</f>
        <v>0</v>
      </c>
      <c r="EN38" s="722"/>
      <c r="EO38" s="722"/>
      <c r="EP38" s="723"/>
      <c r="EQ38" s="99"/>
      <c r="ER38" s="99"/>
      <c r="ES38" s="101"/>
    </row>
    <row r="39" spans="3:149" ht="19.75" customHeight="1">
      <c r="C39" s="97"/>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v>
      </c>
      <c r="DO39" s="870"/>
      <c r="DP39" s="870"/>
      <c r="DQ39" s="871"/>
      <c r="DR39" s="869" t="str">
        <f>VLOOKUP($D$11,調査票①!$A$3:$HK$1735,206,FALSE)&amp;""</f>
        <v>○</v>
      </c>
      <c r="DS39" s="870"/>
      <c r="DT39" s="870"/>
      <c r="DU39" s="871"/>
      <c r="DV39" s="869" t="str">
        <f>VLOOKUP($D$11,調査票①!$A$3:$HK$1735,207,FALSE)&amp;""</f>
        <v>○</v>
      </c>
      <c r="DW39" s="870"/>
      <c r="DX39" s="870"/>
      <c r="DY39" s="871"/>
      <c r="DZ39" s="869" t="str">
        <f>VLOOKUP($D$11,調査票①!$A$3:$HK$1735,208,FALSE)&amp;""</f>
        <v>○</v>
      </c>
      <c r="EA39" s="870"/>
      <c r="EB39" s="870"/>
      <c r="EC39" s="871"/>
      <c r="ED39" s="869" t="str">
        <f>VLOOKUP($D$11,調査票①!$A$3:$HK$1735,209,FALSE)&amp;""</f>
        <v>○</v>
      </c>
      <c r="EE39" s="870"/>
      <c r="EF39" s="870"/>
      <c r="EG39" s="871"/>
      <c r="EH39" s="111"/>
      <c r="EI39" s="724"/>
      <c r="EJ39" s="725"/>
      <c r="EK39" s="725"/>
      <c r="EL39" s="726"/>
      <c r="EM39" s="724"/>
      <c r="EN39" s="725"/>
      <c r="EO39" s="725"/>
      <c r="EP39" s="726"/>
      <c r="EQ39" s="99"/>
      <c r="ER39" s="99"/>
      <c r="ES39" s="101"/>
    </row>
    <row r="40" spans="3:149" ht="19.75" customHeight="1">
      <c r="C40" s="97"/>
      <c r="D40" s="844" t="s">
        <v>12352</v>
      </c>
      <c r="E40" s="845"/>
      <c r="F40" s="845"/>
      <c r="G40" s="845"/>
      <c r="H40" s="845"/>
      <c r="I40" s="845"/>
      <c r="J40" s="845"/>
      <c r="K40" s="845"/>
      <c r="L40" s="845"/>
      <c r="M40" s="846"/>
      <c r="N40" s="825" t="str">
        <f>VLOOKUP($D$11,調査票①!$A$3:$HK$1735,33,FALSE)&amp;""</f>
        <v/>
      </c>
      <c r="O40" s="825"/>
      <c r="P40" s="825"/>
      <c r="Q40" s="825"/>
      <c r="R40" s="826" t="str">
        <f>VLOOKUP($D$11,調査票①!$A$3:$HK$1735,34,FALSE)&amp;""</f>
        <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0.2857142857142857</v>
      </c>
      <c r="BK40" s="833"/>
      <c r="BL40" s="833"/>
      <c r="BM40" s="833"/>
      <c r="BN40" s="834"/>
      <c r="BO40" s="838">
        <f>調査票①!AF1731</f>
        <v>0.37983034872761545</v>
      </c>
      <c r="BP40" s="839"/>
      <c r="BQ40" s="839"/>
      <c r="BR40" s="840"/>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1"/>
      <c r="EI40" s="859" t="s">
        <v>12329</v>
      </c>
      <c r="EJ40" s="860"/>
      <c r="EK40" s="860"/>
      <c r="EL40" s="860"/>
      <c r="EM40" s="860"/>
      <c r="EN40" s="860"/>
      <c r="EO40" s="860"/>
      <c r="EP40" s="861"/>
      <c r="EQ40" s="99"/>
      <c r="ER40" s="99"/>
      <c r="ES40" s="101"/>
    </row>
    <row r="41" spans="3:149" ht="19.75" customHeight="1">
      <c r="C41" s="97"/>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2" t="s">
        <v>12342</v>
      </c>
      <c r="EJ41" s="863"/>
      <c r="EK41" s="863"/>
      <c r="EL41" s="864"/>
      <c r="EM41" s="868" t="s">
        <v>12331</v>
      </c>
      <c r="EN41" s="863"/>
      <c r="EO41" s="863"/>
      <c r="EP41" s="864"/>
      <c r="EQ41" s="99"/>
      <c r="ER41" s="99"/>
      <c r="ES41" s="101"/>
    </row>
    <row r="42" spans="3:149" ht="19.75" customHeight="1">
      <c r="C42" s="97"/>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5"/>
      <c r="EJ42" s="866"/>
      <c r="EK42" s="866"/>
      <c r="EL42" s="867"/>
      <c r="EM42" s="865"/>
      <c r="EN42" s="866"/>
      <c r="EO42" s="866"/>
      <c r="EP42" s="867"/>
      <c r="EQ42" s="99"/>
      <c r="ER42" s="99"/>
      <c r="ES42" s="101"/>
    </row>
    <row r="43" spans="3:149" ht="19.75" customHeight="1">
      <c r="C43" s="97"/>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1">
        <f>調査票①!GQ1731</f>
        <v>0.3346891342242882</v>
      </c>
      <c r="EJ43" s="722"/>
      <c r="EK43" s="722"/>
      <c r="EL43" s="723"/>
      <c r="EM43" s="721">
        <f>調査票①!GR1731</f>
        <v>3.3120278907611857E-2</v>
      </c>
      <c r="EN43" s="722"/>
      <c r="EO43" s="722"/>
      <c r="EP43" s="723"/>
      <c r="EQ43" s="99"/>
      <c r="ER43" s="99"/>
      <c r="ES43" s="101"/>
    </row>
    <row r="44" spans="3:149" ht="19.75" customHeight="1">
      <c r="C44" s="97"/>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4"/>
      <c r="EJ44" s="725"/>
      <c r="EK44" s="725"/>
      <c r="EL44" s="726"/>
      <c r="EM44" s="724"/>
      <c r="EN44" s="725"/>
      <c r="EO44" s="725"/>
      <c r="EP44" s="726"/>
      <c r="EQ44" s="99"/>
      <c r="ER44" s="99"/>
      <c r="ES44" s="101"/>
    </row>
    <row r="45" spans="3:149" ht="19.75" customHeight="1">
      <c r="C45" s="97"/>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9"/>
      <c r="BT46" s="101"/>
      <c r="CB46" s="110"/>
      <c r="CC46" s="111"/>
      <c r="CD46" s="111"/>
      <c r="CE46" s="111"/>
      <c r="CF46" s="111"/>
      <c r="CG46" s="111"/>
      <c r="CH46" s="111"/>
      <c r="CI46" s="111"/>
      <c r="CJ46" s="111"/>
      <c r="CK46" s="111"/>
      <c r="CL46" s="111"/>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1"/>
      <c r="EM46" s="111"/>
      <c r="EN46" s="111"/>
      <c r="EO46" s="111"/>
      <c r="EP46" s="111"/>
      <c r="EQ46" s="99"/>
      <c r="ER46" s="99"/>
      <c r="ES46" s="101"/>
    </row>
    <row r="47" spans="3:149" ht="19.75" customHeight="1">
      <c r="C47" s="97"/>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9"/>
      <c r="BT47" s="101"/>
      <c r="CB47" s="110"/>
      <c r="CC47" s="111"/>
      <c r="CD47" s="111"/>
      <c r="CE47" s="111"/>
      <c r="CF47" s="111"/>
      <c r="CG47" s="111"/>
      <c r="CH47" s="111"/>
      <c r="CI47" s="111"/>
      <c r="CJ47" s="111"/>
      <c r="CK47" s="111"/>
      <c r="CL47" s="111"/>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1"/>
      <c r="EM47" s="111"/>
      <c r="EN47" s="111"/>
      <c r="EO47" s="111"/>
      <c r="EP47" s="111"/>
      <c r="EQ47" s="99"/>
      <c r="ER47" s="99"/>
      <c r="ES47" s="101"/>
    </row>
    <row r="48" spans="3:149" ht="19.75" customHeight="1">
      <c r="C48" s="97"/>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9"/>
      <c r="BT48" s="101"/>
      <c r="CB48" s="110"/>
      <c r="CC48" s="111"/>
      <c r="CD48" s="111"/>
      <c r="CE48" s="111"/>
      <c r="CF48" s="111"/>
      <c r="CG48" s="111"/>
      <c r="CH48" s="111"/>
      <c r="CI48" s="111"/>
      <c r="CJ48" s="111"/>
      <c r="CK48" s="111"/>
      <c r="CL48" s="111"/>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1"/>
      <c r="EM48" s="111"/>
      <c r="EN48" s="111"/>
      <c r="EO48" s="111"/>
      <c r="EP48" s="111"/>
      <c r="EQ48" s="99"/>
      <c r="ER48" s="99"/>
      <c r="ES48" s="101"/>
    </row>
    <row r="49" spans="1:203" ht="19.75" customHeight="1">
      <c r="C49" s="97"/>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9"/>
      <c r="BT49" s="101"/>
      <c r="CB49" s="110"/>
      <c r="CC49" s="111"/>
      <c r="CD49" s="99"/>
      <c r="CE49" s="111"/>
      <c r="CF49" s="111"/>
      <c r="CG49" s="111"/>
      <c r="CH49" s="111"/>
      <c r="CI49" s="99"/>
      <c r="CJ49" s="111"/>
      <c r="CK49" s="111"/>
      <c r="CL49" s="111"/>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1"/>
      <c r="EM49" s="111"/>
      <c r="EN49" s="111"/>
      <c r="EO49" s="111"/>
      <c r="EP49" s="111"/>
      <c r="EQ49" s="99"/>
      <c r="ER49" s="99"/>
      <c r="ES49" s="101"/>
    </row>
    <row r="50" spans="1:203" ht="19.75" customHeight="1">
      <c r="C50" s="97"/>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9"/>
      <c r="BT50" s="101"/>
      <c r="CB50" s="110"/>
      <c r="CC50" s="111"/>
      <c r="CD50" s="111"/>
      <c r="CE50" s="111"/>
      <c r="CF50" s="111"/>
      <c r="CG50" s="111"/>
      <c r="CH50" s="111"/>
      <c r="CI50" s="111"/>
      <c r="CJ50" s="111"/>
      <c r="CK50" s="111"/>
      <c r="CL50" s="111"/>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1"/>
      <c r="EM50" s="111"/>
      <c r="EN50" s="111"/>
      <c r="EO50" s="111"/>
      <c r="EP50" s="111"/>
      <c r="EQ50" s="99"/>
      <c r="ER50" s="99"/>
      <c r="ES50" s="101"/>
    </row>
    <row r="51" spans="1:203" ht="19.75" customHeight="1">
      <c r="C51" s="97"/>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9"/>
      <c r="BT51" s="101"/>
      <c r="CB51" s="110"/>
      <c r="CC51" s="111"/>
      <c r="CD51" s="111"/>
      <c r="CE51" s="111"/>
      <c r="CF51" s="111"/>
      <c r="CG51" s="111"/>
      <c r="CH51" s="111"/>
      <c r="CI51" s="111"/>
      <c r="CJ51" s="111"/>
      <c r="CK51" s="111"/>
      <c r="CL51" s="111"/>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1"/>
      <c r="EM51" s="111"/>
      <c r="EN51" s="111"/>
      <c r="EO51" s="111"/>
      <c r="EP51" s="111"/>
      <c r="EQ51" s="99"/>
      <c r="ER51" s="99"/>
      <c r="ES51" s="101"/>
    </row>
    <row r="52" spans="1:203" ht="19.75" customHeight="1">
      <c r="C52" s="97"/>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0.95238095238095233</v>
      </c>
      <c r="BK52" s="833"/>
      <c r="BL52" s="833"/>
      <c r="BM52" s="833"/>
      <c r="BN52" s="834"/>
      <c r="BO52" s="838">
        <f>調査票①!AX1731</f>
        <v>0.9783301465901848</v>
      </c>
      <c r="BP52" s="839"/>
      <c r="BQ52" s="839"/>
      <c r="BR52" s="840"/>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4" t="s">
        <v>12362</v>
      </c>
      <c r="E54" s="845"/>
      <c r="F54" s="845"/>
      <c r="G54" s="845"/>
      <c r="H54" s="845"/>
      <c r="I54" s="845"/>
      <c r="J54" s="845"/>
      <c r="K54" s="845"/>
      <c r="L54" s="845"/>
      <c r="M54" s="846"/>
      <c r="N54" s="825" t="str">
        <f>VLOOKUP($D$11,調査票①!$A$3:$HK$1735,54,FALSE)&amp;""</f>
        <v/>
      </c>
      <c r="O54" s="825"/>
      <c r="P54" s="825"/>
      <c r="Q54" s="825"/>
      <c r="R54" s="826" t="str">
        <f>VLOOKUP($D$11,調査票①!$A$3:$HK$1735,55,FALSE)&amp;""</f>
        <v>　国勢調査等の基幹統計調査等は国で定められた方法で行うため、国の方針による。その他調査については現状で委託の予定はないが、今後、調査内容に応じて個別に方法を検討する。</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0.94444444444444442</v>
      </c>
      <c r="BK54" s="833"/>
      <c r="BL54" s="833"/>
      <c r="BM54" s="833"/>
      <c r="BN54" s="834"/>
      <c r="BO54" s="838">
        <f>調査票①!BA1731</f>
        <v>0.9625876851130164</v>
      </c>
      <c r="BP54" s="839"/>
      <c r="BQ54" s="839"/>
      <c r="BR54" s="840"/>
      <c r="BS54" s="99"/>
      <c r="BT54" s="101"/>
      <c r="CB54" s="110"/>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1"/>
      <c r="CX54" s="111"/>
      <c r="CY54" s="111"/>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9"/>
      <c r="BT55" s="101"/>
      <c r="CA55" s="81"/>
      <c r="CB55" s="110"/>
      <c r="CC55" s="810"/>
      <c r="CD55" s="811"/>
      <c r="CE55" s="811"/>
      <c r="CF55" s="811"/>
      <c r="CG55" s="811"/>
      <c r="CH55" s="811"/>
      <c r="CI55" s="811"/>
      <c r="CJ55" s="811"/>
      <c r="CK55" s="811"/>
      <c r="CL55" s="812"/>
      <c r="CM55" s="816"/>
      <c r="CN55" s="816"/>
      <c r="CO55" s="816"/>
      <c r="CP55" s="816"/>
      <c r="CQ55" s="816"/>
      <c r="CR55" s="816"/>
      <c r="CS55" s="816"/>
      <c r="CT55" s="816"/>
      <c r="CU55" s="816"/>
      <c r="CV55" s="816"/>
      <c r="CW55" s="111"/>
      <c r="CX55" s="111"/>
      <c r="CY55" s="111"/>
      <c r="CZ55" s="817"/>
      <c r="DA55" s="817"/>
      <c r="DB55" s="817"/>
      <c r="DC55" s="817"/>
      <c r="DD55" s="817"/>
      <c r="DE55" s="817"/>
      <c r="DF55" s="817"/>
      <c r="DG55" s="817"/>
      <c r="DH55" s="817"/>
      <c r="DI55" s="818"/>
      <c r="DJ55" s="818"/>
      <c r="DK55" s="818"/>
      <c r="DL55" s="818"/>
      <c r="DM55" s="818"/>
      <c r="DN55" s="818"/>
      <c r="DO55" s="818"/>
      <c r="DP55" s="818"/>
      <c r="DQ55" s="818"/>
      <c r="DR55" s="818"/>
      <c r="DS55" s="818"/>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3"/>
      <c r="CD56" s="814"/>
      <c r="CE56" s="814"/>
      <c r="CF56" s="814"/>
      <c r="CG56" s="814"/>
      <c r="CH56" s="814"/>
      <c r="CI56" s="814"/>
      <c r="CJ56" s="814"/>
      <c r="CK56" s="814"/>
      <c r="CL56" s="815"/>
      <c r="CM56" s="816"/>
      <c r="CN56" s="816"/>
      <c r="CO56" s="816"/>
      <c r="CP56" s="816"/>
      <c r="CQ56" s="816"/>
      <c r="CR56" s="816"/>
      <c r="CS56" s="816"/>
      <c r="CT56" s="816"/>
      <c r="CU56" s="816"/>
      <c r="CV56" s="816"/>
      <c r="CW56" s="111"/>
      <c r="CX56" s="111"/>
      <c r="CY56" s="111"/>
      <c r="CZ56" s="817"/>
      <c r="DA56" s="817"/>
      <c r="DB56" s="817"/>
      <c r="DC56" s="817"/>
      <c r="DD56" s="817"/>
      <c r="DE56" s="817"/>
      <c r="DF56" s="817"/>
      <c r="DG56" s="817"/>
      <c r="DH56" s="817"/>
      <c r="DI56" s="818"/>
      <c r="DJ56" s="818"/>
      <c r="DK56" s="818"/>
      <c r="DL56" s="818"/>
      <c r="DM56" s="818"/>
      <c r="DN56" s="818"/>
      <c r="DO56" s="818"/>
      <c r="DP56" s="818"/>
      <c r="DQ56" s="818"/>
      <c r="DR56" s="818"/>
      <c r="DS56" s="818"/>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1"/>
      <c r="FX60" s="81"/>
      <c r="FY60" s="81"/>
      <c r="FZ60" s="81"/>
      <c r="GA60" s="81"/>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1"/>
      <c r="FX61" s="81"/>
      <c r="FY61" s="81"/>
      <c r="FZ61" s="81"/>
      <c r="GA61" s="81"/>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1"/>
      <c r="DY62" s="211"/>
      <c r="DZ62" s="211"/>
      <c r="EA62" s="211"/>
      <c r="EB62" s="211"/>
      <c r="EC62" s="211"/>
      <c r="ED62" s="211"/>
      <c r="EE62" s="211"/>
      <c r="EF62" s="211"/>
      <c r="EG62" s="211"/>
      <c r="EH62" s="211"/>
      <c r="EI62" s="211"/>
      <c r="EJ62" s="99"/>
      <c r="EK62" s="800" t="s">
        <v>12364</v>
      </c>
      <c r="EL62" s="801"/>
      <c r="EM62" s="801"/>
      <c r="EN62" s="801"/>
      <c r="EO62" s="801"/>
      <c r="EP62" s="801"/>
      <c r="EQ62" s="801"/>
      <c r="ER62" s="802"/>
      <c r="ES62" s="143"/>
      <c r="EW62" s="81"/>
      <c r="EX62" s="81"/>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1"/>
      <c r="FX62" s="81"/>
      <c r="FY62" s="81"/>
      <c r="FZ62" s="81"/>
      <c r="GA62" s="81"/>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1"/>
      <c r="DY63" s="211"/>
      <c r="DZ63" s="211"/>
      <c r="EA63" s="211"/>
      <c r="EB63" s="211"/>
      <c r="EC63" s="211"/>
      <c r="ED63" s="211"/>
      <c r="EE63" s="211"/>
      <c r="EF63" s="211"/>
      <c r="EG63" s="211"/>
      <c r="EH63" s="211"/>
      <c r="EI63" s="211"/>
      <c r="EJ63" s="208"/>
      <c r="EK63" s="803"/>
      <c r="EL63" s="804"/>
      <c r="EM63" s="804"/>
      <c r="EN63" s="804"/>
      <c r="EO63" s="804"/>
      <c r="EP63" s="804"/>
      <c r="EQ63" s="804"/>
      <c r="ER63" s="805"/>
      <c r="ES63" s="101"/>
      <c r="EW63" s="81"/>
      <c r="EX63" s="81"/>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1"/>
      <c r="FX63" s="81"/>
      <c r="FY63" s="81"/>
      <c r="FZ63" s="81"/>
      <c r="GA63" s="81"/>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6" t="s">
        <v>12326</v>
      </c>
      <c r="BK64" s="806"/>
      <c r="BL64" s="806"/>
      <c r="BM64" s="806"/>
      <c r="BN64" s="806"/>
      <c r="BO64" s="806"/>
      <c r="BP64" s="806"/>
      <c r="BQ64" s="806"/>
      <c r="BR64" s="806"/>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2"/>
      <c r="DY64" s="212"/>
      <c r="DZ64" s="212"/>
      <c r="EA64" s="212"/>
      <c r="EB64" s="212"/>
      <c r="EC64" s="212"/>
      <c r="ED64" s="212"/>
      <c r="EE64" s="212"/>
      <c r="EF64" s="212"/>
      <c r="EG64" s="212"/>
      <c r="EH64" s="212"/>
      <c r="EI64" s="212"/>
      <c r="EJ64" s="209"/>
      <c r="EK64" s="758" t="s">
        <v>12366</v>
      </c>
      <c r="EL64" s="759"/>
      <c r="EM64" s="759"/>
      <c r="EN64" s="760"/>
      <c r="EO64" s="764" t="s">
        <v>12367</v>
      </c>
      <c r="EP64" s="759"/>
      <c r="EQ64" s="759"/>
      <c r="ER64" s="760"/>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7"/>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9"/>
      <c r="BT65" s="101"/>
      <c r="BU65" s="107"/>
      <c r="BV65" s="107"/>
      <c r="CB65" s="97"/>
      <c r="CC65" s="98"/>
      <c r="CD65" s="698" t="s">
        <v>42</v>
      </c>
      <c r="CE65" s="698"/>
      <c r="CF65" s="698"/>
      <c r="CG65" s="698"/>
      <c r="CH65" s="698"/>
      <c r="CI65" s="698"/>
      <c r="CJ65" s="698"/>
      <c r="CK65" s="698"/>
      <c r="CL65" s="698"/>
      <c r="CM65" s="698"/>
      <c r="CN65" s="698" t="str">
        <f>VLOOKUP($D$11,調査票①!$A$3:$HK$1735,212,FALSE)&amp;""</f>
        <v>○</v>
      </c>
      <c r="CO65" s="698"/>
      <c r="CP65" s="698"/>
      <c r="CQ65" s="698"/>
      <c r="CR65" s="698"/>
      <c r="CS65" s="698"/>
      <c r="CT65" s="698"/>
      <c r="CU65" s="698"/>
      <c r="CV65" s="698"/>
      <c r="CW65" s="698"/>
      <c r="CX65" s="698"/>
      <c r="CY65" s="698"/>
      <c r="CZ65" s="698"/>
      <c r="DA65" s="698"/>
      <c r="DB65" s="99"/>
      <c r="DC65" s="99"/>
      <c r="DD65" s="124"/>
      <c r="DE65" s="124"/>
      <c r="DF65" s="124"/>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2"/>
      <c r="EG65" s="212"/>
      <c r="EH65" s="212"/>
      <c r="EI65" s="212"/>
      <c r="EJ65" s="210"/>
      <c r="EK65" s="761"/>
      <c r="EL65" s="762"/>
      <c r="EM65" s="762"/>
      <c r="EN65" s="763"/>
      <c r="EO65" s="761"/>
      <c r="EP65" s="762"/>
      <c r="EQ65" s="762"/>
      <c r="ER65" s="763"/>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7"/>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9"/>
      <c r="BT66" s="101"/>
      <c r="BU66" s="107"/>
      <c r="BV66" s="107"/>
      <c r="CB66" s="97"/>
      <c r="CC66" s="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9"/>
      <c r="DC66" s="99"/>
      <c r="DD66" s="124"/>
      <c r="DE66" s="124"/>
      <c r="DF66" s="124"/>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6"/>
      <c r="EG66" s="146"/>
      <c r="EH66" s="146"/>
      <c r="EI66" s="146"/>
      <c r="EJ66" s="210"/>
      <c r="EK66" s="752">
        <f>VLOOKUP($AK$11,導入率!A4:AX37,47,FALSE)</f>
        <v>0.76190476190476186</v>
      </c>
      <c r="EL66" s="753"/>
      <c r="EM66" s="753"/>
      <c r="EN66" s="754"/>
      <c r="EO66" s="752">
        <f>VLOOKUP($AK$11,導入率!A4:AX37,48,FALSE)</f>
        <v>0.23809523809523808</v>
      </c>
      <c r="EP66" s="753"/>
      <c r="EQ66" s="753"/>
      <c r="ER66" s="754"/>
      <c r="ES66" s="101"/>
    </row>
    <row r="67" spans="3:203" ht="20.399999999999999" customHeight="1">
      <c r="C67" s="97"/>
      <c r="D67" s="700" t="s">
        <v>12377</v>
      </c>
      <c r="E67" s="700"/>
      <c r="F67" s="700"/>
      <c r="G67" s="700"/>
      <c r="H67" s="700"/>
      <c r="I67" s="700"/>
      <c r="J67" s="700"/>
      <c r="K67" s="700"/>
      <c r="L67" s="706" t="str">
        <f>VLOOKUP($D$11,調査票①!$A$3:$HK$1735,56,FALSE)&amp;""</f>
        <v>6</v>
      </c>
      <c r="M67" s="706"/>
      <c r="N67" s="706"/>
      <c r="O67" s="706">
        <f>VLOOKUP($D$11,調査票①!$A$3:$HK$1735,57,FALSE)</f>
        <v>2</v>
      </c>
      <c r="P67" s="706"/>
      <c r="Q67" s="706"/>
      <c r="R67" s="707">
        <f>VLOOKUP($D$11,調査票①!$A$3:$HK$1735,58,FALSE)</f>
        <v>0.33333333333333331</v>
      </c>
      <c r="S67" s="707"/>
      <c r="T67" s="707"/>
      <c r="U67" s="708" t="str">
        <f>VLOOKUP($D$11,調査票①!$A$3:$HK$1735,59,FALSE)&amp;""</f>
        <v>指定管理者制度を使うことでコスト増が見込まれる。</v>
      </c>
      <c r="V67" s="709"/>
      <c r="W67" s="709"/>
      <c r="X67" s="709"/>
      <c r="Y67" s="709"/>
      <c r="Z67" s="709"/>
      <c r="AA67" s="709"/>
      <c r="AB67" s="709"/>
      <c r="AC67" s="709"/>
      <c r="AD67" s="709"/>
      <c r="AE67" s="709"/>
      <c r="AF67" s="709"/>
      <c r="AG67" s="709"/>
      <c r="AH67" s="709"/>
      <c r="AI67" s="710"/>
      <c r="AJ67" s="700" t="str">
        <f>VLOOKUP($D$11,調査票①!$A$3:$HK$1735,60,FALSE)&amp;""</f>
        <v>0</v>
      </c>
      <c r="AK67" s="700"/>
      <c r="AL67" s="700"/>
      <c r="AM67" s="715" t="str">
        <f>VLOOKUP($D$11,調査票①!$A$3:$HK$1735,61,FALSE)&amp;""</f>
        <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0.60264900662251653</v>
      </c>
      <c r="BK67" s="722"/>
      <c r="BL67" s="722"/>
      <c r="BM67" s="722"/>
      <c r="BN67" s="723"/>
      <c r="BO67" s="727">
        <f>調査票①!BF1730</f>
        <v>0.40145623034916433</v>
      </c>
      <c r="BP67" s="728"/>
      <c r="BQ67" s="728"/>
      <c r="BR67" s="729"/>
      <c r="BS67" s="99"/>
      <c r="BT67" s="101"/>
      <c r="CB67" s="97"/>
      <c r="CC67" s="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9"/>
      <c r="DC67" s="99"/>
      <c r="DD67" s="124"/>
      <c r="DE67" s="124"/>
      <c r="DF67" s="124"/>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6"/>
      <c r="EG67" s="146"/>
      <c r="EH67" s="146"/>
      <c r="EI67" s="146"/>
      <c r="EJ67" s="210"/>
      <c r="EK67" s="755"/>
      <c r="EL67" s="756"/>
      <c r="EM67" s="756"/>
      <c r="EN67" s="757"/>
      <c r="EO67" s="755"/>
      <c r="EP67" s="756"/>
      <c r="EQ67" s="756"/>
      <c r="ER67" s="757"/>
      <c r="ES67" s="101"/>
    </row>
    <row r="68" spans="3:203" ht="20.399999999999999" customHeight="1">
      <c r="C68" s="97"/>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9"/>
      <c r="BT68" s="101"/>
      <c r="CB68" s="97"/>
      <c r="CC68" s="98"/>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9"/>
      <c r="DC68" s="99"/>
      <c r="DD68" s="99"/>
      <c r="DE68" s="99"/>
      <c r="DF68" s="99"/>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7"/>
      <c r="EG68" s="147"/>
      <c r="EH68" s="147"/>
      <c r="EI68" s="147"/>
      <c r="EJ68" s="148"/>
      <c r="EK68" s="765" t="s">
        <v>71</v>
      </c>
      <c r="EL68" s="766"/>
      <c r="EM68" s="766"/>
      <c r="EN68" s="766"/>
      <c r="EO68" s="766"/>
      <c r="EP68" s="766"/>
      <c r="EQ68" s="766"/>
      <c r="ER68" s="767"/>
      <c r="ES68" s="101"/>
    </row>
    <row r="69" spans="3:203" ht="20.399999999999999" customHeight="1">
      <c r="C69" s="97"/>
      <c r="D69" s="748" t="s">
        <v>12378</v>
      </c>
      <c r="E69" s="700"/>
      <c r="F69" s="700"/>
      <c r="G69" s="700"/>
      <c r="H69" s="700"/>
      <c r="I69" s="700"/>
      <c r="J69" s="700"/>
      <c r="K69" s="700"/>
      <c r="L69" s="706" t="str">
        <f>VLOOKUP($D$11,調査票①!$A$3:$HK$1735,62,FALSE)&amp;""</f>
        <v>16</v>
      </c>
      <c r="M69" s="706"/>
      <c r="N69" s="706"/>
      <c r="O69" s="706">
        <f>VLOOKUP($D$11,調査票①!$A$3:$HK$1735,63,FALSE)</f>
        <v>5</v>
      </c>
      <c r="P69" s="706"/>
      <c r="Q69" s="706"/>
      <c r="R69" s="771">
        <f>VLOOKUP($D$11,調査票①!$A$3:$HK$1735,64,FALSE)</f>
        <v>0.3125</v>
      </c>
      <c r="S69" s="771"/>
      <c r="T69" s="771"/>
      <c r="U69" s="708" t="str">
        <f>VLOOKUP($D$11,調査票①!$A$3:$HK$1735,65,FALSE)&amp;""</f>
        <v>指定管理者制度を使うことでコスト増が見込まれる。</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0.61068702290076338</v>
      </c>
      <c r="BK69" s="722"/>
      <c r="BL69" s="722"/>
      <c r="BM69" s="722"/>
      <c r="BN69" s="723"/>
      <c r="BO69" s="727">
        <f>調査票①!BL1730</f>
        <v>0.48424486992358545</v>
      </c>
      <c r="BP69" s="728"/>
      <c r="BQ69" s="728"/>
      <c r="BR69" s="729"/>
      <c r="BS69" s="99"/>
      <c r="BT69" s="101"/>
      <c r="CB69" s="97"/>
      <c r="CC69" s="99"/>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9"/>
      <c r="DC69" s="99"/>
      <c r="DD69" s="98"/>
      <c r="DE69" s="98"/>
      <c r="DF69" s="98"/>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8"/>
      <c r="EG69" s="98"/>
      <c r="EH69" s="98"/>
      <c r="EI69" s="98"/>
      <c r="EJ69" s="99"/>
      <c r="EK69" s="768"/>
      <c r="EL69" s="769"/>
      <c r="EM69" s="769"/>
      <c r="EN69" s="769"/>
      <c r="EO69" s="769"/>
      <c r="EP69" s="769"/>
      <c r="EQ69" s="769"/>
      <c r="ER69" s="770"/>
      <c r="ES69" s="101"/>
    </row>
    <row r="70" spans="3:203" ht="20.399999999999999" customHeight="1">
      <c r="C70" s="97"/>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9"/>
      <c r="BT70" s="101"/>
      <c r="CB70" s="97"/>
      <c r="CC70" s="98"/>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9"/>
      <c r="DC70" s="99"/>
      <c r="DD70" s="98"/>
      <c r="DE70" s="98"/>
      <c r="DF70" s="98"/>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8"/>
      <c r="EG70" s="98"/>
      <c r="EH70" s="98"/>
      <c r="EI70" s="98"/>
      <c r="EJ70" s="99"/>
      <c r="EK70" s="758" t="s">
        <v>12366</v>
      </c>
      <c r="EL70" s="759"/>
      <c r="EM70" s="759"/>
      <c r="EN70" s="760"/>
      <c r="EO70" s="764" t="s">
        <v>12367</v>
      </c>
      <c r="EP70" s="759"/>
      <c r="EQ70" s="759"/>
      <c r="ER70" s="760"/>
      <c r="ES70" s="101"/>
    </row>
    <row r="71" spans="3:203" ht="20.399999999999999" customHeight="1">
      <c r="C71" s="97"/>
      <c r="D71" s="700" t="s">
        <v>12379</v>
      </c>
      <c r="E71" s="700"/>
      <c r="F71" s="700"/>
      <c r="G71" s="700"/>
      <c r="H71" s="700"/>
      <c r="I71" s="700"/>
      <c r="J71" s="700"/>
      <c r="K71" s="700"/>
      <c r="L71" s="706">
        <f>VLOOKUP($D$11,調査票①!$A$3:$HK$1735,68,FALSE)</f>
        <v>2</v>
      </c>
      <c r="M71" s="706"/>
      <c r="N71" s="706"/>
      <c r="O71" s="706">
        <f>VLOOKUP($D$11,調査票①!$A$3:$HK$1735,69,FALSE)</f>
        <v>1</v>
      </c>
      <c r="P71" s="706"/>
      <c r="Q71" s="706"/>
      <c r="R71" s="750">
        <f>VLOOKUP($D$11,調査票①!$A$3:$HK$1735,70,FALSE)</f>
        <v>0.5</v>
      </c>
      <c r="S71" s="750"/>
      <c r="T71" s="750"/>
      <c r="U71" s="708" t="str">
        <f>VLOOKUP($D$11,調査票①!$A$3:$HK$1735,71,FALSE)&amp;""</f>
        <v>指定管理者制度を使うことでコスト増が見込まれる。</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0.72916666666666663</v>
      </c>
      <c r="BK71" s="722"/>
      <c r="BL71" s="722"/>
      <c r="BM71" s="722"/>
      <c r="BN71" s="723"/>
      <c r="BO71" s="727">
        <f>調査票①!BR1730</f>
        <v>0.51994621246077988</v>
      </c>
      <c r="BP71" s="728"/>
      <c r="BQ71" s="728"/>
      <c r="BR71" s="729"/>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1"/>
      <c r="EL71" s="762"/>
      <c r="EM71" s="762"/>
      <c r="EN71" s="763"/>
      <c r="EO71" s="761"/>
      <c r="EP71" s="762"/>
      <c r="EQ71" s="762"/>
      <c r="ER71" s="763"/>
      <c r="ES71" s="101"/>
    </row>
    <row r="72" spans="3:203" ht="20.399999999999999" customHeight="1">
      <c r="C72" s="97"/>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2">
        <f>調査票①!HE1731</f>
        <v>0.41429401510749564</v>
      </c>
      <c r="EL72" s="753"/>
      <c r="EM72" s="753"/>
      <c r="EN72" s="754"/>
      <c r="EO72" s="752">
        <f>1-EK72</f>
        <v>0.58570598489250436</v>
      </c>
      <c r="EP72" s="753"/>
      <c r="EQ72" s="753"/>
      <c r="ER72" s="754"/>
      <c r="ES72" s="101"/>
    </row>
    <row r="73" spans="3:203" ht="20.399999999999999" customHeight="1">
      <c r="C73" s="97"/>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v>
      </c>
      <c r="BK73" s="722"/>
      <c r="BL73" s="722"/>
      <c r="BM73" s="722"/>
      <c r="BN73" s="723"/>
      <c r="BO73" s="727">
        <f>調査票①!BX1730</f>
        <v>0.13659793814432988</v>
      </c>
      <c r="BP73" s="728"/>
      <c r="BQ73" s="728"/>
      <c r="BR73" s="729"/>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5"/>
      <c r="EL73" s="756"/>
      <c r="EM73" s="756"/>
      <c r="EN73" s="757"/>
      <c r="EO73" s="755"/>
      <c r="EP73" s="756"/>
      <c r="EQ73" s="756"/>
      <c r="ER73" s="757"/>
      <c r="ES73" s="101"/>
    </row>
    <row r="74" spans="3:203" ht="20.399999999999999" customHeight="1">
      <c r="C74" s="97"/>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8"/>
      <c r="EK74" s="118"/>
      <c r="EL74" s="118"/>
      <c r="EM74" s="118"/>
      <c r="EN74" s="118"/>
      <c r="EO74" s="118"/>
      <c r="EP74" s="118"/>
      <c r="EQ74" s="118"/>
      <c r="ER74" s="118"/>
      <c r="ES74" s="119"/>
    </row>
    <row r="75" spans="3:203" ht="20.399999999999999" customHeight="1">
      <c r="C75" s="97"/>
      <c r="D75" s="734" t="s">
        <v>12381</v>
      </c>
      <c r="E75" s="735"/>
      <c r="F75" s="735"/>
      <c r="G75" s="735"/>
      <c r="H75" s="735"/>
      <c r="I75" s="735"/>
      <c r="J75" s="735"/>
      <c r="K75" s="735"/>
      <c r="L75" s="706">
        <f>VLOOKUP($D$11,調査票①!$A$3:$HK$1735,80,FALSE)</f>
        <v>0</v>
      </c>
      <c r="M75" s="706"/>
      <c r="N75" s="706"/>
      <c r="O75" s="706">
        <f>VLOOKUP($D$11,調査票①!$A$3:$HK$1735,81,FALSE)</f>
        <v>0</v>
      </c>
      <c r="P75" s="706"/>
      <c r="Q75" s="706"/>
      <c r="R75" s="707" t="str">
        <f>VLOOKUP($D$11,調査票①!$A$3:$HK$1735,82,FALSE)</f>
        <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0.92307692307692313</v>
      </c>
      <c r="BK75" s="722"/>
      <c r="BL75" s="722"/>
      <c r="BM75" s="722"/>
      <c r="BN75" s="723"/>
      <c r="BO75" s="727">
        <f>調査票①!CD1730</f>
        <v>0.84967919340054998</v>
      </c>
      <c r="BP75" s="728"/>
      <c r="BQ75" s="728"/>
      <c r="BR75" s="729"/>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7"/>
      <c r="DE75" s="207"/>
      <c r="DF75" s="207"/>
      <c r="DG75" s="207"/>
      <c r="DH75" s="207"/>
      <c r="DI75" s="207"/>
      <c r="DJ75" s="204"/>
      <c r="DK75" s="204"/>
      <c r="DL75" s="204"/>
      <c r="DM75" s="20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7"/>
      <c r="DE76" s="207"/>
      <c r="DF76" s="207"/>
      <c r="DG76" s="207"/>
      <c r="DH76" s="207"/>
      <c r="DI76" s="207"/>
      <c r="DJ76" s="205"/>
      <c r="DK76" s="205"/>
      <c r="DL76" s="205"/>
      <c r="DM76" s="205"/>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4" t="s">
        <v>12382</v>
      </c>
      <c r="E77" s="735"/>
      <c r="F77" s="735"/>
      <c r="G77" s="735"/>
      <c r="H77" s="735"/>
      <c r="I77" s="735"/>
      <c r="J77" s="735"/>
      <c r="K77" s="735"/>
      <c r="L77" s="706">
        <f>VLOOKUP($D$11,調査票①!$A$3:$HK$1735,86,FALSE)</f>
        <v>6</v>
      </c>
      <c r="M77" s="706"/>
      <c r="N77" s="706"/>
      <c r="O77" s="706">
        <f>VLOOKUP($D$11,調査票①!$A$3:$HK$1735,87,FALSE)</f>
        <v>5</v>
      </c>
      <c r="P77" s="706"/>
      <c r="Q77" s="706"/>
      <c r="R77" s="707">
        <f>VLOOKUP($D$11,調査票①!$A$3:$HK$1735,88,FALSE)</f>
        <v>0.83333333333333337</v>
      </c>
      <c r="S77" s="707"/>
      <c r="T77" s="707"/>
      <c r="U77" s="708" t="str">
        <f>VLOOKUP($D$11,調査票①!$A$3:$HK$1735,89,FALSE)&amp;""</f>
        <v>当該施設は複合施設の一部分を利用しており、施設の大部分が公民館となっていることから、指定管理者制度の導入に課題が多い。</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0.8571428571428571</v>
      </c>
      <c r="BK77" s="722"/>
      <c r="BL77" s="722"/>
      <c r="BM77" s="722"/>
      <c r="BN77" s="723"/>
      <c r="BO77" s="727">
        <f>調査票①!CJ1730</f>
        <v>0.7562862669245648</v>
      </c>
      <c r="BP77" s="728"/>
      <c r="BQ77" s="728"/>
      <c r="BR77" s="729"/>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4"/>
      <c r="ER77" s="84"/>
      <c r="ES77" s="84"/>
    </row>
    <row r="78" spans="3:203" ht="20.399999999999999" customHeight="1">
      <c r="C78" s="97"/>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9"/>
      <c r="BT78" s="101"/>
      <c r="CB78" s="93"/>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5"/>
      <c r="DB78" s="95"/>
      <c r="DC78" s="95"/>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5"/>
      <c r="ER78" s="95"/>
      <c r="ES78" s="96"/>
    </row>
    <row r="79" spans="3:203" ht="20.399999999999999" customHeight="1">
      <c r="C79" s="97"/>
      <c r="D79" s="700" t="s">
        <v>12383</v>
      </c>
      <c r="E79" s="700"/>
      <c r="F79" s="700"/>
      <c r="G79" s="700"/>
      <c r="H79" s="700"/>
      <c r="I79" s="700"/>
      <c r="J79" s="700"/>
      <c r="K79" s="700"/>
      <c r="L79" s="706" t="str">
        <f>VLOOKUP($D$11,調査票①!$A$3:$HK$1735,92,FALSE)&amp;""</f>
        <v>4</v>
      </c>
      <c r="M79" s="706"/>
      <c r="N79" s="706"/>
      <c r="O79" s="706">
        <f>VLOOKUP($D$11,調査票①!$A$3:$HK$1735,93,FALSE)</f>
        <v>1</v>
      </c>
      <c r="P79" s="706"/>
      <c r="Q79" s="706"/>
      <c r="R79" s="707">
        <f>VLOOKUP($D$11,調査票①!$A$3:$HK$1735,94,FALSE)</f>
        <v>0.25</v>
      </c>
      <c r="S79" s="707"/>
      <c r="T79" s="707"/>
      <c r="U79" s="708" t="str">
        <f>VLOOKUP($D$11,調査票①!$A$3:$HK$1735,95,FALSE)&amp;""</f>
        <v>指定管理者制度を使うことでコスト増が見込まれる。</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0.70731707317073167</v>
      </c>
      <c r="BK79" s="722"/>
      <c r="BL79" s="722"/>
      <c r="BM79" s="722"/>
      <c r="BN79" s="723"/>
      <c r="BO79" s="727">
        <f>調査票①!CP1730</f>
        <v>0.59190957763236174</v>
      </c>
      <c r="BP79" s="728"/>
      <c r="BQ79" s="728"/>
      <c r="BR79" s="729"/>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9"/>
      <c r="ER79" s="99"/>
      <c r="ES79" s="101"/>
    </row>
    <row r="80" spans="3:203" ht="20.399999999999999" customHeight="1">
      <c r="C80" s="97"/>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9"/>
      <c r="ER80" s="99"/>
      <c r="ES80" s="101"/>
    </row>
    <row r="81" spans="3:149" ht="20.399999999999999" customHeight="1">
      <c r="C81" s="97"/>
      <c r="D81" s="700" t="s">
        <v>12384</v>
      </c>
      <c r="E81" s="700"/>
      <c r="F81" s="700"/>
      <c r="G81" s="700"/>
      <c r="H81" s="700"/>
      <c r="I81" s="700"/>
      <c r="J81" s="700"/>
      <c r="K81" s="700"/>
      <c r="L81" s="706">
        <f>VLOOKUP($D$11,調査票①!$A$3:$HK$1735,98,FALSE)</f>
        <v>2</v>
      </c>
      <c r="M81" s="706"/>
      <c r="N81" s="706"/>
      <c r="O81" s="706">
        <f>VLOOKUP($D$11,調査票①!$A$3:$HK$1735,99,FALSE)</f>
        <v>1</v>
      </c>
      <c r="P81" s="706"/>
      <c r="Q81" s="706"/>
      <c r="R81" s="707">
        <f>VLOOKUP($D$11,調査票①!$A$3:$HK$1735,100,FALSE)</f>
        <v>0.5</v>
      </c>
      <c r="S81" s="707"/>
      <c r="T81" s="707"/>
      <c r="U81" s="708" t="str">
        <f>VLOOKUP($D$11,調査票①!$A$3:$HK$1735,101,FALSE)&amp;""</f>
        <v>指定管理者制度を使うことでコスト増が見込まれる。</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0.80434782608695654</v>
      </c>
      <c r="BK81" s="722"/>
      <c r="BL81" s="722"/>
      <c r="BM81" s="722"/>
      <c r="BN81" s="723"/>
      <c r="BO81" s="727">
        <f>調査票①!CV1730</f>
        <v>0.75</v>
      </c>
      <c r="BP81" s="728"/>
      <c r="BQ81" s="728"/>
      <c r="BR81" s="729"/>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9"/>
      <c r="BT82" s="101"/>
      <c r="CB82" s="97"/>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9"/>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99"/>
      <c r="DW82" s="99"/>
      <c r="DX82" s="99"/>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99"/>
      <c r="EQ82" s="99"/>
      <c r="ER82" s="99"/>
      <c r="ES82" s="101"/>
    </row>
    <row r="83" spans="3:149" ht="20.399999999999999" customHeight="1">
      <c r="C83" s="97"/>
      <c r="D83" s="735" t="s">
        <v>12385</v>
      </c>
      <c r="E83" s="735"/>
      <c r="F83" s="735"/>
      <c r="G83" s="735"/>
      <c r="H83" s="735"/>
      <c r="I83" s="735"/>
      <c r="J83" s="735"/>
      <c r="K83" s="735"/>
      <c r="L83" s="706">
        <f>VLOOKUP($D$11,調査票①!$A$3:$HK$1735,104,FALSE)</f>
        <v>2</v>
      </c>
      <c r="M83" s="706"/>
      <c r="N83" s="706"/>
      <c r="O83" s="706">
        <f>VLOOKUP($D$11,調査票①!$A$3:$HK$1735,105,FALSE)</f>
        <v>1</v>
      </c>
      <c r="P83" s="706"/>
      <c r="Q83" s="706"/>
      <c r="R83" s="707">
        <f>VLOOKUP($D$11,調査票①!$A$3:$HK$1735,106,FALSE)</f>
        <v>0.5</v>
      </c>
      <c r="S83" s="707"/>
      <c r="T83" s="707"/>
      <c r="U83" s="708" t="str">
        <f>VLOOKUP($D$11,調査票①!$A$3:$HK$1735,107,FALSE)&amp;""</f>
        <v>収入が見込めない施設であり、指定管理者制度を使うことでコスト増が見込まれる。</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0.76470588235294112</v>
      </c>
      <c r="BK83" s="722"/>
      <c r="BL83" s="722"/>
      <c r="BM83" s="722"/>
      <c r="BN83" s="723"/>
      <c r="BO83" s="727">
        <f>調査票①!DB1730</f>
        <v>0.65762711864406775</v>
      </c>
      <c r="BP83" s="728"/>
      <c r="BQ83" s="728"/>
      <c r="BR83" s="729"/>
      <c r="BS83" s="99"/>
      <c r="BT83" s="101"/>
      <c r="CB83" s="97"/>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9"/>
      <c r="DB83" s="698"/>
      <c r="DC83" s="698"/>
      <c r="DD83" s="698"/>
      <c r="DE83" s="698"/>
      <c r="DF83" s="698"/>
      <c r="DG83" s="698"/>
      <c r="DH83" s="698"/>
      <c r="DI83" s="698"/>
      <c r="DJ83" s="698"/>
      <c r="DK83" s="698"/>
      <c r="DL83" s="698"/>
      <c r="DM83" s="698"/>
      <c r="DN83" s="698"/>
      <c r="DO83" s="698"/>
      <c r="DP83" s="698"/>
      <c r="DQ83" s="698"/>
      <c r="DR83" s="698"/>
      <c r="DS83" s="698"/>
      <c r="DT83" s="698"/>
      <c r="DU83" s="698"/>
      <c r="DV83" s="99"/>
      <c r="DW83" s="99"/>
      <c r="DX83" s="99"/>
      <c r="DY83" s="700"/>
      <c r="DZ83" s="700"/>
      <c r="EA83" s="700"/>
      <c r="EB83" s="700"/>
      <c r="EC83" s="700"/>
      <c r="ED83" s="700"/>
      <c r="EE83" s="700"/>
      <c r="EF83" s="700"/>
      <c r="EG83" s="950"/>
      <c r="EH83" s="950"/>
      <c r="EI83" s="950"/>
      <c r="EJ83" s="950"/>
      <c r="EK83" s="950"/>
      <c r="EL83" s="950"/>
      <c r="EM83" s="950"/>
      <c r="EN83" s="950"/>
      <c r="EO83" s="950"/>
      <c r="EP83" s="99"/>
      <c r="EQ83" s="99"/>
      <c r="ER83" s="99"/>
      <c r="ES83" s="101"/>
    </row>
    <row r="84" spans="3:149" ht="20.399999999999999" customHeight="1">
      <c r="C84" s="97"/>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9"/>
      <c r="BT84" s="101"/>
      <c r="CB84" s="97"/>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9"/>
      <c r="DB84" s="698"/>
      <c r="DC84" s="698"/>
      <c r="DD84" s="698"/>
      <c r="DE84" s="698"/>
      <c r="DF84" s="698"/>
      <c r="DG84" s="698"/>
      <c r="DH84" s="698"/>
      <c r="DI84" s="698"/>
      <c r="DJ84" s="698"/>
      <c r="DK84" s="698"/>
      <c r="DL84" s="698"/>
      <c r="DM84" s="698"/>
      <c r="DN84" s="698"/>
      <c r="DO84" s="698"/>
      <c r="DP84" s="698"/>
      <c r="DQ84" s="698"/>
      <c r="DR84" s="698"/>
      <c r="DS84" s="698"/>
      <c r="DT84" s="698"/>
      <c r="DU84" s="698"/>
      <c r="DV84" s="99"/>
      <c r="DW84" s="99"/>
      <c r="DX84" s="99"/>
      <c r="DY84" s="700"/>
      <c r="DZ84" s="700"/>
      <c r="EA84" s="700"/>
      <c r="EB84" s="700"/>
      <c r="EC84" s="700"/>
      <c r="ED84" s="700"/>
      <c r="EE84" s="700"/>
      <c r="EF84" s="700"/>
      <c r="EG84" s="950"/>
      <c r="EH84" s="950"/>
      <c r="EI84" s="950"/>
      <c r="EJ84" s="950"/>
      <c r="EK84" s="950"/>
      <c r="EL84" s="950"/>
      <c r="EM84" s="950"/>
      <c r="EN84" s="950"/>
      <c r="EO84" s="950"/>
      <c r="EP84" s="99"/>
      <c r="EQ84" s="99"/>
      <c r="ER84" s="99"/>
      <c r="ES84" s="101"/>
    </row>
    <row r="85" spans="3:149" ht="20.399999999999999" customHeight="1">
      <c r="C85" s="97"/>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v>
      </c>
      <c r="BK85" s="722"/>
      <c r="BL85" s="722"/>
      <c r="BM85" s="722"/>
      <c r="BN85" s="723"/>
      <c r="BO85" s="727">
        <f>調査票①!DH1730</f>
        <v>0.40229885057471265</v>
      </c>
      <c r="BP85" s="728"/>
      <c r="BQ85" s="728"/>
      <c r="BR85" s="729"/>
      <c r="BS85" s="99"/>
      <c r="BT85" s="101"/>
      <c r="CB85" s="97"/>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9"/>
      <c r="DB85" s="698"/>
      <c r="DC85" s="698"/>
      <c r="DD85" s="698"/>
      <c r="DE85" s="698"/>
      <c r="DF85" s="698"/>
      <c r="DG85" s="698"/>
      <c r="DH85" s="698"/>
      <c r="DI85" s="698"/>
      <c r="DJ85" s="698"/>
      <c r="DK85" s="698"/>
      <c r="DL85" s="698"/>
      <c r="DM85" s="698"/>
      <c r="DN85" s="698"/>
      <c r="DO85" s="698"/>
      <c r="DP85" s="698"/>
      <c r="DQ85" s="698"/>
      <c r="DR85" s="698"/>
      <c r="DS85" s="698"/>
      <c r="DT85" s="698"/>
      <c r="DU85" s="698"/>
      <c r="DV85" s="99"/>
      <c r="DW85" s="99"/>
      <c r="DX85" s="99"/>
      <c r="DY85" s="700"/>
      <c r="DZ85" s="700"/>
      <c r="EA85" s="700"/>
      <c r="EB85" s="700"/>
      <c r="EC85" s="700"/>
      <c r="ED85" s="700"/>
      <c r="EE85" s="700"/>
      <c r="EF85" s="700"/>
      <c r="EG85" s="950"/>
      <c r="EH85" s="950"/>
      <c r="EI85" s="950"/>
      <c r="EJ85" s="950"/>
      <c r="EK85" s="950"/>
      <c r="EL85" s="950"/>
      <c r="EM85" s="950"/>
      <c r="EN85" s="950"/>
      <c r="EO85" s="950"/>
      <c r="EP85" s="99"/>
      <c r="EQ85" s="99"/>
      <c r="ER85" s="99"/>
      <c r="ES85" s="101"/>
    </row>
    <row r="86" spans="3:149" ht="20.399999999999999" customHeight="1">
      <c r="C86" s="97"/>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0" t="s">
        <v>12387</v>
      </c>
      <c r="E87" s="700"/>
      <c r="F87" s="700"/>
      <c r="G87" s="700"/>
      <c r="H87" s="700"/>
      <c r="I87" s="700"/>
      <c r="J87" s="700"/>
      <c r="K87" s="700"/>
      <c r="L87" s="706">
        <f>VLOOKUP($D$11,調査票①!$A$3:$HK$1735,116,FALSE)</f>
        <v>0</v>
      </c>
      <c r="M87" s="706"/>
      <c r="N87" s="706"/>
      <c r="O87" s="706">
        <f>VLOOKUP($D$11,調査票①!$A$3:$HK$1735,117,FALSE)</f>
        <v>0</v>
      </c>
      <c r="P87" s="706"/>
      <c r="Q87" s="706"/>
      <c r="R87" s="707" t="str">
        <f>VLOOKUP($D$11,調査票①!$A$3:$HK$1735,118,FALSE)</f>
        <v/>
      </c>
      <c r="S87" s="707"/>
      <c r="T87" s="707"/>
      <c r="U87" s="708" t="str">
        <f>VLOOKUP($D$11,調査票①!$A$3:$HK$1735,119,FALSE)&amp;""</f>
        <v>　</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0.46938775510204084</v>
      </c>
      <c r="BK87" s="722"/>
      <c r="BL87" s="722"/>
      <c r="BM87" s="722"/>
      <c r="BN87" s="723"/>
      <c r="BO87" s="727">
        <f>調査票①!DN1730</f>
        <v>0.44166157605375689</v>
      </c>
      <c r="BP87" s="728"/>
      <c r="BQ87" s="728"/>
      <c r="BR87" s="729"/>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9"/>
      <c r="BT88" s="101"/>
      <c r="CB88" s="97"/>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0" t="s">
        <v>12388</v>
      </c>
      <c r="E89" s="700"/>
      <c r="F89" s="700"/>
      <c r="G89" s="700"/>
      <c r="H89" s="700"/>
      <c r="I89" s="700"/>
      <c r="J89" s="700"/>
      <c r="K89" s="700"/>
      <c r="L89" s="706">
        <f>VLOOKUP($D$11,調査票①!$A$3:$HK$1735,122,FALSE)</f>
        <v>1</v>
      </c>
      <c r="M89" s="706"/>
      <c r="N89" s="706"/>
      <c r="O89" s="706">
        <f>VLOOKUP($D$11,調査票①!$A$3:$HK$1735,123,FALSE)</f>
        <v>0</v>
      </c>
      <c r="P89" s="706"/>
      <c r="Q89" s="706"/>
      <c r="R89" s="707">
        <f>VLOOKUP($D$11,調査票①!$A$3:$HK$1735,124,FALSE)</f>
        <v>0</v>
      </c>
      <c r="S89" s="707"/>
      <c r="T89" s="707"/>
      <c r="U89" s="708" t="str">
        <f>VLOOKUP($D$11,調査票①!$A$3:$HK$1735,125,FALSE)&amp;""</f>
        <v>指定管理者制度を使うことでコスト増が見込まれる。</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0.26232741617357003</v>
      </c>
      <c r="BK89" s="722"/>
      <c r="BL89" s="722"/>
      <c r="BM89" s="722"/>
      <c r="BN89" s="723"/>
      <c r="BO89" s="727">
        <f>調査票①!DT1730</f>
        <v>0.1617618648979329</v>
      </c>
      <c r="BP89" s="728"/>
      <c r="BQ89" s="728"/>
      <c r="BR89" s="729"/>
      <c r="BS89" s="99"/>
      <c r="BT89" s="101"/>
      <c r="BY89" s="92"/>
      <c r="BZ89" s="92"/>
      <c r="CA89" s="92"/>
      <c r="CB89" s="97"/>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9"/>
      <c r="BT90" s="101"/>
      <c r="CB90" s="97"/>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0" t="s">
        <v>12389</v>
      </c>
      <c r="E91" s="700"/>
      <c r="F91" s="700"/>
      <c r="G91" s="700"/>
      <c r="H91" s="700"/>
      <c r="I91" s="700"/>
      <c r="J91" s="700"/>
      <c r="K91" s="700"/>
      <c r="L91" s="706">
        <f>VLOOKUP($D$11,調査票①!$A$3:$HK$1735,128,FALSE)</f>
        <v>5</v>
      </c>
      <c r="M91" s="706"/>
      <c r="N91" s="706"/>
      <c r="O91" s="706">
        <f>VLOOKUP($D$11,調査票①!$A$3:$HK$1735,129,FALSE)</f>
        <v>0</v>
      </c>
      <c r="P91" s="706"/>
      <c r="Q91" s="706"/>
      <c r="R91" s="707">
        <f>VLOOKUP($D$11,調査票①!$A$3:$HK$1735,130,FALSE)</f>
        <v>0</v>
      </c>
      <c r="S91" s="707"/>
      <c r="T91" s="707"/>
      <c r="U91" s="708" t="str">
        <f>VLOOKUP($D$11,調査票①!$A$3:$HK$1735,131,FALSE)&amp;""</f>
        <v>指定管理者制度を使うことでコスト増が見込まれる</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0.296875</v>
      </c>
      <c r="BK91" s="722"/>
      <c r="BL91" s="722"/>
      <c r="BM91" s="722"/>
      <c r="BN91" s="723"/>
      <c r="BO91" s="727">
        <f>調査票①!DZ1730</f>
        <v>0.37097701149425288</v>
      </c>
      <c r="BP91" s="728"/>
      <c r="BQ91" s="728"/>
      <c r="BR91" s="729"/>
      <c r="BS91" s="99"/>
      <c r="BT91" s="101"/>
      <c r="CB91" s="97"/>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0" t="s">
        <v>12390</v>
      </c>
      <c r="E93" s="700"/>
      <c r="F93" s="700"/>
      <c r="G93" s="700"/>
      <c r="H93" s="700"/>
      <c r="I93" s="700"/>
      <c r="J93" s="700"/>
      <c r="K93" s="700"/>
      <c r="L93" s="706">
        <f>VLOOKUP($D$11,調査票①!$A$3:$HK$1735,134,FALSE)</f>
        <v>1</v>
      </c>
      <c r="M93" s="706"/>
      <c r="N93" s="706"/>
      <c r="O93" s="706">
        <f>VLOOKUP($D$11,調査票①!$A$3:$HK$1735,135,FALSE)</f>
        <v>0</v>
      </c>
      <c r="P93" s="706"/>
      <c r="Q93" s="706"/>
      <c r="R93" s="707">
        <f>VLOOKUP($D$11,調査票①!$A$3:$HK$1735,136,FALSE)</f>
        <v>0</v>
      </c>
      <c r="S93" s="707"/>
      <c r="T93" s="707"/>
      <c r="U93" s="708" t="str">
        <f>VLOOKUP($D$11,調査票①!$A$3:$HK$1735,137,FALSE)&amp;""</f>
        <v>コスト増が見込まれる他、特殊な免許を要し、古い施設のため維持管理費が高くなる等。</v>
      </c>
      <c r="V93" s="709"/>
      <c r="W93" s="709"/>
      <c r="X93" s="709"/>
      <c r="Y93" s="709"/>
      <c r="Z93" s="709"/>
      <c r="AA93" s="709"/>
      <c r="AB93" s="709"/>
      <c r="AC93" s="709"/>
      <c r="AD93" s="709"/>
      <c r="AE93" s="709"/>
      <c r="AF93" s="709"/>
      <c r="AG93" s="709"/>
      <c r="AH93" s="709"/>
      <c r="AI93" s="710"/>
      <c r="AJ93" s="700">
        <f>VLOOKUP($D$11,調査票①!$A$3:$HK$1735,138,FALSE)</f>
        <v>0</v>
      </c>
      <c r="AK93" s="700"/>
      <c r="AL93" s="700"/>
      <c r="AM93" s="715" t="str">
        <f>VLOOKUP($D$11,調査票①!$A$3:$HK$1735,139,FALSE)&amp;""</f>
        <v>　</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0.21875</v>
      </c>
      <c r="BK93" s="722"/>
      <c r="BL93" s="722"/>
      <c r="BM93" s="722"/>
      <c r="BN93" s="723"/>
      <c r="BO93" s="727">
        <f>調査票①!EF1730</f>
        <v>0.22815839094908863</v>
      </c>
      <c r="BP93" s="728"/>
      <c r="BQ93" s="728"/>
      <c r="BR93" s="729"/>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3"/>
      <c r="DZ93" s="213"/>
      <c r="EA93" s="213"/>
      <c r="EB93" s="213"/>
      <c r="EC93" s="213"/>
      <c r="ED93" s="213"/>
      <c r="EE93" s="213"/>
      <c r="EF93" s="213"/>
      <c r="EG93" s="214"/>
      <c r="EH93" s="214"/>
      <c r="EI93" s="214"/>
      <c r="EJ93" s="214"/>
      <c r="EK93" s="214"/>
      <c r="EL93" s="214"/>
      <c r="EM93" s="214"/>
      <c r="EN93" s="214"/>
      <c r="EO93" s="214"/>
      <c r="EP93" s="84"/>
      <c r="EQ93" s="84"/>
      <c r="ER93" s="84"/>
      <c r="ES93" s="84"/>
    </row>
    <row r="94" spans="3:149" ht="20.399999999999999" customHeight="1">
      <c r="C94" s="97"/>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3"/>
      <c r="DZ94" s="213"/>
      <c r="EA94" s="213"/>
      <c r="EB94" s="213"/>
      <c r="EC94" s="213"/>
      <c r="ED94" s="213"/>
      <c r="EE94" s="213"/>
      <c r="EF94" s="213"/>
      <c r="EG94" s="214"/>
      <c r="EH94" s="214"/>
      <c r="EI94" s="214"/>
      <c r="EJ94" s="214"/>
      <c r="EK94" s="214"/>
      <c r="EL94" s="214"/>
      <c r="EM94" s="214"/>
      <c r="EN94" s="214"/>
      <c r="EO94" s="214"/>
      <c r="EP94" s="84"/>
      <c r="EQ94" s="84"/>
      <c r="ER94" s="84"/>
      <c r="ES94" s="84"/>
    </row>
    <row r="95" spans="3:149" ht="20.399999999999999" customHeight="1">
      <c r="C95" s="97"/>
      <c r="D95" s="700" t="s">
        <v>12393</v>
      </c>
      <c r="E95" s="700"/>
      <c r="F95" s="700"/>
      <c r="G95" s="700"/>
      <c r="H95" s="700"/>
      <c r="I95" s="700"/>
      <c r="J95" s="700"/>
      <c r="K95" s="700"/>
      <c r="L95" s="706">
        <f>VLOOKUP($D$11,調査票①!$A$3:$HK$1735,140,FALSE)</f>
        <v>3</v>
      </c>
      <c r="M95" s="706"/>
      <c r="N95" s="706"/>
      <c r="O95" s="706">
        <f>VLOOKUP($D$11,調査票①!$A$3:$HK$1735,141,FALSE)</f>
        <v>3</v>
      </c>
      <c r="P95" s="706"/>
      <c r="Q95" s="706"/>
      <c r="R95" s="707">
        <f>VLOOKUP($D$11,調査票①!$A$3:$HK$1735,142,FALSE)</f>
        <v>1</v>
      </c>
      <c r="S95" s="707"/>
      <c r="T95" s="707"/>
      <c r="U95" s="708" t="str">
        <f>VLOOKUP($D$11,調査票①!$A$3:$HK$1735,143,FALSE)&amp;""</f>
        <v>　</v>
      </c>
      <c r="V95" s="709"/>
      <c r="W95" s="709"/>
      <c r="X95" s="709"/>
      <c r="Y95" s="709"/>
      <c r="Z95" s="709"/>
      <c r="AA95" s="709"/>
      <c r="AB95" s="709"/>
      <c r="AC95" s="709"/>
      <c r="AD95" s="709"/>
      <c r="AE95" s="709"/>
      <c r="AF95" s="709"/>
      <c r="AG95" s="709"/>
      <c r="AH95" s="709"/>
      <c r="AI95" s="710"/>
      <c r="AJ95" s="700">
        <f>VLOOKUP($D$11,調査票①!$A$3:$HK$1735,144,FALSE)</f>
        <v>0</v>
      </c>
      <c r="AK95" s="700"/>
      <c r="AL95" s="700"/>
      <c r="AM95" s="715" t="str">
        <f>VLOOKUP($D$11,調査票①!$A$3:$HK$1735,145,FALSE)&amp;""</f>
        <v>　</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0.14084507042253522</v>
      </c>
      <c r="BK95" s="722"/>
      <c r="BL95" s="722"/>
      <c r="BM95" s="722"/>
      <c r="BN95" s="723"/>
      <c r="BO95" s="727">
        <f>調査票①!EL1730</f>
        <v>0.20222513089005237</v>
      </c>
      <c r="BP95" s="728"/>
      <c r="BQ95" s="728"/>
      <c r="BR95" s="729"/>
      <c r="BS95" s="99"/>
      <c r="BT95" s="101"/>
      <c r="CB95" s="84"/>
      <c r="CC95" s="215"/>
      <c r="CD95" s="215"/>
      <c r="CE95" s="215"/>
      <c r="CF95" s="215"/>
      <c r="CG95" s="215"/>
      <c r="CH95" s="215"/>
      <c r="CI95" s="215"/>
      <c r="CJ95" s="215"/>
      <c r="CK95" s="215"/>
      <c r="CL95" s="215"/>
      <c r="CM95" s="215"/>
      <c r="CN95" s="215"/>
      <c r="CO95" s="215"/>
      <c r="CP95" s="215"/>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9"/>
      <c r="BT96" s="101"/>
      <c r="CB96" s="93"/>
      <c r="CC96" s="227"/>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8" t="s">
        <v>12395</v>
      </c>
      <c r="E97" s="700"/>
      <c r="F97" s="700"/>
      <c r="G97" s="700"/>
      <c r="H97" s="700"/>
      <c r="I97" s="700"/>
      <c r="J97" s="700"/>
      <c r="K97" s="700"/>
      <c r="L97" s="706">
        <f>VLOOKUP($D$11,調査票①!$A$3:$HK$1735,146,FALSE)</f>
        <v>7</v>
      </c>
      <c r="M97" s="706"/>
      <c r="N97" s="706"/>
      <c r="O97" s="706">
        <f>VLOOKUP($D$11,調査票①!$A$3:$HK$1735,147,FALSE)</f>
        <v>3</v>
      </c>
      <c r="P97" s="706"/>
      <c r="Q97" s="706"/>
      <c r="R97" s="707">
        <f>VLOOKUP($D$11,調査票①!$A$3:$HK$1735,148,FALSE)</f>
        <v>0.42857142857142855</v>
      </c>
      <c r="S97" s="707"/>
      <c r="T97" s="707"/>
      <c r="U97" s="708" t="str">
        <f>VLOOKUP($D$11,調査票①!$A$3:$HK$1735,149,FALSE)&amp;""</f>
        <v>直営で運営すべき施設である。また、収入が見込めず直営に戻した施設もある。</v>
      </c>
      <c r="V97" s="709"/>
      <c r="W97" s="709"/>
      <c r="X97" s="709"/>
      <c r="Y97" s="709"/>
      <c r="Z97" s="709"/>
      <c r="AA97" s="709"/>
      <c r="AB97" s="709"/>
      <c r="AC97" s="709"/>
      <c r="AD97" s="709"/>
      <c r="AE97" s="709"/>
      <c r="AF97" s="709"/>
      <c r="AG97" s="709"/>
      <c r="AH97" s="709"/>
      <c r="AI97" s="710"/>
      <c r="AJ97" s="700">
        <f>VLOOKUP($D$11,調査票①!$A$3:$HK$1735,150,FALSE)</f>
        <v>2</v>
      </c>
      <c r="AK97" s="700"/>
      <c r="AL97" s="700"/>
      <c r="AM97" s="715" t="str">
        <f>VLOOKUP($D$11,調査票①!$A$3:$HK$1735,151,FALSE)&amp;""</f>
        <v>重要文化財・国宝など貴重な文化財を収蔵・展示する施設としての性格上、設置者が責任をもって管轄するためには自治体職員が常駐する必要がある。</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0.34567901234567899</v>
      </c>
      <c r="BK97" s="722"/>
      <c r="BL97" s="722"/>
      <c r="BM97" s="722"/>
      <c r="BN97" s="723"/>
      <c r="BO97" s="727">
        <f>調査票①!ER1730</f>
        <v>0.28060740272065804</v>
      </c>
      <c r="BP97" s="728"/>
      <c r="BQ97" s="728"/>
      <c r="BR97" s="729"/>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0" t="s">
        <v>12399</v>
      </c>
      <c r="E99" s="700"/>
      <c r="F99" s="700"/>
      <c r="G99" s="700"/>
      <c r="H99" s="700"/>
      <c r="I99" s="700"/>
      <c r="J99" s="700"/>
      <c r="K99" s="700"/>
      <c r="L99" s="706">
        <f>VLOOKUP($D$11,調査票①!$A$3:$HK$1735,152,FALSE)</f>
        <v>28</v>
      </c>
      <c r="M99" s="706"/>
      <c r="N99" s="706"/>
      <c r="O99" s="706">
        <f>VLOOKUP($D$11,調査票①!$A$3:$HK$1735,153,FALSE)</f>
        <v>0</v>
      </c>
      <c r="P99" s="706"/>
      <c r="Q99" s="706"/>
      <c r="R99" s="707">
        <f>VLOOKUP($D$11,調査票①!$A$3:$HK$1735,154,FALSE)</f>
        <v>0</v>
      </c>
      <c r="S99" s="707"/>
      <c r="T99" s="707"/>
      <c r="U99" s="742" t="str">
        <f>VLOOKUP($D$11,調査票①!$A$3:$HK$1735,155,FALSE)&amp;""</f>
        <v>住民自治組織である地域協議会へ窓口業務等の一部業務を委託しているが、まだ指定管理制度までには至っていない。</v>
      </c>
      <c r="V99" s="743"/>
      <c r="W99" s="743"/>
      <c r="X99" s="743"/>
      <c r="Y99" s="743"/>
      <c r="Z99" s="743"/>
      <c r="AA99" s="743"/>
      <c r="AB99" s="743"/>
      <c r="AC99" s="743"/>
      <c r="AD99" s="743"/>
      <c r="AE99" s="743"/>
      <c r="AF99" s="743"/>
      <c r="AG99" s="743"/>
      <c r="AH99" s="743"/>
      <c r="AI99" s="744"/>
      <c r="AJ99" s="714">
        <f>VLOOKUP($D$11,調査票①!$A$3:$HK$1735,156,FALSE)</f>
        <v>22</v>
      </c>
      <c r="AK99" s="714"/>
      <c r="AL99" s="714"/>
      <c r="AM99" s="715" t="str">
        <f>VLOOKUP($D$11,調査票①!$A$3:$HK$1735,157,FALSE)&amp;""</f>
        <v>住民自治組織である地域協議会を始め、地域の各種団体の運営等の指導及び助言を行なうために職員を配置している。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0.32391304347826089</v>
      </c>
      <c r="BK99" s="722"/>
      <c r="BL99" s="722"/>
      <c r="BM99" s="722"/>
      <c r="BN99" s="723"/>
      <c r="BO99" s="727">
        <f>調査票①!EX1730</f>
        <v>0.22778763477548791</v>
      </c>
      <c r="BP99" s="728"/>
      <c r="BQ99" s="728"/>
      <c r="BR99" s="729"/>
      <c r="BS99" s="99"/>
      <c r="BT99" s="101"/>
      <c r="CB99" s="97"/>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9"/>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9"/>
      <c r="DW99" s="99"/>
      <c r="DX99" s="99"/>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9"/>
      <c r="BT100" s="101"/>
      <c r="CB100" s="97"/>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9"/>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9"/>
      <c r="DW100" s="99"/>
      <c r="DX100" s="99"/>
      <c r="DY100" s="700"/>
      <c r="DZ100" s="700"/>
      <c r="EA100" s="700"/>
      <c r="EB100" s="700"/>
      <c r="EC100" s="700"/>
      <c r="ED100" s="700"/>
      <c r="EE100" s="700"/>
      <c r="EF100" s="700"/>
      <c r="EG100" s="700"/>
      <c r="EH100" s="700"/>
      <c r="EI100" s="698"/>
      <c r="EJ100" s="698"/>
      <c r="EK100" s="698"/>
      <c r="EL100" s="698"/>
      <c r="EM100" s="698"/>
      <c r="EN100" s="698"/>
      <c r="EO100" s="698"/>
      <c r="EP100" s="698"/>
      <c r="EQ100" s="99"/>
      <c r="ER100" s="99"/>
      <c r="ES100" s="101"/>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7"/>
      <c r="D101" s="700" t="s">
        <v>12400</v>
      </c>
      <c r="E101" s="700"/>
      <c r="F101" s="700"/>
      <c r="G101" s="700"/>
      <c r="H101" s="700"/>
      <c r="I101" s="700"/>
      <c r="J101" s="700"/>
      <c r="K101" s="700"/>
      <c r="L101" s="706">
        <f>VLOOKUP($D$11,調査票①!$A$3:$HK$1735,158,FALSE)</f>
        <v>4</v>
      </c>
      <c r="M101" s="706"/>
      <c r="N101" s="706"/>
      <c r="O101" s="706">
        <f>VLOOKUP($D$11,調査票①!$A$3:$HK$1735,159,FALSE)</f>
        <v>2</v>
      </c>
      <c r="P101" s="706"/>
      <c r="Q101" s="706"/>
      <c r="R101" s="707">
        <f>VLOOKUP($D$11,調査票①!$A$3:$HK$1735,160,FALSE)</f>
        <v>0.5</v>
      </c>
      <c r="S101" s="707"/>
      <c r="T101" s="707"/>
      <c r="U101" s="736" t="str">
        <f>VLOOKUP($D$11,調査票①!$A$3:$HK$1735,161,FALSE)&amp;""</f>
        <v>直営で運営すべき施設である。</v>
      </c>
      <c r="V101" s="737"/>
      <c r="W101" s="737"/>
      <c r="X101" s="737"/>
      <c r="Y101" s="737"/>
      <c r="Z101" s="737"/>
      <c r="AA101" s="737"/>
      <c r="AB101" s="737"/>
      <c r="AC101" s="737"/>
      <c r="AD101" s="737"/>
      <c r="AE101" s="737"/>
      <c r="AF101" s="737"/>
      <c r="AG101" s="737"/>
      <c r="AH101" s="737"/>
      <c r="AI101" s="738"/>
      <c r="AJ101" s="714">
        <f>VLOOKUP($D$11,調査票①!$A$3:$HK$1735,162,FALSE)</f>
        <v>2</v>
      </c>
      <c r="AK101" s="714"/>
      <c r="AL101" s="714"/>
      <c r="AM101" s="715" t="str">
        <f>VLOOKUP($D$11,調査票①!$A$3:$HK$1735,163,FALSE)&amp;""</f>
        <v>文化施設の運営指針を策定し、市のホールは市直営の文化施設として「文化の発信基地」の役割を担っていくことを謳っている。</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0.6428571428571429</v>
      </c>
      <c r="BK101" s="722"/>
      <c r="BL101" s="722"/>
      <c r="BM101" s="722"/>
      <c r="BN101" s="723"/>
      <c r="BO101" s="727">
        <f>調査票①!FD1730</f>
        <v>0.51527494908350302</v>
      </c>
      <c r="BP101" s="728"/>
      <c r="BQ101" s="728"/>
      <c r="BR101" s="729"/>
      <c r="BS101" s="99"/>
      <c r="BT101" s="101"/>
      <c r="CB101" s="97"/>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9"/>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9"/>
      <c r="DW101" s="99"/>
      <c r="DX101" s="99"/>
      <c r="DY101" s="700"/>
      <c r="DZ101" s="700"/>
      <c r="EA101" s="700"/>
      <c r="EB101" s="700"/>
      <c r="EC101" s="700"/>
      <c r="ED101" s="700"/>
      <c r="EE101" s="700"/>
      <c r="EF101" s="700"/>
      <c r="EG101" s="700"/>
      <c r="EH101" s="700"/>
      <c r="EI101" s="698"/>
      <c r="EJ101" s="698"/>
      <c r="EK101" s="698"/>
      <c r="EL101" s="698"/>
      <c r="EM101" s="698"/>
      <c r="EN101" s="698"/>
      <c r="EO101" s="698"/>
      <c r="EP101" s="698"/>
      <c r="EQ101" s="99"/>
      <c r="ER101" s="99"/>
      <c r="ES101" s="101"/>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7"/>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9"/>
      <c r="BT102" s="101"/>
      <c r="CB102" s="97"/>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9"/>
      <c r="DW102" s="99"/>
      <c r="DX102" s="99"/>
      <c r="DY102" s="700"/>
      <c r="DZ102" s="700"/>
      <c r="EA102" s="700"/>
      <c r="EB102" s="700"/>
      <c r="EC102" s="700"/>
      <c r="ED102" s="700"/>
      <c r="EE102" s="700"/>
      <c r="EF102" s="700"/>
      <c r="EG102" s="700"/>
      <c r="EH102" s="700"/>
      <c r="EI102" s="698"/>
      <c r="EJ102" s="698"/>
      <c r="EK102" s="698"/>
      <c r="EL102" s="698"/>
      <c r="EM102" s="698"/>
      <c r="EN102" s="698"/>
      <c r="EO102" s="698"/>
      <c r="EP102" s="698"/>
      <c r="EQ102" s="99"/>
      <c r="ER102" s="99"/>
      <c r="ES102" s="101"/>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7"/>
      <c r="D103" s="734" t="s">
        <v>12401</v>
      </c>
      <c r="E103" s="735"/>
      <c r="F103" s="735"/>
      <c r="G103" s="735"/>
      <c r="H103" s="735"/>
      <c r="I103" s="735"/>
      <c r="J103" s="735"/>
      <c r="K103" s="735"/>
      <c r="L103" s="706">
        <f>VLOOKUP($D$11,調査票①!$A$3:$HK$1735,164,FALSE)</f>
        <v>3</v>
      </c>
      <c r="M103" s="706"/>
      <c r="N103" s="706"/>
      <c r="O103" s="706">
        <f>VLOOKUP($D$11,調査票①!$A$3:$HK$1735,165,FALSE)</f>
        <v>3</v>
      </c>
      <c r="P103" s="706"/>
      <c r="Q103" s="706"/>
      <c r="R103" s="707">
        <f>VLOOKUP($D$11,調査票①!$A$3:$HK$1735,166,FALSE)</f>
        <v>1</v>
      </c>
      <c r="S103" s="707"/>
      <c r="T103" s="707"/>
      <c r="U103" s="736" t="str">
        <f>VLOOKUP($D$11,調査票①!$A$3:$HK$1735,167,FALSE)&amp;""</f>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0.56666666666666665</v>
      </c>
      <c r="BK103" s="722"/>
      <c r="BL103" s="722"/>
      <c r="BM103" s="722"/>
      <c r="BN103" s="723"/>
      <c r="BO103" s="727">
        <f>調査票①!FJ1730</f>
        <v>0.50056497175141246</v>
      </c>
      <c r="BP103" s="728"/>
      <c r="BQ103" s="728"/>
      <c r="BR103" s="729"/>
      <c r="BS103" s="99"/>
      <c r="BT103" s="101"/>
      <c r="BX103" s="92"/>
      <c r="BY103" s="92"/>
      <c r="BZ103" s="92"/>
      <c r="CA103" s="92"/>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9"/>
      <c r="DW103" s="99"/>
      <c r="DX103" s="99"/>
      <c r="DY103" s="700"/>
      <c r="DZ103" s="700"/>
      <c r="EA103" s="700"/>
      <c r="EB103" s="700"/>
      <c r="EC103" s="700"/>
      <c r="ED103" s="700"/>
      <c r="EE103" s="700"/>
      <c r="EF103" s="700"/>
      <c r="EG103" s="700"/>
      <c r="EH103" s="700"/>
      <c r="EI103" s="698"/>
      <c r="EJ103" s="698"/>
      <c r="EK103" s="698"/>
      <c r="EL103" s="698"/>
      <c r="EM103" s="698"/>
      <c r="EN103" s="698"/>
      <c r="EO103" s="698"/>
      <c r="EP103" s="698"/>
      <c r="EQ103" s="99"/>
      <c r="ER103" s="99"/>
      <c r="ES103" s="101"/>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7"/>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0.75</v>
      </c>
      <c r="BK105" s="722"/>
      <c r="BL105" s="722"/>
      <c r="BM105" s="722"/>
      <c r="BN105" s="723"/>
      <c r="BO105" s="727">
        <f>調査票①!FP1730</f>
        <v>0.7466666666666667</v>
      </c>
      <c r="BP105" s="728"/>
      <c r="BQ105" s="728"/>
      <c r="BR105" s="729"/>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9"/>
      <c r="ER105" s="99"/>
      <c r="ES105" s="99"/>
      <c r="ET105" s="151"/>
    </row>
    <row r="106" spans="3:192" ht="20.399999999999999" customHeight="1">
      <c r="C106" s="97"/>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9"/>
      <c r="BT106" s="101"/>
      <c r="CB106" s="97"/>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1"/>
      <c r="CY106" s="111"/>
      <c r="CZ106" s="111"/>
      <c r="DA106" s="99"/>
      <c r="DB106" s="99"/>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9"/>
      <c r="ER106" s="99"/>
      <c r="ES106" s="101"/>
    </row>
    <row r="107" spans="3:192" ht="20.399999999999999" customHeight="1">
      <c r="C107" s="97"/>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0.625</v>
      </c>
      <c r="BK107" s="722"/>
      <c r="BL107" s="722"/>
      <c r="BM107" s="722"/>
      <c r="BN107" s="723"/>
      <c r="BO107" s="727">
        <f>調査票①!FV1730</f>
        <v>0.4896030245746692</v>
      </c>
      <c r="BP107" s="728"/>
      <c r="BQ107" s="728"/>
      <c r="BR107" s="729"/>
      <c r="BS107" s="99"/>
      <c r="BT107" s="101"/>
      <c r="CB107" s="97"/>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9"/>
      <c r="DB107" s="98"/>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9"/>
      <c r="ER107" s="99"/>
      <c r="ES107" s="101"/>
    </row>
    <row r="108" spans="3:192" ht="20.399999999999999" customHeight="1">
      <c r="C108" s="97"/>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9"/>
      <c r="BT108" s="101"/>
      <c r="CB108" s="97"/>
      <c r="CC108" s="692">
        <f>VLOOKUP($AK$11,導入率!A4:AX37,50,FALSE)</f>
        <v>0.80952380952380953</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9"/>
      <c r="DB108" s="98"/>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9"/>
      <c r="ER108" s="99"/>
      <c r="ES108" s="101"/>
    </row>
    <row r="109" spans="3:192" ht="20.399999999999999" customHeight="1">
      <c r="C109" s="97"/>
      <c r="D109" s="700" t="s">
        <v>12407</v>
      </c>
      <c r="E109" s="700"/>
      <c r="F109" s="700"/>
      <c r="G109" s="700"/>
      <c r="H109" s="700"/>
      <c r="I109" s="700"/>
      <c r="J109" s="700"/>
      <c r="K109" s="700"/>
      <c r="L109" s="706">
        <f>VLOOKUP($D$11,調査票①!$A$3:$HK$1735,182,FALSE)</f>
        <v>13</v>
      </c>
      <c r="M109" s="706"/>
      <c r="N109" s="706"/>
      <c r="O109" s="706">
        <f>VLOOKUP($D$11,調査票①!$A$3:$HK$1735,183,FALSE)</f>
        <v>5</v>
      </c>
      <c r="P109" s="706"/>
      <c r="Q109" s="706"/>
      <c r="R109" s="707">
        <f>VLOOKUP($D$11,調査票①!$A$3:$HK$1735,184,FALSE)</f>
        <v>0.38461538461538464</v>
      </c>
      <c r="S109" s="707"/>
      <c r="T109" s="707"/>
      <c r="U109" s="708" t="str">
        <f>VLOOKUP($D$11,調査票①!$A$3:$HK$1735,185,FALSE)&amp;""</f>
        <v>指定管理者制度を使うことでコスト増が見込まれる。</v>
      </c>
      <c r="V109" s="709"/>
      <c r="W109" s="709"/>
      <c r="X109" s="709"/>
      <c r="Y109" s="709"/>
      <c r="Z109" s="709"/>
      <c r="AA109" s="709"/>
      <c r="AB109" s="709"/>
      <c r="AC109" s="709"/>
      <c r="AD109" s="709"/>
      <c r="AE109" s="709"/>
      <c r="AF109" s="709"/>
      <c r="AG109" s="709"/>
      <c r="AH109" s="709"/>
      <c r="AI109" s="710"/>
      <c r="AJ109" s="714">
        <f>VLOOKUP($D$11,調査票①!$A$3:$HK$1735,186,FALSE)</f>
        <v>2</v>
      </c>
      <c r="AK109" s="714"/>
      <c r="AL109" s="714"/>
      <c r="AM109" s="715" t="str">
        <f>VLOOKUP($D$11,調査票①!$A$3:$HK$1735,187,FALSE)&amp;""</f>
        <v>施設で実施している保健業務は自治体職員が行う必要がある。</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0.46464646464646464</v>
      </c>
      <c r="BK109" s="722"/>
      <c r="BL109" s="722"/>
      <c r="BM109" s="722"/>
      <c r="BN109" s="723"/>
      <c r="BO109" s="727">
        <f>調査票①!GB1730</f>
        <v>0.52994814947255497</v>
      </c>
      <c r="BP109" s="728"/>
      <c r="BQ109" s="728"/>
      <c r="BR109" s="729"/>
      <c r="BS109" s="99"/>
      <c r="BT109" s="101"/>
      <c r="CB109" s="97"/>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9"/>
      <c r="CY109" s="99"/>
      <c r="CZ109" s="99"/>
      <c r="DA109" s="99"/>
      <c r="DB109" s="99"/>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9"/>
      <c r="ER109" s="99"/>
      <c r="ES109" s="101"/>
    </row>
    <row r="110" spans="3:192" ht="20.399999999999999" customHeight="1">
      <c r="C110" s="97"/>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9"/>
      <c r="BT110" s="101"/>
      <c r="CB110" s="97"/>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9"/>
      <c r="CY110" s="99"/>
      <c r="CZ110" s="99"/>
      <c r="DA110" s="99"/>
      <c r="DB110" s="99"/>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9"/>
      <c r="ER110" s="99"/>
      <c r="ES110" s="101"/>
    </row>
    <row r="111" spans="3:192" ht="18.649999999999999" customHeight="1">
      <c r="C111" s="97"/>
      <c r="D111" s="700" t="s">
        <v>12409</v>
      </c>
      <c r="E111" s="700"/>
      <c r="F111" s="700"/>
      <c r="G111" s="700"/>
      <c r="H111" s="700"/>
      <c r="I111" s="700"/>
      <c r="J111" s="700"/>
      <c r="K111" s="700"/>
      <c r="L111" s="706">
        <f>VLOOKUP($D$11,調査票①!$A$3:$HK$1735,188,FALSE)</f>
        <v>1</v>
      </c>
      <c r="M111" s="706"/>
      <c r="N111" s="706"/>
      <c r="O111" s="706">
        <f>VLOOKUP($D$11,調査票①!$A$3:$HK$1735,189,FALSE)</f>
        <v>0</v>
      </c>
      <c r="P111" s="706"/>
      <c r="Q111" s="706"/>
      <c r="R111" s="707">
        <f>VLOOKUP($D$11,調査票①!$A$3:$HK$1735,190,FALSE)</f>
        <v>0</v>
      </c>
      <c r="S111" s="707"/>
      <c r="T111" s="707"/>
      <c r="U111" s="708" t="str">
        <f>VLOOKUP($D$11,調査票①!$A$3:$HK$1735,191,FALSE)&amp;""</f>
        <v>指定管理料が少額になるため応募が見込めない。</v>
      </c>
      <c r="V111" s="709"/>
      <c r="W111" s="709"/>
      <c r="X111" s="709"/>
      <c r="Y111" s="709"/>
      <c r="Z111" s="709"/>
      <c r="AA111" s="709"/>
      <c r="AB111" s="709"/>
      <c r="AC111" s="709"/>
      <c r="AD111" s="709"/>
      <c r="AE111" s="709"/>
      <c r="AF111" s="709"/>
      <c r="AG111" s="709"/>
      <c r="AH111" s="709"/>
      <c r="AI111" s="710"/>
      <c r="AJ111" s="714">
        <f>VLOOKUP($D$11,調査票①!$A$3:$HK$1735,192,FALSE)</f>
        <v>0</v>
      </c>
      <c r="AK111" s="714"/>
      <c r="AL111" s="714"/>
      <c r="AM111" s="715" t="str">
        <f>VLOOKUP($D$11,調査票①!$A$3:$HK$1735,193,FALSE)&amp;""</f>
        <v>　</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0.40559440559440557</v>
      </c>
      <c r="BK111" s="722"/>
      <c r="BL111" s="722"/>
      <c r="BM111" s="722"/>
      <c r="BN111" s="723"/>
      <c r="BO111" s="727">
        <f>調査票①!GH1730</f>
        <v>0.24473481936971561</v>
      </c>
      <c r="BP111" s="728"/>
      <c r="BQ111" s="728"/>
      <c r="BR111" s="729"/>
      <c r="BS111" s="99"/>
      <c r="BT111" s="101"/>
      <c r="CB111" s="97"/>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9"/>
      <c r="CY111" s="99"/>
      <c r="CZ111" s="99"/>
      <c r="DA111" s="99"/>
      <c r="DB111" s="99"/>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9"/>
      <c r="ER111" s="99"/>
      <c r="ES111" s="101"/>
    </row>
    <row r="112" spans="3:192" ht="18.649999999999999" customHeight="1">
      <c r="C112" s="97"/>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9"/>
      <c r="CY113" s="99"/>
      <c r="CZ113" s="99"/>
      <c r="DA113" s="99"/>
      <c r="DB113" s="99"/>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9"/>
      <c r="CY114" s="99"/>
      <c r="CZ114" s="99"/>
      <c r="DA114" s="99"/>
      <c r="DB114" s="99"/>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【別表】自治体コード!$A$2:$A$45</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5"/>
  <sheetViews>
    <sheetView workbookViewId="0">
      <selection activeCell="F13" sqref="F13"/>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21" t="s">
        <v>16109</v>
      </c>
      <c r="B2" s="158" t="s">
        <v>9882</v>
      </c>
      <c r="C2" s="158" t="s">
        <v>9883</v>
      </c>
    </row>
    <row r="3" spans="1:3">
      <c r="A3" s="168" t="s">
        <v>16113</v>
      </c>
      <c r="B3" s="167" t="s">
        <v>9882</v>
      </c>
      <c r="C3" s="158" t="s">
        <v>9886</v>
      </c>
    </row>
    <row r="4" spans="1:3">
      <c r="A4" s="168" t="s">
        <v>16119</v>
      </c>
      <c r="B4" s="167" t="s">
        <v>9882</v>
      </c>
      <c r="C4" s="158" t="s">
        <v>9890</v>
      </c>
    </row>
    <row r="5" spans="1:3">
      <c r="A5" s="168" t="s">
        <v>16123</v>
      </c>
      <c r="B5" s="167" t="s">
        <v>9882</v>
      </c>
      <c r="C5" s="158" t="s">
        <v>9895</v>
      </c>
    </row>
    <row r="6" spans="1:3">
      <c r="A6" s="168" t="s">
        <v>16130</v>
      </c>
      <c r="B6" s="167" t="s">
        <v>9882</v>
      </c>
      <c r="C6" s="158" t="s">
        <v>15501</v>
      </c>
    </row>
    <row r="7" spans="1:3">
      <c r="A7" s="168" t="s">
        <v>16131</v>
      </c>
      <c r="B7" s="167" t="s">
        <v>9882</v>
      </c>
      <c r="C7" s="158" t="s">
        <v>9915</v>
      </c>
    </row>
    <row r="8" spans="1:3">
      <c r="A8" s="168" t="s">
        <v>16135</v>
      </c>
      <c r="B8" s="167" t="s">
        <v>9882</v>
      </c>
      <c r="C8" s="158" t="s">
        <v>9923</v>
      </c>
    </row>
    <row r="9" spans="1:3">
      <c r="A9" s="168" t="s">
        <v>16139</v>
      </c>
      <c r="B9" s="167" t="s">
        <v>9882</v>
      </c>
      <c r="C9" s="158" t="s">
        <v>9926</v>
      </c>
    </row>
    <row r="10" spans="1:3">
      <c r="A10" s="168" t="s">
        <v>16144</v>
      </c>
      <c r="B10" s="167" t="s">
        <v>9882</v>
      </c>
      <c r="C10" s="158" t="s">
        <v>9928</v>
      </c>
    </row>
    <row r="11" spans="1:3">
      <c r="A11" s="168" t="s">
        <v>16151</v>
      </c>
      <c r="B11" s="167" t="s">
        <v>9882</v>
      </c>
      <c r="C11" s="158" t="s">
        <v>9929</v>
      </c>
    </row>
    <row r="12" spans="1:3">
      <c r="A12" s="168" t="s">
        <v>16155</v>
      </c>
      <c r="B12" s="167" t="s">
        <v>9882</v>
      </c>
      <c r="C12" s="158" t="s">
        <v>9940</v>
      </c>
    </row>
    <row r="13" spans="1:3">
      <c r="A13" s="168" t="s">
        <v>16156</v>
      </c>
      <c r="B13" s="167" t="s">
        <v>9882</v>
      </c>
      <c r="C13" s="158" t="s">
        <v>9942</v>
      </c>
    </row>
    <row r="14" spans="1:3">
      <c r="A14" s="168" t="s">
        <v>16162</v>
      </c>
      <c r="B14" s="167" t="s">
        <v>9882</v>
      </c>
      <c r="C14" s="158" t="s">
        <v>9953</v>
      </c>
    </row>
    <row r="15" spans="1:3">
      <c r="A15" s="168" t="s">
        <v>16163</v>
      </c>
      <c r="B15" s="167" t="s">
        <v>9882</v>
      </c>
      <c r="C15" s="158" t="s">
        <v>2102</v>
      </c>
    </row>
    <row r="16" spans="1:3">
      <c r="A16" s="168" t="s">
        <v>16164</v>
      </c>
      <c r="B16" s="167" t="s">
        <v>9882</v>
      </c>
      <c r="C16" s="158" t="s">
        <v>9961</v>
      </c>
    </row>
    <row r="17" spans="1:3">
      <c r="A17" s="168" t="s">
        <v>16166</v>
      </c>
      <c r="B17" s="167" t="s">
        <v>9882</v>
      </c>
      <c r="C17" s="158" t="s">
        <v>9963</v>
      </c>
    </row>
    <row r="18" spans="1:3">
      <c r="A18" s="168" t="s">
        <v>16167</v>
      </c>
      <c r="B18" s="167" t="s">
        <v>9882</v>
      </c>
      <c r="C18" s="158" t="s">
        <v>9970</v>
      </c>
    </row>
    <row r="19" spans="1:3">
      <c r="A19" s="168" t="s">
        <v>16169</v>
      </c>
      <c r="B19" s="167" t="s">
        <v>9882</v>
      </c>
      <c r="C19" s="158" t="s">
        <v>9976</v>
      </c>
    </row>
    <row r="20" spans="1:3">
      <c r="A20" s="168" t="s">
        <v>16170</v>
      </c>
      <c r="B20" s="167" t="s">
        <v>9882</v>
      </c>
      <c r="C20" s="158" t="s">
        <v>9985</v>
      </c>
    </row>
    <row r="21" spans="1:3">
      <c r="A21" s="168" t="s">
        <v>16171</v>
      </c>
      <c r="B21" s="167" t="s">
        <v>9882</v>
      </c>
      <c r="C21" s="158" t="s">
        <v>9995</v>
      </c>
    </row>
    <row r="22" spans="1:3">
      <c r="A22" s="168" t="s">
        <v>16173</v>
      </c>
      <c r="B22" s="167" t="s">
        <v>9882</v>
      </c>
      <c r="C22" s="158" t="s">
        <v>10003</v>
      </c>
    </row>
    <row r="23" spans="1:3">
      <c r="A23" s="168" t="s">
        <v>16174</v>
      </c>
      <c r="B23" s="167" t="s">
        <v>9882</v>
      </c>
      <c r="C23" s="158" t="s">
        <v>2432</v>
      </c>
    </row>
    <row r="24" spans="1:3">
      <c r="A24" s="170" t="s">
        <v>16175</v>
      </c>
      <c r="B24" s="222" t="s">
        <v>9882</v>
      </c>
      <c r="C24" s="552" t="s">
        <v>10010</v>
      </c>
    </row>
    <row r="25" spans="1:3">
      <c r="A25" s="170" t="s">
        <v>16176</v>
      </c>
      <c r="B25" s="222" t="s">
        <v>9882</v>
      </c>
      <c r="C25" s="552" t="s">
        <v>5629</v>
      </c>
    </row>
    <row r="26" spans="1:3">
      <c r="A26" s="170" t="s">
        <v>16177</v>
      </c>
      <c r="B26" s="222" t="s">
        <v>9882</v>
      </c>
      <c r="C26" s="552" t="s">
        <v>10023</v>
      </c>
    </row>
    <row r="27" spans="1:3">
      <c r="A27" s="170" t="s">
        <v>16178</v>
      </c>
      <c r="B27" s="222" t="s">
        <v>9882</v>
      </c>
      <c r="C27" s="552" t="s">
        <v>10027</v>
      </c>
    </row>
    <row r="28" spans="1:3">
      <c r="A28" s="170" t="s">
        <v>16180</v>
      </c>
      <c r="B28" s="222" t="s">
        <v>9882</v>
      </c>
      <c r="C28" s="552" t="s">
        <v>10031</v>
      </c>
    </row>
    <row r="29" spans="1:3">
      <c r="A29" s="170" t="s">
        <v>16181</v>
      </c>
      <c r="B29" s="222" t="s">
        <v>9882</v>
      </c>
      <c r="C29" s="552" t="s">
        <v>10039</v>
      </c>
    </row>
    <row r="30" spans="1:3">
      <c r="A30" s="170" t="s">
        <v>16182</v>
      </c>
      <c r="B30" s="222" t="s">
        <v>9882</v>
      </c>
      <c r="C30" s="552" t="s">
        <v>10045</v>
      </c>
    </row>
    <row r="31" spans="1:3">
      <c r="A31" s="170" t="s">
        <v>16183</v>
      </c>
      <c r="B31" s="222" t="s">
        <v>9882</v>
      </c>
      <c r="C31" s="552" t="s">
        <v>10051</v>
      </c>
    </row>
    <row r="32" spans="1:3">
      <c r="A32" s="170" t="s">
        <v>16187</v>
      </c>
      <c r="B32" s="222" t="s">
        <v>9882</v>
      </c>
      <c r="C32" s="552" t="s">
        <v>10052</v>
      </c>
    </row>
    <row r="33" spans="1:3">
      <c r="A33" s="170" t="s">
        <v>16188</v>
      </c>
      <c r="B33" s="222" t="s">
        <v>9882</v>
      </c>
      <c r="C33" s="552" t="s">
        <v>10060</v>
      </c>
    </row>
    <row r="34" spans="1:3">
      <c r="A34" s="170" t="s">
        <v>16189</v>
      </c>
      <c r="B34" s="222" t="s">
        <v>9882</v>
      </c>
      <c r="C34" s="552" t="s">
        <v>10063</v>
      </c>
    </row>
    <row r="35" spans="1:3">
      <c r="A35" s="170" t="s">
        <v>16190</v>
      </c>
      <c r="B35" s="222" t="s">
        <v>9882</v>
      </c>
      <c r="C35" s="552" t="s">
        <v>10068</v>
      </c>
    </row>
    <row r="36" spans="1:3">
      <c r="A36" s="170" t="s">
        <v>16191</v>
      </c>
      <c r="B36" s="222" t="s">
        <v>9882</v>
      </c>
      <c r="C36" s="552" t="s">
        <v>10070</v>
      </c>
    </row>
    <row r="37" spans="1:3">
      <c r="A37" s="170" t="s">
        <v>16192</v>
      </c>
      <c r="B37" s="222" t="s">
        <v>9882</v>
      </c>
      <c r="C37" s="552" t="s">
        <v>10074</v>
      </c>
    </row>
    <row r="38" spans="1:3">
      <c r="A38" s="170" t="s">
        <v>16193</v>
      </c>
      <c r="B38" s="222" t="s">
        <v>9882</v>
      </c>
      <c r="C38" s="552" t="s">
        <v>16194</v>
      </c>
    </row>
    <row r="39" spans="1:3">
      <c r="A39" s="170" t="s">
        <v>16195</v>
      </c>
      <c r="B39" s="222" t="s">
        <v>9882</v>
      </c>
      <c r="C39" s="552" t="s">
        <v>10088</v>
      </c>
    </row>
    <row r="40" spans="1:3">
      <c r="A40" s="170" t="s">
        <v>16197</v>
      </c>
      <c r="B40" s="222" t="s">
        <v>9882</v>
      </c>
      <c r="C40" s="552" t="s">
        <v>10090</v>
      </c>
    </row>
    <row r="41" spans="1:3">
      <c r="A41" s="170" t="s">
        <v>16198</v>
      </c>
      <c r="B41" s="222" t="s">
        <v>9882</v>
      </c>
      <c r="C41" s="552" t="s">
        <v>10091</v>
      </c>
    </row>
    <row r="42" spans="1:3">
      <c r="A42" s="170" t="s">
        <v>16200</v>
      </c>
      <c r="B42" s="222" t="s">
        <v>9882</v>
      </c>
      <c r="C42" s="552" t="s">
        <v>10092</v>
      </c>
    </row>
    <row r="43" spans="1:3">
      <c r="A43" s="170" t="s">
        <v>16202</v>
      </c>
      <c r="B43" s="222" t="s">
        <v>9882</v>
      </c>
      <c r="C43" s="552" t="s">
        <v>10095</v>
      </c>
    </row>
    <row r="44" spans="1:3">
      <c r="A44" s="170" t="s">
        <v>16203</v>
      </c>
      <c r="B44" s="222" t="s">
        <v>9882</v>
      </c>
      <c r="C44" s="552" t="s">
        <v>10097</v>
      </c>
    </row>
    <row r="45" spans="1:3">
      <c r="A45" s="170" t="s">
        <v>16207</v>
      </c>
      <c r="B45" s="222" t="s">
        <v>9882</v>
      </c>
      <c r="C45" s="552" t="s">
        <v>10102</v>
      </c>
    </row>
  </sheetData>
  <autoFilter ref="A1:C45" xr:uid="{FB591A69-7E84-498A-9A96-4D2BF09B62FF}"/>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2022-03-30T05:59:54Z</dcterms:modified>
</cp:coreProperties>
</file>