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P:\#住民制度課G\4行政経営支援室（新）\Ｅ 地方行革\Ｈ 地方行革取組状況調査\Ａ Ｒ４年度調査（保存期限Ｒ７年度末　廃棄）\09_公表用（未）\02_調査結果（各団体の取組状況の見える化）（未）\"/>
    </mc:Choice>
  </mc:AlternateContent>
  <xr:revisionPtr revIDLastSave="0" documentId="13_ncr:1_{95FA3CDD-68E0-45B9-B86E-C4977BA38584}" xr6:coauthVersionLast="36" xr6:coauthVersionMax="36" xr10:uidLastSave="{00000000-0000-0000-0000-000000000000}"/>
  <bookViews>
    <workbookView xWindow="0" yWindow="0" windowWidth="23040" windowHeight="10164" firstSheet="1" activeTab="1" xr2:uid="{00000000-000D-0000-FFFF-FFFF00000000}"/>
  </bookViews>
  <sheets>
    <sheet name="調査票①" sheetId="1" state="hidden" r:id="rId1"/>
    <sheet name="公開用シート（都道府県）" sheetId="56" r:id="rId2"/>
    <sheet name="【別表】自治体コード" sheetId="57" r:id="rId3"/>
  </sheets>
  <definedNames>
    <definedName name="_xlnm._FilterDatabase" localSheetId="0" hidden="1">調査票①!$A$9:$IJ$58</definedName>
    <definedName name="_xlnm.Print_Area" localSheetId="1">'公開用シート（都道府県）'!$A$1:$ET$121</definedName>
    <definedName name="_xlnm.Print_Area" localSheetId="0">調査票①!$A$1:$IJ$58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20" i="1" l="1"/>
  <c r="AY40" i="1"/>
  <c r="N46" i="56"/>
  <c r="R36" i="56"/>
  <c r="R46" i="56"/>
  <c r="EJ93" i="56"/>
  <c r="CM93" i="56"/>
  <c r="DM93" i="56"/>
  <c r="EH70" i="56"/>
  <c r="DM70" i="56"/>
  <c r="CN70" i="56"/>
  <c r="N11" i="56" l="1"/>
  <c r="DS53" i="56"/>
  <c r="DS57" i="56"/>
  <c r="N22" i="56"/>
  <c r="EK51" i="1" l="1"/>
  <c r="EE51" i="1"/>
  <c r="DY51" i="1"/>
  <c r="DS51" i="1"/>
  <c r="DM51" i="1"/>
  <c r="DG51" i="1"/>
  <c r="DA51" i="1"/>
  <c r="CU51" i="1"/>
  <c r="CO51" i="1"/>
  <c r="CI51" i="1"/>
  <c r="CC51" i="1"/>
  <c r="BW51" i="1"/>
  <c r="BQ51" i="1"/>
  <c r="BK51" i="1"/>
  <c r="BE51" i="1"/>
  <c r="DM35" i="1" l="1"/>
  <c r="EW56" i="1" l="1"/>
  <c r="FC55" i="1"/>
  <c r="FC56" i="1"/>
  <c r="FC54" i="1"/>
  <c r="IJ48" i="1" l="1"/>
  <c r="GA48" i="1"/>
  <c r="FU48" i="1"/>
  <c r="FO48" i="1"/>
  <c r="FI48" i="1"/>
  <c r="FC48" i="1"/>
  <c r="EW48" i="1"/>
  <c r="EQ48" i="1"/>
  <c r="EK48" i="1"/>
  <c r="EE48" i="1"/>
  <c r="DY48" i="1"/>
  <c r="DS48" i="1"/>
  <c r="DM48" i="1"/>
  <c r="DG48" i="1"/>
  <c r="DA48" i="1"/>
  <c r="CU48" i="1"/>
  <c r="CO48" i="1"/>
  <c r="CI48" i="1"/>
  <c r="CC48" i="1"/>
  <c r="BW48" i="1"/>
  <c r="BQ48" i="1"/>
  <c r="BK48" i="1"/>
  <c r="BE48" i="1"/>
  <c r="AY48" i="1"/>
  <c r="AD48" i="1"/>
  <c r="AA48" i="1"/>
  <c r="IJ56" i="1" l="1"/>
  <c r="IJ55" i="1"/>
  <c r="IJ54" i="1"/>
  <c r="IJ53" i="1"/>
  <c r="IJ52" i="1"/>
  <c r="IJ51" i="1"/>
  <c r="IJ50" i="1"/>
  <c r="IJ49" i="1"/>
  <c r="IJ47" i="1"/>
  <c r="IJ46" i="1"/>
  <c r="IJ45" i="1"/>
  <c r="IJ44" i="1"/>
  <c r="IJ43" i="1"/>
  <c r="IJ42" i="1"/>
  <c r="IJ41" i="1"/>
  <c r="IJ40" i="1"/>
  <c r="IJ39" i="1"/>
  <c r="IJ38" i="1"/>
  <c r="IJ37" i="1"/>
  <c r="IJ36" i="1"/>
  <c r="IJ35" i="1"/>
  <c r="IJ34" i="1"/>
  <c r="IJ33" i="1"/>
  <c r="IJ32" i="1"/>
  <c r="IJ31" i="1"/>
  <c r="IJ30" i="1"/>
  <c r="IJ29" i="1"/>
  <c r="IJ28" i="1"/>
  <c r="IJ27" i="1"/>
  <c r="IJ26" i="1"/>
  <c r="IJ25" i="1"/>
  <c r="IJ24" i="1"/>
  <c r="IJ23" i="1"/>
  <c r="IJ22" i="1"/>
  <c r="IJ21" i="1"/>
  <c r="IJ20" i="1"/>
  <c r="IJ19" i="1"/>
  <c r="IJ18" i="1"/>
  <c r="IJ17" i="1"/>
  <c r="IJ16" i="1"/>
  <c r="IJ15" i="1"/>
  <c r="IJ14" i="1"/>
  <c r="IJ13" i="1"/>
  <c r="IJ12" i="1"/>
  <c r="IJ11" i="1"/>
  <c r="IJ10" i="1"/>
  <c r="IJ57" i="1" l="1"/>
  <c r="HG57" i="1"/>
  <c r="HN57" i="1"/>
  <c r="HU57" i="1"/>
  <c r="HV57" i="1"/>
  <c r="HZ57" i="1"/>
  <c r="IA57" i="1"/>
  <c r="IE57" i="1"/>
  <c r="IF57" i="1"/>
  <c r="GZ57" i="1"/>
  <c r="GA56" i="1" l="1"/>
  <c r="GA55" i="1" l="1"/>
  <c r="FU55" i="1"/>
  <c r="FO55" i="1"/>
  <c r="FI55" i="1"/>
  <c r="EW55" i="1"/>
  <c r="EQ55" i="1"/>
  <c r="EK55" i="1"/>
  <c r="EE55" i="1"/>
  <c r="DY55" i="1"/>
  <c r="DS55" i="1"/>
  <c r="DM55" i="1"/>
  <c r="DG55" i="1"/>
  <c r="DA55" i="1"/>
  <c r="CU55" i="1"/>
  <c r="CO55" i="1"/>
  <c r="CI55" i="1"/>
  <c r="CC55" i="1"/>
  <c r="BW55" i="1"/>
  <c r="BQ55" i="1"/>
  <c r="BK55" i="1"/>
  <c r="BE55" i="1"/>
  <c r="AY55" i="1"/>
  <c r="AD55" i="1"/>
  <c r="AA55" i="1"/>
  <c r="GA54" i="1" l="1"/>
  <c r="FU54" i="1"/>
  <c r="FO54" i="1"/>
  <c r="FI54" i="1"/>
  <c r="EW54" i="1"/>
  <c r="EQ54" i="1"/>
  <c r="EK54" i="1"/>
  <c r="EE54" i="1"/>
  <c r="DY54" i="1"/>
  <c r="DS54" i="1"/>
  <c r="DM54" i="1"/>
  <c r="DG54" i="1"/>
  <c r="DA54" i="1"/>
  <c r="CU54" i="1"/>
  <c r="CO54" i="1"/>
  <c r="CI54" i="1"/>
  <c r="CC54" i="1"/>
  <c r="BW54" i="1"/>
  <c r="BQ54" i="1"/>
  <c r="BK54" i="1"/>
  <c r="BE54" i="1"/>
  <c r="AY54" i="1"/>
  <c r="AD54" i="1"/>
  <c r="AA54" i="1"/>
  <c r="GA53" i="1" l="1"/>
  <c r="FU53" i="1"/>
  <c r="FO53" i="1"/>
  <c r="FI53" i="1"/>
  <c r="FC53" i="1"/>
  <c r="EW53" i="1"/>
  <c r="EQ53" i="1"/>
  <c r="EK53" i="1"/>
  <c r="EE53" i="1"/>
  <c r="DY53" i="1"/>
  <c r="DS53" i="1"/>
  <c r="DM53" i="1"/>
  <c r="DG53" i="1"/>
  <c r="DA53" i="1"/>
  <c r="CU53" i="1"/>
  <c r="CO53" i="1"/>
  <c r="CI53" i="1"/>
  <c r="CC53" i="1"/>
  <c r="BW53" i="1"/>
  <c r="BQ53" i="1"/>
  <c r="BK53" i="1"/>
  <c r="BE53" i="1"/>
  <c r="AY53" i="1"/>
  <c r="GA52" i="1" l="1"/>
  <c r="FU52" i="1"/>
  <c r="FO52" i="1"/>
  <c r="FI52" i="1"/>
  <c r="FC52" i="1"/>
  <c r="EW52" i="1"/>
  <c r="EQ52" i="1"/>
  <c r="EK52" i="1"/>
  <c r="EE52" i="1"/>
  <c r="DY52" i="1"/>
  <c r="DS52" i="1"/>
  <c r="DM52" i="1"/>
  <c r="DG52" i="1"/>
  <c r="DA52" i="1"/>
  <c r="CU52" i="1"/>
  <c r="CO52" i="1"/>
  <c r="CI52" i="1"/>
  <c r="CC52" i="1"/>
  <c r="BW52" i="1"/>
  <c r="BQ52" i="1"/>
  <c r="BK52" i="1"/>
  <c r="BE52" i="1"/>
  <c r="AY52" i="1"/>
  <c r="AD52" i="1"/>
  <c r="AA52" i="1"/>
  <c r="GA51" i="1" l="1"/>
  <c r="FU51" i="1"/>
  <c r="FO51" i="1"/>
  <c r="FI51" i="1"/>
  <c r="FC51" i="1"/>
  <c r="EW51" i="1"/>
  <c r="EQ51" i="1"/>
  <c r="AY51" i="1"/>
  <c r="AD51" i="1"/>
  <c r="AA51" i="1"/>
  <c r="GA50" i="1" l="1"/>
  <c r="FU50" i="1"/>
  <c r="FO50" i="1"/>
  <c r="FI50" i="1"/>
  <c r="FC50" i="1"/>
  <c r="EW50" i="1"/>
  <c r="EQ50" i="1"/>
  <c r="EK50" i="1"/>
  <c r="EE50" i="1"/>
  <c r="DY50" i="1"/>
  <c r="DS50" i="1"/>
  <c r="DM50" i="1"/>
  <c r="DG50" i="1"/>
  <c r="DA50" i="1"/>
  <c r="CU50" i="1"/>
  <c r="CO50" i="1"/>
  <c r="CI50" i="1"/>
  <c r="CC50" i="1"/>
  <c r="BW50" i="1"/>
  <c r="BQ50" i="1"/>
  <c r="BK50" i="1"/>
  <c r="BE50" i="1"/>
  <c r="AY50" i="1"/>
  <c r="AD50" i="1"/>
  <c r="AA50" i="1"/>
  <c r="GA49" i="1" l="1"/>
  <c r="FU49" i="1"/>
  <c r="FO49" i="1"/>
  <c r="FI49" i="1"/>
  <c r="FC49" i="1"/>
  <c r="EW49" i="1"/>
  <c r="EQ49" i="1"/>
  <c r="EK49" i="1"/>
  <c r="EE49" i="1"/>
  <c r="DY49" i="1"/>
  <c r="DS49" i="1"/>
  <c r="DM49" i="1"/>
  <c r="DG49" i="1"/>
  <c r="DA49" i="1"/>
  <c r="CU49" i="1"/>
  <c r="CO49" i="1"/>
  <c r="CI49" i="1"/>
  <c r="CC49" i="1"/>
  <c r="BW49" i="1"/>
  <c r="BQ49" i="1"/>
  <c r="BK49" i="1"/>
  <c r="BE49" i="1"/>
  <c r="AY49" i="1"/>
  <c r="AD49" i="1"/>
  <c r="AA49" i="1"/>
  <c r="GA47" i="1" l="1"/>
  <c r="FU47" i="1"/>
  <c r="FO47" i="1"/>
  <c r="FI47" i="1"/>
  <c r="FC47" i="1"/>
  <c r="EW47" i="1"/>
  <c r="EQ47" i="1"/>
  <c r="EK47" i="1"/>
  <c r="EE47" i="1"/>
  <c r="DY47" i="1"/>
  <c r="DS47" i="1"/>
  <c r="DM47" i="1"/>
  <c r="DG47" i="1"/>
  <c r="DA47" i="1"/>
  <c r="CU47" i="1"/>
  <c r="CO47" i="1"/>
  <c r="CI47" i="1"/>
  <c r="CC47" i="1"/>
  <c r="BW47" i="1"/>
  <c r="BQ47" i="1"/>
  <c r="BK47" i="1"/>
  <c r="BE47" i="1"/>
  <c r="AY47" i="1"/>
  <c r="AD47" i="1"/>
  <c r="AA47" i="1"/>
  <c r="GA46" i="1" l="1"/>
  <c r="FU46" i="1"/>
  <c r="FO46" i="1"/>
  <c r="FI46" i="1"/>
  <c r="FC46" i="1"/>
  <c r="EW46" i="1"/>
  <c r="EQ46" i="1"/>
  <c r="EK46" i="1"/>
  <c r="EE46" i="1"/>
  <c r="DY46" i="1"/>
  <c r="DS46" i="1"/>
  <c r="DM46" i="1"/>
  <c r="DG46" i="1"/>
  <c r="DA46" i="1"/>
  <c r="CU46" i="1"/>
  <c r="CO46" i="1"/>
  <c r="CI46" i="1"/>
  <c r="CC46" i="1"/>
  <c r="BW46" i="1"/>
  <c r="BQ46" i="1"/>
  <c r="BK46" i="1"/>
  <c r="BE46" i="1"/>
  <c r="AY46" i="1"/>
  <c r="AD46" i="1"/>
  <c r="AA46" i="1"/>
  <c r="GA45" i="1" l="1"/>
  <c r="FU45" i="1"/>
  <c r="FO45" i="1"/>
  <c r="FI45" i="1"/>
  <c r="FC45" i="1"/>
  <c r="EW45" i="1"/>
  <c r="EQ45" i="1"/>
  <c r="EK45" i="1"/>
  <c r="EE45" i="1"/>
  <c r="DY45" i="1"/>
  <c r="DS45" i="1"/>
  <c r="DM45" i="1"/>
  <c r="DG45" i="1"/>
  <c r="DA45" i="1"/>
  <c r="CU45" i="1"/>
  <c r="CO45" i="1"/>
  <c r="CI45" i="1"/>
  <c r="CC45" i="1"/>
  <c r="BW45" i="1"/>
  <c r="BQ45" i="1"/>
  <c r="BK45" i="1"/>
  <c r="BE45" i="1"/>
  <c r="AY45" i="1"/>
  <c r="AD45" i="1"/>
  <c r="AA45" i="1"/>
  <c r="GA44" i="1" l="1"/>
  <c r="FU44" i="1"/>
  <c r="FO44" i="1"/>
  <c r="FI44" i="1"/>
  <c r="FC44" i="1"/>
  <c r="EW44" i="1"/>
  <c r="EQ44" i="1"/>
  <c r="EK44" i="1"/>
  <c r="EE44" i="1"/>
  <c r="DY44" i="1"/>
  <c r="DS44" i="1"/>
  <c r="DM44" i="1"/>
  <c r="DG44" i="1"/>
  <c r="DA44" i="1"/>
  <c r="CU44" i="1"/>
  <c r="CO44" i="1"/>
  <c r="CI44" i="1"/>
  <c r="CC44" i="1"/>
  <c r="BW44" i="1"/>
  <c r="BQ44" i="1"/>
  <c r="BK44" i="1"/>
  <c r="BE44" i="1"/>
  <c r="AY44" i="1"/>
  <c r="AD44" i="1"/>
  <c r="AA44" i="1"/>
  <c r="GA43" i="1" l="1"/>
  <c r="FU43" i="1"/>
  <c r="FO43" i="1"/>
  <c r="FI43" i="1"/>
  <c r="FC43" i="1"/>
  <c r="EW43" i="1"/>
  <c r="EQ43" i="1"/>
  <c r="EK43" i="1"/>
  <c r="EE43" i="1"/>
  <c r="DY43" i="1"/>
  <c r="DS43" i="1"/>
  <c r="DM43" i="1"/>
  <c r="DG43" i="1"/>
  <c r="DA43" i="1"/>
  <c r="CU43" i="1"/>
  <c r="CO43" i="1"/>
  <c r="CI43" i="1"/>
  <c r="CC43" i="1"/>
  <c r="BW43" i="1"/>
  <c r="BQ43" i="1"/>
  <c r="BK43" i="1"/>
  <c r="BE43" i="1"/>
  <c r="AY43" i="1"/>
  <c r="AD43" i="1"/>
  <c r="AA43" i="1"/>
  <c r="GA42" i="1" l="1"/>
  <c r="FU42" i="1"/>
  <c r="FO42" i="1"/>
  <c r="FI42" i="1"/>
  <c r="FC42" i="1"/>
  <c r="EW42" i="1"/>
  <c r="EQ42" i="1"/>
  <c r="EK42" i="1"/>
  <c r="EE42" i="1"/>
  <c r="DY42" i="1"/>
  <c r="DS42" i="1"/>
  <c r="DM42" i="1"/>
  <c r="DG42" i="1"/>
  <c r="DA42" i="1"/>
  <c r="CU42" i="1"/>
  <c r="CO42" i="1"/>
  <c r="CI42" i="1"/>
  <c r="CC42" i="1"/>
  <c r="BW42" i="1"/>
  <c r="BQ42" i="1"/>
  <c r="BK42" i="1"/>
  <c r="BE42" i="1"/>
  <c r="AY42" i="1"/>
  <c r="AD42" i="1"/>
  <c r="AA42" i="1"/>
  <c r="GA41" i="1" l="1"/>
  <c r="FU41" i="1"/>
  <c r="FO41" i="1"/>
  <c r="FI41" i="1"/>
  <c r="FC41" i="1"/>
  <c r="EW41" i="1"/>
  <c r="EQ41" i="1"/>
  <c r="EK41" i="1"/>
  <c r="EE41" i="1"/>
  <c r="DY41" i="1"/>
  <c r="DS41" i="1"/>
  <c r="DM41" i="1"/>
  <c r="DG41" i="1"/>
  <c r="DA41" i="1"/>
  <c r="CU41" i="1"/>
  <c r="CO41" i="1"/>
  <c r="CI41" i="1"/>
  <c r="CC41" i="1"/>
  <c r="BW41" i="1"/>
  <c r="BQ41" i="1"/>
  <c r="BK41" i="1"/>
  <c r="BE41" i="1"/>
  <c r="AY41" i="1"/>
  <c r="AD41" i="1"/>
  <c r="AA41" i="1"/>
  <c r="GA40" i="1" l="1"/>
  <c r="FU40" i="1"/>
  <c r="FO40" i="1"/>
  <c r="FI40" i="1"/>
  <c r="FC40" i="1"/>
  <c r="EW40" i="1"/>
  <c r="EQ40" i="1"/>
  <c r="EK40" i="1"/>
  <c r="EE40" i="1"/>
  <c r="DY40" i="1"/>
  <c r="DS40" i="1"/>
  <c r="DM40" i="1"/>
  <c r="DG40" i="1"/>
  <c r="DA40" i="1"/>
  <c r="CU40" i="1"/>
  <c r="CO40" i="1"/>
  <c r="CI40" i="1"/>
  <c r="CC40" i="1"/>
  <c r="BW40" i="1"/>
  <c r="BQ40" i="1"/>
  <c r="BK40" i="1"/>
  <c r="BE40" i="1"/>
  <c r="AD40" i="1"/>
  <c r="AA40" i="1"/>
  <c r="GA39" i="1" l="1"/>
  <c r="FU39" i="1"/>
  <c r="FO39" i="1"/>
  <c r="FI39" i="1"/>
  <c r="FC39" i="1"/>
  <c r="EW39" i="1"/>
  <c r="EQ39" i="1"/>
  <c r="EK39" i="1"/>
  <c r="EE39" i="1"/>
  <c r="DY39" i="1"/>
  <c r="DS39" i="1"/>
  <c r="DM39" i="1"/>
  <c r="DG39" i="1"/>
  <c r="DA39" i="1"/>
  <c r="CU39" i="1"/>
  <c r="CO39" i="1"/>
  <c r="CI39" i="1"/>
  <c r="CC39" i="1"/>
  <c r="BW39" i="1"/>
  <c r="BQ39" i="1"/>
  <c r="BK39" i="1"/>
  <c r="BE39" i="1"/>
  <c r="AY39" i="1"/>
  <c r="AD39" i="1"/>
  <c r="AA39" i="1"/>
  <c r="GA38" i="1" l="1"/>
  <c r="FU38" i="1"/>
  <c r="FO38" i="1"/>
  <c r="FI38" i="1"/>
  <c r="FC38" i="1"/>
  <c r="EW38" i="1"/>
  <c r="EQ38" i="1"/>
  <c r="EK38" i="1"/>
  <c r="EE38" i="1"/>
  <c r="DY38" i="1"/>
  <c r="DS38" i="1"/>
  <c r="DG38" i="1"/>
  <c r="DA38" i="1"/>
  <c r="CU38" i="1"/>
  <c r="CO38" i="1"/>
  <c r="CI38" i="1"/>
  <c r="CC38" i="1"/>
  <c r="BW38" i="1"/>
  <c r="BQ38" i="1"/>
  <c r="BK38" i="1"/>
  <c r="BE38" i="1"/>
  <c r="AY38" i="1"/>
  <c r="AD38" i="1"/>
  <c r="AA38" i="1"/>
  <c r="GA37" i="1" l="1"/>
  <c r="FU37" i="1"/>
  <c r="FO37" i="1"/>
  <c r="FI37" i="1"/>
  <c r="FC37" i="1"/>
  <c r="EW37" i="1"/>
  <c r="EQ37" i="1"/>
  <c r="EK37" i="1"/>
  <c r="EE37" i="1"/>
  <c r="DY37" i="1"/>
  <c r="DS37" i="1"/>
  <c r="DM37" i="1"/>
  <c r="DG37" i="1"/>
  <c r="DA37" i="1"/>
  <c r="CU37" i="1"/>
  <c r="CO37" i="1"/>
  <c r="CI37" i="1"/>
  <c r="CC37" i="1"/>
  <c r="BW37" i="1"/>
  <c r="BQ37" i="1"/>
  <c r="BK37" i="1"/>
  <c r="BE37" i="1"/>
  <c r="AY37" i="1"/>
  <c r="AD37" i="1"/>
  <c r="AA37" i="1"/>
  <c r="GA36" i="1" l="1"/>
  <c r="FU36" i="1"/>
  <c r="FO36" i="1"/>
  <c r="FI36" i="1"/>
  <c r="FC36" i="1"/>
  <c r="EW36" i="1"/>
  <c r="EQ36" i="1"/>
  <c r="EK36" i="1"/>
  <c r="EE36" i="1"/>
  <c r="DY36" i="1"/>
  <c r="DS36" i="1"/>
  <c r="DM36" i="1"/>
  <c r="DG36" i="1"/>
  <c r="DA36" i="1"/>
  <c r="CU36" i="1"/>
  <c r="CO36" i="1"/>
  <c r="CI36" i="1"/>
  <c r="CC36" i="1"/>
  <c r="BW36" i="1"/>
  <c r="BQ36" i="1"/>
  <c r="BK36" i="1"/>
  <c r="BE36" i="1"/>
  <c r="AY36" i="1"/>
  <c r="AD36" i="1"/>
  <c r="AA36" i="1"/>
  <c r="GA35" i="1" l="1"/>
  <c r="FU35" i="1"/>
  <c r="FO35" i="1"/>
  <c r="GA34" i="1" l="1"/>
  <c r="FU34" i="1"/>
  <c r="FO34" i="1"/>
  <c r="FI34" i="1"/>
  <c r="FC34" i="1"/>
  <c r="EW34" i="1"/>
  <c r="EQ34" i="1"/>
  <c r="EK34" i="1"/>
  <c r="EE34" i="1"/>
  <c r="DY34" i="1"/>
  <c r="DS34" i="1"/>
  <c r="DM34" i="1"/>
  <c r="DG34" i="1"/>
  <c r="DA34" i="1"/>
  <c r="CU34" i="1"/>
  <c r="CO34" i="1"/>
  <c r="CI34" i="1"/>
  <c r="CC34" i="1"/>
  <c r="BW34" i="1"/>
  <c r="BQ34" i="1"/>
  <c r="BK34" i="1"/>
  <c r="BE34" i="1"/>
  <c r="AY34" i="1"/>
  <c r="AD34" i="1"/>
  <c r="AA34" i="1"/>
  <c r="GA33" i="1" l="1"/>
  <c r="FU33" i="1"/>
  <c r="FO33" i="1"/>
  <c r="FI33" i="1"/>
  <c r="FC33" i="1"/>
  <c r="EW33" i="1"/>
  <c r="EQ33" i="1"/>
  <c r="EK33" i="1"/>
  <c r="EE33" i="1"/>
  <c r="DY33" i="1"/>
  <c r="DS33" i="1"/>
  <c r="DM33" i="1"/>
  <c r="DG33" i="1"/>
  <c r="DA33" i="1"/>
  <c r="CU33" i="1"/>
  <c r="CO33" i="1"/>
  <c r="CI33" i="1"/>
  <c r="CC33" i="1"/>
  <c r="BW33" i="1"/>
  <c r="BQ33" i="1"/>
  <c r="BK33" i="1"/>
  <c r="BE33" i="1"/>
  <c r="AY33" i="1"/>
  <c r="AD33" i="1"/>
  <c r="AA33" i="1"/>
  <c r="GA32" i="1" l="1"/>
  <c r="FU32" i="1"/>
  <c r="FO32" i="1"/>
  <c r="FI32" i="1"/>
  <c r="FC32" i="1"/>
  <c r="EW32" i="1"/>
  <c r="EQ32" i="1"/>
  <c r="EK32" i="1"/>
  <c r="EE32" i="1"/>
  <c r="DY32" i="1"/>
  <c r="DS32" i="1"/>
  <c r="DM32" i="1"/>
  <c r="DG32" i="1"/>
  <c r="DA32" i="1"/>
  <c r="CU32" i="1"/>
  <c r="CO32" i="1"/>
  <c r="CI32" i="1"/>
  <c r="CC32" i="1"/>
  <c r="BW32" i="1"/>
  <c r="BQ32" i="1"/>
  <c r="BK32" i="1"/>
  <c r="BE32" i="1"/>
  <c r="AY32" i="1"/>
  <c r="AD32" i="1"/>
  <c r="AA32" i="1"/>
  <c r="GA31" i="1" l="1"/>
  <c r="FU31" i="1"/>
  <c r="FO31" i="1"/>
  <c r="FI31" i="1"/>
  <c r="FC31" i="1"/>
  <c r="EW31" i="1"/>
  <c r="EQ31" i="1"/>
  <c r="EK31" i="1"/>
  <c r="EE31" i="1"/>
  <c r="DY31" i="1"/>
  <c r="DS31" i="1"/>
  <c r="DM31" i="1"/>
  <c r="DG31" i="1"/>
  <c r="DA31" i="1"/>
  <c r="CU31" i="1"/>
  <c r="CO31" i="1"/>
  <c r="CI31" i="1"/>
  <c r="CC31" i="1"/>
  <c r="BW31" i="1"/>
  <c r="BQ31" i="1"/>
  <c r="BK31" i="1"/>
  <c r="BE31" i="1"/>
  <c r="AY31" i="1"/>
  <c r="AD31" i="1"/>
  <c r="AA31" i="1"/>
  <c r="GA30" i="1" l="1"/>
  <c r="FU30" i="1"/>
  <c r="FO30" i="1"/>
  <c r="FI30" i="1"/>
  <c r="FC30" i="1"/>
  <c r="EW30" i="1"/>
  <c r="EQ30" i="1"/>
  <c r="EK30" i="1"/>
  <c r="EE30" i="1"/>
  <c r="DY30" i="1"/>
  <c r="DS30" i="1"/>
  <c r="DM30" i="1"/>
  <c r="DG30" i="1"/>
  <c r="DA30" i="1"/>
  <c r="CU30" i="1"/>
  <c r="CO30" i="1"/>
  <c r="CI30" i="1"/>
  <c r="CC30" i="1"/>
  <c r="BW30" i="1"/>
  <c r="BQ30" i="1"/>
  <c r="BK30" i="1"/>
  <c r="BE30" i="1"/>
  <c r="AY30" i="1"/>
  <c r="AD30" i="1"/>
  <c r="AA30" i="1"/>
  <c r="GA28" i="1" l="1"/>
  <c r="FO28" i="1"/>
  <c r="FI28" i="1"/>
  <c r="FC28" i="1"/>
  <c r="EW28" i="1"/>
  <c r="EQ28" i="1"/>
  <c r="EE28" i="1"/>
  <c r="DY28" i="1"/>
  <c r="DS28" i="1"/>
  <c r="DM28" i="1"/>
  <c r="DA28" i="1"/>
  <c r="CU28" i="1"/>
  <c r="CO28" i="1"/>
  <c r="CC28" i="1"/>
  <c r="BW28" i="1"/>
  <c r="BQ28" i="1"/>
  <c r="BK28" i="1"/>
  <c r="BE28" i="1"/>
  <c r="AY28" i="1"/>
  <c r="AD28" i="1"/>
  <c r="AA28" i="1"/>
  <c r="GA27" i="1" l="1"/>
  <c r="FU27" i="1"/>
  <c r="FO27" i="1"/>
  <c r="FI27" i="1"/>
  <c r="FC27" i="1"/>
  <c r="EW27" i="1"/>
  <c r="EQ27" i="1"/>
  <c r="EK27" i="1"/>
  <c r="EE27" i="1"/>
  <c r="DY27" i="1"/>
  <c r="DS27" i="1"/>
  <c r="DM27" i="1"/>
  <c r="DG27" i="1"/>
  <c r="DA27" i="1"/>
  <c r="CU27" i="1"/>
  <c r="CO27" i="1"/>
  <c r="CI27" i="1"/>
  <c r="CC27" i="1"/>
  <c r="BW27" i="1"/>
  <c r="BQ27" i="1"/>
  <c r="BK27" i="1"/>
  <c r="BE27" i="1"/>
  <c r="AY27" i="1"/>
  <c r="AD27" i="1"/>
  <c r="AA27" i="1"/>
  <c r="GA26" i="1" l="1"/>
  <c r="FU26" i="1"/>
  <c r="FO26" i="1"/>
  <c r="FI26" i="1"/>
  <c r="FC26" i="1"/>
  <c r="EW26" i="1"/>
  <c r="EQ26" i="1"/>
  <c r="EK26" i="1"/>
  <c r="EE26" i="1"/>
  <c r="DY26" i="1"/>
  <c r="DS26" i="1"/>
  <c r="DM26" i="1"/>
  <c r="DG26" i="1"/>
  <c r="DA26" i="1"/>
  <c r="CU26" i="1"/>
  <c r="CO26" i="1"/>
  <c r="CI26" i="1"/>
  <c r="CC26" i="1"/>
  <c r="BW26" i="1"/>
  <c r="BQ26" i="1"/>
  <c r="BK26" i="1"/>
  <c r="BE26" i="1"/>
  <c r="AY26" i="1"/>
  <c r="AD26" i="1"/>
  <c r="AA26" i="1"/>
  <c r="GA25" i="1" l="1"/>
  <c r="FU25" i="1"/>
  <c r="FO25" i="1"/>
  <c r="FI25" i="1"/>
  <c r="FC25" i="1"/>
  <c r="EW25" i="1"/>
  <c r="EQ25" i="1"/>
  <c r="EK25" i="1"/>
  <c r="EE25" i="1"/>
  <c r="DY25" i="1"/>
  <c r="DS25" i="1"/>
  <c r="DM25" i="1"/>
  <c r="DG25" i="1"/>
  <c r="DA25" i="1"/>
  <c r="CU25" i="1"/>
  <c r="CO25" i="1"/>
  <c r="CI25" i="1"/>
  <c r="CC25" i="1"/>
  <c r="BW25" i="1"/>
  <c r="BQ25" i="1"/>
  <c r="BK25" i="1"/>
  <c r="BE25" i="1"/>
  <c r="AY25" i="1"/>
  <c r="GA24" i="1" l="1"/>
  <c r="FU24" i="1"/>
  <c r="FO24" i="1"/>
  <c r="FI24" i="1"/>
  <c r="FC24" i="1"/>
  <c r="EW24" i="1"/>
  <c r="EQ24" i="1"/>
  <c r="EK24" i="1"/>
  <c r="EE24" i="1"/>
  <c r="DY24" i="1"/>
  <c r="DS24" i="1"/>
  <c r="DM24" i="1"/>
  <c r="DG24" i="1"/>
  <c r="DA24" i="1"/>
  <c r="CU24" i="1"/>
  <c r="CO24" i="1"/>
  <c r="CI24" i="1"/>
  <c r="CC24" i="1"/>
  <c r="BW24" i="1"/>
  <c r="BQ24" i="1"/>
  <c r="BK24" i="1"/>
  <c r="BE24" i="1"/>
  <c r="AY24" i="1"/>
  <c r="AD24" i="1"/>
  <c r="AA24" i="1"/>
  <c r="GA23" i="1" l="1"/>
  <c r="FU23" i="1"/>
  <c r="FO23" i="1"/>
  <c r="FI23" i="1"/>
  <c r="FC23" i="1"/>
  <c r="EW23" i="1"/>
  <c r="EQ23" i="1"/>
  <c r="EK23" i="1"/>
  <c r="EE23" i="1"/>
  <c r="DY23" i="1"/>
  <c r="DS23" i="1"/>
  <c r="DM23" i="1"/>
  <c r="DG23" i="1"/>
  <c r="DA23" i="1"/>
  <c r="CU23" i="1"/>
  <c r="CO23" i="1"/>
  <c r="CI23" i="1"/>
  <c r="CC23" i="1"/>
  <c r="BW23" i="1"/>
  <c r="BQ23" i="1"/>
  <c r="BK23" i="1"/>
  <c r="BE23" i="1"/>
  <c r="AY23" i="1"/>
  <c r="AD23" i="1"/>
  <c r="AA23" i="1"/>
  <c r="GA22" i="1" l="1"/>
  <c r="FU22" i="1"/>
  <c r="FO22" i="1"/>
  <c r="FI22" i="1"/>
  <c r="FC22" i="1"/>
  <c r="EW22" i="1"/>
  <c r="EQ22" i="1"/>
  <c r="EK22" i="1"/>
  <c r="EE22" i="1"/>
  <c r="DY22" i="1"/>
  <c r="DS22" i="1"/>
  <c r="DM22" i="1"/>
  <c r="DG22" i="1"/>
  <c r="DA22" i="1"/>
  <c r="CU22" i="1"/>
  <c r="CO22" i="1"/>
  <c r="CI22" i="1"/>
  <c r="CC22" i="1"/>
  <c r="BW22" i="1"/>
  <c r="BQ22" i="1"/>
  <c r="BK22" i="1"/>
  <c r="BE22" i="1"/>
  <c r="AY22" i="1"/>
  <c r="AD22" i="1"/>
  <c r="AA22" i="1"/>
  <c r="GA21" i="1" l="1"/>
  <c r="FU21" i="1"/>
  <c r="FO21" i="1"/>
  <c r="FI21" i="1"/>
  <c r="FC21" i="1"/>
  <c r="EW21" i="1"/>
  <c r="EQ21" i="1"/>
  <c r="EK21" i="1"/>
  <c r="EE21" i="1"/>
  <c r="DY21" i="1"/>
  <c r="DS21" i="1"/>
  <c r="DM21" i="1"/>
  <c r="DG21" i="1"/>
  <c r="DA21" i="1"/>
  <c r="CU21" i="1"/>
  <c r="CO21" i="1"/>
  <c r="CI21" i="1"/>
  <c r="CC21" i="1"/>
  <c r="BW21" i="1"/>
  <c r="BQ21" i="1"/>
  <c r="BK21" i="1"/>
  <c r="BE21" i="1"/>
  <c r="AY21" i="1"/>
  <c r="AD21" i="1"/>
  <c r="AA21" i="1"/>
  <c r="GA20" i="1" l="1"/>
  <c r="FU20" i="1"/>
  <c r="FO20" i="1"/>
  <c r="FI20" i="1"/>
  <c r="FC20" i="1"/>
  <c r="EW20" i="1"/>
  <c r="EQ20" i="1"/>
  <c r="EK20" i="1"/>
  <c r="EE20" i="1"/>
  <c r="DY20" i="1"/>
  <c r="DS20" i="1"/>
  <c r="DM20" i="1"/>
  <c r="DG20" i="1"/>
  <c r="DA20" i="1"/>
  <c r="CU20" i="1"/>
  <c r="CO20" i="1"/>
  <c r="CI20" i="1"/>
  <c r="CC20" i="1"/>
  <c r="BW20" i="1"/>
  <c r="BQ20" i="1"/>
  <c r="BK20" i="1"/>
  <c r="BE20" i="1"/>
  <c r="AD20" i="1"/>
  <c r="AA20" i="1"/>
  <c r="GA19" i="1"/>
  <c r="FU19" i="1"/>
  <c r="FO19" i="1"/>
  <c r="FI19" i="1"/>
  <c r="FC19" i="1"/>
  <c r="EW19" i="1"/>
  <c r="EQ19" i="1"/>
  <c r="EK19" i="1"/>
  <c r="EE19" i="1"/>
  <c r="DY19" i="1"/>
  <c r="DS19" i="1"/>
  <c r="DM19" i="1"/>
  <c r="DG19" i="1"/>
  <c r="DA19" i="1"/>
  <c r="CU19" i="1"/>
  <c r="CO19" i="1"/>
  <c r="CI19" i="1"/>
  <c r="CC19" i="1"/>
  <c r="BW19" i="1"/>
  <c r="BQ19" i="1"/>
  <c r="BK19" i="1"/>
  <c r="BE19" i="1"/>
  <c r="AY19" i="1"/>
  <c r="AD19" i="1"/>
  <c r="AA19" i="1"/>
  <c r="GA17" i="1" l="1"/>
  <c r="FU17" i="1"/>
  <c r="FO17" i="1"/>
  <c r="FI17" i="1"/>
  <c r="FC17" i="1"/>
  <c r="EW17" i="1"/>
  <c r="EQ17" i="1"/>
  <c r="EK17" i="1"/>
  <c r="EE17" i="1"/>
  <c r="DY17" i="1"/>
  <c r="DS17" i="1"/>
  <c r="DM17" i="1"/>
  <c r="DG17" i="1"/>
  <c r="DA17" i="1"/>
  <c r="CU17" i="1"/>
  <c r="CO17" i="1"/>
  <c r="CI17" i="1"/>
  <c r="CC17" i="1"/>
  <c r="BW17" i="1"/>
  <c r="BQ17" i="1"/>
  <c r="BK17" i="1"/>
  <c r="BE17" i="1"/>
  <c r="AY17" i="1"/>
  <c r="AD17" i="1"/>
  <c r="AA17" i="1"/>
  <c r="GA16" i="1" l="1"/>
  <c r="FU16" i="1"/>
  <c r="FO16" i="1"/>
  <c r="FI16" i="1"/>
  <c r="FC16" i="1"/>
  <c r="EW16" i="1"/>
  <c r="EQ16" i="1"/>
  <c r="EK16" i="1"/>
  <c r="EE16" i="1"/>
  <c r="DY16" i="1"/>
  <c r="DS16" i="1"/>
  <c r="DM16" i="1"/>
  <c r="DG16" i="1"/>
  <c r="DA16" i="1"/>
  <c r="CU16" i="1"/>
  <c r="CO16" i="1"/>
  <c r="CI16" i="1"/>
  <c r="CC16" i="1"/>
  <c r="BW16" i="1"/>
  <c r="BQ16" i="1"/>
  <c r="BK16" i="1"/>
  <c r="BE16" i="1"/>
  <c r="AY16" i="1"/>
  <c r="AD16" i="1"/>
  <c r="AA16" i="1"/>
  <c r="GA15" i="1" l="1"/>
  <c r="FU15" i="1"/>
  <c r="FO15" i="1"/>
  <c r="FI15" i="1"/>
  <c r="FC15" i="1"/>
  <c r="EW15" i="1"/>
  <c r="EQ15" i="1"/>
  <c r="EK15" i="1"/>
  <c r="EE15" i="1"/>
  <c r="DY15" i="1"/>
  <c r="DS15" i="1"/>
  <c r="DM15" i="1"/>
  <c r="DG15" i="1"/>
  <c r="DA15" i="1"/>
  <c r="CU15" i="1"/>
  <c r="CO15" i="1"/>
  <c r="CI15" i="1"/>
  <c r="CC15" i="1"/>
  <c r="BW15" i="1"/>
  <c r="BQ15" i="1"/>
  <c r="BK15" i="1"/>
  <c r="BE15" i="1"/>
  <c r="AY15" i="1"/>
  <c r="AD15" i="1"/>
  <c r="AA15" i="1"/>
  <c r="AA14" i="1"/>
  <c r="AD14" i="1"/>
  <c r="AY14" i="1"/>
  <c r="BE14" i="1"/>
  <c r="BK14" i="1"/>
  <c r="BQ14" i="1"/>
  <c r="R65" i="56" s="1"/>
  <c r="BW14" i="1"/>
  <c r="CC14" i="1"/>
  <c r="CI14" i="1"/>
  <c r="CO14" i="1"/>
  <c r="CU14" i="1"/>
  <c r="DA14" i="1"/>
  <c r="DG14" i="1"/>
  <c r="DM14" i="1"/>
  <c r="DS14" i="1"/>
  <c r="DY14" i="1"/>
  <c r="EE14" i="1"/>
  <c r="EK14" i="1"/>
  <c r="EQ14" i="1"/>
  <c r="EW14" i="1"/>
  <c r="FC14" i="1"/>
  <c r="FI14" i="1"/>
  <c r="FO14" i="1"/>
  <c r="FU14" i="1"/>
  <c r="GA14" i="1"/>
  <c r="GA13" i="1" l="1"/>
  <c r="FU13" i="1"/>
  <c r="FO13" i="1"/>
  <c r="FI13" i="1"/>
  <c r="FC13" i="1"/>
  <c r="EW13" i="1"/>
  <c r="EQ13" i="1"/>
  <c r="EK13" i="1"/>
  <c r="EE13" i="1"/>
  <c r="DY13" i="1"/>
  <c r="DS13" i="1"/>
  <c r="DM13" i="1"/>
  <c r="DG13" i="1"/>
  <c r="DA13" i="1"/>
  <c r="CU13" i="1"/>
  <c r="CO13" i="1"/>
  <c r="CI13" i="1"/>
  <c r="CC13" i="1"/>
  <c r="BW13" i="1"/>
  <c r="BQ13" i="1"/>
  <c r="BK13" i="1"/>
  <c r="BE13" i="1"/>
  <c r="AY13" i="1"/>
  <c r="AD13" i="1"/>
  <c r="AA13" i="1"/>
  <c r="GA12" i="1" l="1"/>
  <c r="FU12" i="1"/>
  <c r="BQ12" i="1"/>
  <c r="BK12" i="1"/>
  <c r="BE12" i="1"/>
  <c r="AD12" i="1"/>
  <c r="AA12" i="1"/>
  <c r="GA11" i="1" l="1"/>
  <c r="FU11" i="1"/>
  <c r="FO11" i="1"/>
  <c r="FI11" i="1"/>
  <c r="FC11" i="1"/>
  <c r="EW11" i="1"/>
  <c r="EQ11" i="1"/>
  <c r="EK11" i="1"/>
  <c r="EE11" i="1"/>
  <c r="DY11" i="1"/>
  <c r="DS11" i="1"/>
  <c r="DM11" i="1"/>
  <c r="DG11" i="1"/>
  <c r="DA11" i="1"/>
  <c r="CU11" i="1"/>
  <c r="CO11" i="1"/>
  <c r="CI11" i="1"/>
  <c r="CC11" i="1"/>
  <c r="BW11" i="1"/>
  <c r="BQ11" i="1"/>
  <c r="BK11" i="1"/>
  <c r="BE11" i="1"/>
  <c r="AY11" i="1"/>
  <c r="AD11" i="1"/>
  <c r="AA11" i="1"/>
  <c r="GA10" i="1" l="1"/>
  <c r="FU10" i="1"/>
  <c r="FO10" i="1"/>
  <c r="FI10" i="1"/>
  <c r="FC10" i="1"/>
  <c r="EW10" i="1"/>
  <c r="EQ10" i="1"/>
  <c r="DM10" i="1"/>
  <c r="DG10" i="1"/>
  <c r="DA10" i="1"/>
  <c r="CU10" i="1"/>
  <c r="CO10" i="1"/>
  <c r="CI10" i="1"/>
  <c r="CC10" i="1"/>
  <c r="BW10" i="1"/>
  <c r="BQ10" i="1"/>
  <c r="BK10" i="1"/>
  <c r="BE10" i="1"/>
  <c r="AY10" i="1"/>
  <c r="AD10" i="1"/>
  <c r="AA10" i="1"/>
  <c r="AM103" i="56" l="1"/>
  <c r="AJ103" i="56"/>
  <c r="U103" i="56"/>
  <c r="O103" i="56"/>
  <c r="L103" i="56"/>
  <c r="AM101" i="56"/>
  <c r="AJ101" i="56"/>
  <c r="U101" i="56"/>
  <c r="O101" i="56"/>
  <c r="L101" i="56"/>
  <c r="AM99" i="56"/>
  <c r="AJ99" i="56"/>
  <c r="U99" i="56"/>
  <c r="O99" i="56"/>
  <c r="L99" i="56"/>
  <c r="AM97" i="56"/>
  <c r="AJ97" i="56"/>
  <c r="U97" i="56"/>
  <c r="O97" i="56"/>
  <c r="L97" i="56"/>
  <c r="AM95" i="56"/>
  <c r="AJ95" i="56"/>
  <c r="U95" i="56"/>
  <c r="O95" i="56"/>
  <c r="L95" i="56"/>
  <c r="AM93" i="56"/>
  <c r="AJ93" i="56"/>
  <c r="U93" i="56"/>
  <c r="O93" i="56"/>
  <c r="L93" i="56"/>
  <c r="BU91" i="56"/>
  <c r="AM91" i="56"/>
  <c r="AJ91" i="56"/>
  <c r="U91" i="56"/>
  <c r="O91" i="56"/>
  <c r="L91" i="56"/>
  <c r="AM89" i="56"/>
  <c r="AJ89" i="56"/>
  <c r="U89" i="56"/>
  <c r="O89" i="56"/>
  <c r="L89" i="56"/>
  <c r="AM87" i="56"/>
  <c r="AJ87" i="56"/>
  <c r="U87" i="56"/>
  <c r="O87" i="56"/>
  <c r="L87" i="56"/>
  <c r="AM85" i="56"/>
  <c r="AJ85" i="56"/>
  <c r="U85" i="56"/>
  <c r="O85" i="56"/>
  <c r="L85" i="56"/>
  <c r="AM83" i="56"/>
  <c r="AJ83" i="56"/>
  <c r="U83" i="56"/>
  <c r="O83" i="56"/>
  <c r="L83" i="56"/>
  <c r="AM81" i="56"/>
  <c r="AJ81" i="56"/>
  <c r="U81" i="56"/>
  <c r="O81" i="56"/>
  <c r="L81" i="56"/>
  <c r="AM79" i="56"/>
  <c r="AJ79" i="56"/>
  <c r="U79" i="56"/>
  <c r="O79" i="56"/>
  <c r="L79" i="56"/>
  <c r="AM77" i="56"/>
  <c r="AJ77" i="56"/>
  <c r="U77" i="56"/>
  <c r="AM75" i="56"/>
  <c r="AJ75" i="56"/>
  <c r="U75" i="56"/>
  <c r="O75" i="56"/>
  <c r="L75" i="56"/>
  <c r="AM73" i="56"/>
  <c r="AJ73" i="56"/>
  <c r="U73" i="56"/>
  <c r="O73" i="56"/>
  <c r="L73" i="56"/>
  <c r="AM71" i="56"/>
  <c r="AJ71" i="56"/>
  <c r="U71" i="56"/>
  <c r="O71" i="56"/>
  <c r="L71" i="56"/>
  <c r="AM69" i="56"/>
  <c r="AJ69" i="56"/>
  <c r="U69" i="56"/>
  <c r="O69" i="56"/>
  <c r="L69" i="56"/>
  <c r="AM67" i="56"/>
  <c r="AJ67" i="56"/>
  <c r="U67" i="56"/>
  <c r="O67" i="56"/>
  <c r="L67" i="56"/>
  <c r="AM65" i="56"/>
  <c r="AJ65" i="56"/>
  <c r="U65" i="56"/>
  <c r="O65" i="56"/>
  <c r="L65" i="56"/>
  <c r="AM63" i="56"/>
  <c r="AJ63" i="56"/>
  <c r="U63" i="56"/>
  <c r="O63" i="56"/>
  <c r="L63" i="56"/>
  <c r="AM61" i="56"/>
  <c r="AJ61" i="56"/>
  <c r="U61" i="56"/>
  <c r="O61" i="56"/>
  <c r="L61" i="56"/>
  <c r="AM59" i="56"/>
  <c r="AJ59" i="56"/>
  <c r="U59" i="56"/>
  <c r="O59" i="56"/>
  <c r="L59" i="56"/>
  <c r="CN51" i="56"/>
  <c r="R44" i="56"/>
  <c r="N44" i="56"/>
  <c r="R42" i="56"/>
  <c r="N42" i="56"/>
  <c r="R40" i="56"/>
  <c r="N40" i="56"/>
  <c r="DL38" i="56"/>
  <c r="CN38" i="56"/>
  <c r="R38" i="56"/>
  <c r="N38" i="56"/>
  <c r="R34" i="56"/>
  <c r="N34" i="56"/>
  <c r="R32" i="56"/>
  <c r="N32" i="56"/>
  <c r="CN30" i="56"/>
  <c r="R30" i="56"/>
  <c r="N30" i="56"/>
  <c r="R28" i="56"/>
  <c r="N28" i="56"/>
  <c r="R26" i="56"/>
  <c r="N26" i="56"/>
  <c r="R24" i="56"/>
  <c r="N24" i="56"/>
  <c r="EE23" i="56"/>
  <c r="EA23" i="56"/>
  <c r="DW23" i="56"/>
  <c r="DS23" i="56"/>
  <c r="DO23" i="56"/>
  <c r="DK23" i="56"/>
  <c r="DG23" i="56"/>
  <c r="DC23" i="56"/>
  <c r="R22" i="56"/>
  <c r="CN21" i="56"/>
  <c r="CD21" i="56"/>
  <c r="R59" i="56" l="1"/>
  <c r="GP57" i="1" l="1"/>
  <c r="GQ57" i="1"/>
  <c r="BA57" i="1"/>
  <c r="O57" i="1"/>
  <c r="I57" i="1"/>
  <c r="R103" i="56" l="1"/>
  <c r="R101" i="56"/>
  <c r="R99" i="56"/>
  <c r="R97" i="56"/>
  <c r="R95" i="56"/>
  <c r="R93" i="56"/>
  <c r="R91" i="56"/>
  <c r="R89" i="56"/>
  <c r="R87" i="56"/>
  <c r="R85" i="56"/>
  <c r="R83" i="56"/>
  <c r="R81" i="56"/>
  <c r="R79" i="56"/>
  <c r="O77" i="56"/>
  <c r="L77" i="56"/>
  <c r="R75" i="56"/>
  <c r="R73" i="56"/>
  <c r="R71" i="56"/>
  <c r="R69" i="56"/>
  <c r="R67" i="56"/>
  <c r="R63" i="56"/>
  <c r="R61" i="56"/>
  <c r="N36" i="56"/>
  <c r="R77" i="56" l="1"/>
  <c r="C57" i="1" l="1"/>
  <c r="D57" i="1"/>
  <c r="E57" i="1"/>
  <c r="F57" i="1"/>
  <c r="G57" i="1"/>
  <c r="H57" i="1"/>
  <c r="J57" i="1"/>
  <c r="K57" i="1"/>
  <c r="L57" i="1"/>
  <c r="M57" i="1"/>
  <c r="N57" i="1"/>
  <c r="P57" i="1"/>
  <c r="Q57" i="1"/>
  <c r="R57" i="1"/>
  <c r="S57" i="1"/>
  <c r="T57" i="1"/>
  <c r="U57" i="1"/>
  <c r="V57" i="1"/>
  <c r="W57" i="1"/>
  <c r="X57" i="1"/>
  <c r="Y57" i="1"/>
  <c r="Z57" i="1"/>
  <c r="AB57" i="1"/>
  <c r="AC57" i="1"/>
  <c r="AE57" i="1"/>
  <c r="AF57" i="1"/>
  <c r="AG57" i="1"/>
  <c r="AH57" i="1"/>
  <c r="AI57" i="1"/>
  <c r="AJ57" i="1"/>
  <c r="AK57" i="1"/>
  <c r="AL57" i="1"/>
  <c r="AM57" i="1"/>
  <c r="AN57" i="1"/>
  <c r="AO57" i="1"/>
  <c r="AP57" i="1"/>
  <c r="AQ57" i="1"/>
  <c r="AR57" i="1"/>
  <c r="AS57" i="1"/>
  <c r="AT57" i="1"/>
  <c r="AU57" i="1"/>
  <c r="AV57" i="1"/>
  <c r="AW57" i="1"/>
  <c r="AX57" i="1"/>
  <c r="BC57" i="1"/>
  <c r="BD57" i="1"/>
  <c r="BG57" i="1"/>
  <c r="BI57" i="1"/>
  <c r="BJ57" i="1"/>
  <c r="BM57" i="1"/>
  <c r="BO57" i="1"/>
  <c r="BP57" i="1"/>
  <c r="BS57" i="1"/>
  <c r="BU57" i="1"/>
  <c r="BV57" i="1"/>
  <c r="BY57" i="1"/>
  <c r="CA57" i="1"/>
  <c r="CB57" i="1"/>
  <c r="CE57" i="1"/>
  <c r="CG57" i="1"/>
  <c r="CH57" i="1"/>
  <c r="CK57" i="1"/>
  <c r="CM57" i="1"/>
  <c r="CN57" i="1"/>
  <c r="CQ57" i="1"/>
  <c r="CS57" i="1"/>
  <c r="CT57" i="1"/>
  <c r="CW57" i="1"/>
  <c r="CY57" i="1"/>
  <c r="CZ57" i="1"/>
  <c r="DC57" i="1"/>
  <c r="DE57" i="1"/>
  <c r="DF57" i="1"/>
  <c r="DI57" i="1"/>
  <c r="DK57" i="1"/>
  <c r="DL57" i="1"/>
  <c r="DO57" i="1"/>
  <c r="DQ57" i="1"/>
  <c r="DR57" i="1"/>
  <c r="DU57" i="1"/>
  <c r="DW57" i="1"/>
  <c r="DX57" i="1"/>
  <c r="EA57" i="1"/>
  <c r="EC57" i="1"/>
  <c r="ED57" i="1"/>
  <c r="EG57" i="1"/>
  <c r="EI57" i="1"/>
  <c r="EJ57" i="1"/>
  <c r="EM57" i="1"/>
  <c r="EO57" i="1"/>
  <c r="EP57" i="1"/>
  <c r="ES57" i="1"/>
  <c r="EU57" i="1"/>
  <c r="EV57" i="1"/>
  <c r="EY57" i="1"/>
  <c r="FA57" i="1"/>
  <c r="FB57" i="1"/>
  <c r="FE57" i="1"/>
  <c r="FG57" i="1"/>
  <c r="FH57" i="1"/>
  <c r="FK57" i="1"/>
  <c r="FM57" i="1"/>
  <c r="FN57" i="1"/>
  <c r="FQ57" i="1"/>
  <c r="FS57" i="1"/>
  <c r="FT57" i="1"/>
  <c r="FW57" i="1"/>
  <c r="FY57" i="1"/>
  <c r="FZ57" i="1"/>
  <c r="GC57" i="1"/>
  <c r="GE57" i="1"/>
  <c r="GE58" i="1" s="1"/>
  <c r="EJ22" i="56" s="1"/>
  <c r="GF57" i="1"/>
  <c r="GF58" i="1" s="1"/>
  <c r="EN22" i="56" s="1"/>
  <c r="GG57" i="1"/>
  <c r="GH57" i="1"/>
  <c r="GI57" i="1"/>
  <c r="GJ57" i="1"/>
  <c r="GL57" i="1"/>
  <c r="GM57" i="1"/>
  <c r="GN57" i="1"/>
  <c r="GO57" i="1"/>
  <c r="AY57" i="1" l="1"/>
  <c r="BU59" i="56" s="1"/>
  <c r="C58" i="1"/>
  <c r="BU22" i="56" s="1"/>
  <c r="L58" i="1"/>
  <c r="BU28" i="56" s="1"/>
  <c r="U58" i="1"/>
  <c r="BU34" i="56" s="1"/>
  <c r="BQ57" i="1"/>
  <c r="BU65" i="56" s="1"/>
  <c r="DY57" i="1"/>
  <c r="BU85" i="56" s="1"/>
  <c r="CC57" i="1"/>
  <c r="BU69" i="56" s="1"/>
  <c r="R58" i="1"/>
  <c r="BU32" i="56" s="1"/>
  <c r="DS57" i="1"/>
  <c r="BU83" i="56" s="1"/>
  <c r="BW57" i="1"/>
  <c r="BU67" i="56" s="1"/>
  <c r="AK58" i="1"/>
  <c r="BU40" i="56" s="1"/>
  <c r="DM57" i="1"/>
  <c r="BU81" i="56" s="1"/>
  <c r="CU57" i="1"/>
  <c r="BU75" i="56" s="1"/>
  <c r="AH58" i="1"/>
  <c r="BU38" i="56" s="1"/>
  <c r="I58" i="1"/>
  <c r="BU26" i="56" s="1"/>
  <c r="EK57" i="1"/>
  <c r="BU89" i="56" s="1"/>
  <c r="CO57" i="1"/>
  <c r="BU73" i="56" s="1"/>
  <c r="DA57" i="1"/>
  <c r="BU77" i="56" s="1"/>
  <c r="BE57" i="1"/>
  <c r="BU61" i="56" s="1"/>
  <c r="FU57" i="1"/>
  <c r="BU101" i="56" s="1"/>
  <c r="DG57" i="1"/>
  <c r="BU79" i="56" s="1"/>
  <c r="BK57" i="1"/>
  <c r="BU63" i="56" s="1"/>
  <c r="AN58" i="1"/>
  <c r="BU42" i="56" s="1"/>
  <c r="EE57" i="1"/>
  <c r="BU87" i="56" s="1"/>
  <c r="CI57" i="1"/>
  <c r="BU71" i="56" s="1"/>
  <c r="AT58" i="1"/>
  <c r="BU46" i="56" s="1"/>
  <c r="F58" i="1"/>
  <c r="BU24" i="56" s="1"/>
  <c r="FO57" i="1"/>
  <c r="BU99" i="56" s="1"/>
  <c r="EW57" i="1"/>
  <c r="BU93" i="56" s="1"/>
  <c r="FC57" i="1"/>
  <c r="BU95" i="56" s="1"/>
  <c r="O58" i="1"/>
  <c r="BU30" i="56" s="1"/>
  <c r="GA57" i="1"/>
  <c r="BU103" i="56" s="1"/>
  <c r="AQ58" i="1"/>
  <c r="BU44" i="56" s="1"/>
  <c r="FI57" i="1"/>
  <c r="BU97" i="56" s="1"/>
  <c r="GX58" i="1" l="1"/>
  <c r="GU58" i="1"/>
  <c r="GX57" i="1"/>
  <c r="GW57" i="1"/>
  <c r="GW58" i="1" s="1"/>
  <c r="CD103" i="56" s="1"/>
  <c r="GU57" i="1"/>
  <c r="GT57" i="1"/>
  <c r="GT58" i="1" s="1"/>
  <c r="CD80" i="56" s="1"/>
  <c r="GS57" i="1"/>
  <c r="GS58" i="1" s="1"/>
  <c r="EL53" i="56" s="1"/>
  <c r="EP53" i="56" s="1"/>
  <c r="GR57" i="1"/>
  <c r="GR58" i="1" s="1"/>
  <c r="AD57" i="1"/>
  <c r="AA57" i="1" l="1"/>
  <c r="X58" i="1" s="1"/>
  <c r="BU36"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SS18111060</author>
  </authors>
  <commentList>
    <comment ref="DK12" authorId="0" shapeId="0" xr:uid="{C1B4CE6A-ACC6-4E71-BF68-CF6E4663C320}">
      <text>
        <r>
          <rPr>
            <b/>
            <sz val="9"/>
            <color indexed="81"/>
            <rFont val="MS P ゴシック"/>
            <family val="3"/>
            <charset val="128"/>
          </rPr>
          <t>県営住宅等条例
77+1(南青山)＝78
特定公共賃貸住宅条例
3
計81</t>
        </r>
      </text>
    </comment>
  </commentList>
</comments>
</file>

<file path=xl/sharedStrings.xml><?xml version="1.0" encoding="utf-8"?>
<sst xmlns="http://schemas.openxmlformats.org/spreadsheetml/2006/main" count="5736" uniqueCount="787">
  <si>
    <t>合計</t>
    <rPh sb="0" eb="2">
      <t>ゴウケイ</t>
    </rPh>
    <phoneticPr fontId="4"/>
  </si>
  <si>
    <t>策定予定時期</t>
    <rPh sb="0" eb="2">
      <t>サクテイ</t>
    </rPh>
    <rPh sb="2" eb="4">
      <t>ヨテイ</t>
    </rPh>
    <rPh sb="4" eb="6">
      <t>ジキ</t>
    </rPh>
    <phoneticPr fontId="4"/>
  </si>
  <si>
    <t>自治体クラウド又は
単独クラウド実施済み</t>
    <rPh sb="0" eb="3">
      <t>ジチタイ</t>
    </rPh>
    <rPh sb="7" eb="8">
      <t>マタ</t>
    </rPh>
    <rPh sb="10" eb="12">
      <t>タンドク</t>
    </rPh>
    <rPh sb="16" eb="18">
      <t>ジッシ</t>
    </rPh>
    <rPh sb="18" eb="19">
      <t>ズ</t>
    </rPh>
    <phoneticPr fontId="4"/>
  </si>
  <si>
    <t>委託あり</t>
    <rPh sb="0" eb="2">
      <t>イタク</t>
    </rPh>
    <phoneticPr fontId="4"/>
  </si>
  <si>
    <t>作成済</t>
    <rPh sb="0" eb="2">
      <t>サクセイ</t>
    </rPh>
    <rPh sb="2" eb="3">
      <t>ズ</t>
    </rPh>
    <phoneticPr fontId="4"/>
  </si>
  <si>
    <t>策定予定</t>
    <rPh sb="0" eb="2">
      <t>サクテイ</t>
    </rPh>
    <rPh sb="2" eb="4">
      <t>ヨテイ</t>
    </rPh>
    <phoneticPr fontId="4"/>
  </si>
  <si>
    <t>策定済</t>
    <rPh sb="0" eb="2">
      <t>サクテイ</t>
    </rPh>
    <rPh sb="2" eb="3">
      <t>ズミ</t>
    </rPh>
    <phoneticPr fontId="4"/>
  </si>
  <si>
    <t>財務会計業務</t>
    <rPh sb="0" eb="2">
      <t>ザイム</t>
    </rPh>
    <rPh sb="2" eb="4">
      <t>カイケイ</t>
    </rPh>
    <rPh sb="4" eb="6">
      <t>ギョウム</t>
    </rPh>
    <phoneticPr fontId="4"/>
  </si>
  <si>
    <t>福利厚生業務</t>
    <rPh sb="0" eb="2">
      <t>フクリ</t>
    </rPh>
    <rPh sb="2" eb="4">
      <t>コウセイ</t>
    </rPh>
    <rPh sb="4" eb="6">
      <t>ギョウム</t>
    </rPh>
    <phoneticPr fontId="4"/>
  </si>
  <si>
    <t>旅費業務</t>
    <rPh sb="0" eb="2">
      <t>リョヒ</t>
    </rPh>
    <rPh sb="2" eb="4">
      <t>ギョウム</t>
    </rPh>
    <phoneticPr fontId="4"/>
  </si>
  <si>
    <t>給与業務</t>
    <rPh sb="0" eb="2">
      <t>キュウヨ</t>
    </rPh>
    <rPh sb="2" eb="4">
      <t>ギョウム</t>
    </rPh>
    <phoneticPr fontId="4"/>
  </si>
  <si>
    <t>その他</t>
    <rPh sb="2" eb="3">
      <t>タ</t>
    </rPh>
    <phoneticPr fontId="4"/>
  </si>
  <si>
    <t>教育委員会</t>
    <rPh sb="0" eb="2">
      <t>キョウイク</t>
    </rPh>
    <rPh sb="2" eb="5">
      <t>イインカイ</t>
    </rPh>
    <phoneticPr fontId="4"/>
  </si>
  <si>
    <t>企業局</t>
    <rPh sb="0" eb="2">
      <t>キギョウ</t>
    </rPh>
    <rPh sb="2" eb="3">
      <t>キョク</t>
    </rPh>
    <phoneticPr fontId="4"/>
  </si>
  <si>
    <t>首長部局</t>
    <rPh sb="0" eb="2">
      <t>シュチョウ</t>
    </rPh>
    <rPh sb="2" eb="4">
      <t>ブキョク</t>
    </rPh>
    <phoneticPr fontId="4"/>
  </si>
  <si>
    <t>うち
自治体職員常駐施設数</t>
    <rPh sb="3" eb="6">
      <t>ジチタイ</t>
    </rPh>
    <rPh sb="6" eb="8">
      <t>ショクイン</t>
    </rPh>
    <rPh sb="8" eb="10">
      <t>ジョウチュウ</t>
    </rPh>
    <rPh sb="10" eb="12">
      <t>シセツ</t>
    </rPh>
    <rPh sb="12" eb="13">
      <t>カズ</t>
    </rPh>
    <phoneticPr fontId="4"/>
  </si>
  <si>
    <t>導入率</t>
    <rPh sb="0" eb="3">
      <t>ドウニュウリツ</t>
    </rPh>
    <phoneticPr fontId="4"/>
  </si>
  <si>
    <t>指定管理者導入済み件数</t>
    <rPh sb="0" eb="2">
      <t>シテイ</t>
    </rPh>
    <rPh sb="2" eb="5">
      <t>カンリシャ</t>
    </rPh>
    <rPh sb="5" eb="7">
      <t>ドウニュウ</t>
    </rPh>
    <rPh sb="7" eb="8">
      <t>ズ</t>
    </rPh>
    <rPh sb="9" eb="11">
      <t>ケンスウ</t>
    </rPh>
    <phoneticPr fontId="4"/>
  </si>
  <si>
    <t>公の
施設数</t>
    <rPh sb="0" eb="1">
      <t>オオヤケ</t>
    </rPh>
    <rPh sb="3" eb="6">
      <t>シセツスウ</t>
    </rPh>
    <phoneticPr fontId="4"/>
  </si>
  <si>
    <t>｢直営｣かつ｢専任有｣団体</t>
    <rPh sb="9" eb="10">
      <t>ア</t>
    </rPh>
    <rPh sb="11" eb="13">
      <t>ダンタイ</t>
    </rPh>
    <phoneticPr fontId="4"/>
  </si>
  <si>
    <t>委託状況</t>
    <rPh sb="0" eb="2">
      <t>イタク</t>
    </rPh>
    <rPh sb="2" eb="4">
      <t>ジョウキョウ</t>
    </rPh>
    <phoneticPr fontId="4"/>
  </si>
  <si>
    <t>総合管理計画の策定状況</t>
    <rPh sb="0" eb="2">
      <t>ソウゴウ</t>
    </rPh>
    <rPh sb="2" eb="4">
      <t>カンリ</t>
    </rPh>
    <rPh sb="4" eb="6">
      <t>ケイカク</t>
    </rPh>
    <rPh sb="7" eb="9">
      <t>サクテイ</t>
    </rPh>
    <rPh sb="9" eb="11">
      <t>ジョウキョウ</t>
    </rPh>
    <phoneticPr fontId="4"/>
  </si>
  <si>
    <t>実施済</t>
    <rPh sb="0" eb="2">
      <t>ジッシ</t>
    </rPh>
    <rPh sb="2" eb="3">
      <t>ズ</t>
    </rPh>
    <phoneticPr fontId="4"/>
  </si>
  <si>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9"/>
  </si>
  <si>
    <t>対象業務
【複数回答可】</t>
    <rPh sb="0" eb="2">
      <t>タイショウ</t>
    </rPh>
    <rPh sb="2" eb="4">
      <t>ギョウム</t>
    </rPh>
    <phoneticPr fontId="4"/>
  </si>
  <si>
    <t>対象部局
【複数回答可】</t>
    <rPh sb="0" eb="2">
      <t>タイショウ</t>
    </rPh>
    <rPh sb="2" eb="4">
      <t>ブキョク</t>
    </rPh>
    <phoneticPr fontId="4"/>
  </si>
  <si>
    <t>民間委託状況</t>
    <rPh sb="0" eb="2">
      <t>ミンカン</t>
    </rPh>
    <rPh sb="2" eb="4">
      <t>イタク</t>
    </rPh>
    <rPh sb="4" eb="6">
      <t>ジョウキョウ</t>
    </rPh>
    <phoneticPr fontId="4"/>
  </si>
  <si>
    <t>実施状況</t>
    <rPh sb="0" eb="2">
      <t>ジッシ</t>
    </rPh>
    <phoneticPr fontId="4"/>
  </si>
  <si>
    <t>㉓児童クラブ、学童館等</t>
    <rPh sb="1" eb="3">
      <t>ジドウ</t>
    </rPh>
    <rPh sb="7" eb="9">
      <t>ガクドウ</t>
    </rPh>
    <rPh sb="9" eb="10">
      <t>カン</t>
    </rPh>
    <rPh sb="10" eb="11">
      <t>トウ</t>
    </rPh>
    <phoneticPr fontId="4"/>
  </si>
  <si>
    <t>㉒福祉・保健センター</t>
    <phoneticPr fontId="4"/>
  </si>
  <si>
    <t>⑳特別養護老人ホーム</t>
    <phoneticPr fontId="4"/>
  </si>
  <si>
    <t>⑲合宿所、研修所等（青少年の家を含む）</t>
    <rPh sb="1" eb="4">
      <t>ガッシュクジョ</t>
    </rPh>
    <rPh sb="5" eb="8">
      <t>ケンシュウジョ</t>
    </rPh>
    <rPh sb="8" eb="9">
      <t>トウ</t>
    </rPh>
    <rPh sb="10" eb="13">
      <t>セイショウネン</t>
    </rPh>
    <rPh sb="14" eb="15">
      <t>イエ</t>
    </rPh>
    <rPh sb="16" eb="17">
      <t>フク</t>
    </rPh>
    <phoneticPr fontId="4"/>
  </si>
  <si>
    <t>⑱文化会館</t>
    <phoneticPr fontId="4"/>
  </si>
  <si>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4"/>
  </si>
  <si>
    <t>⑮図書館</t>
    <rPh sb="1" eb="4">
      <t>トショカン</t>
    </rPh>
    <phoneticPr fontId="4"/>
  </si>
  <si>
    <t>⑭大規模霊園、斎場等</t>
    <rPh sb="1" eb="4">
      <t>ダイキボ</t>
    </rPh>
    <rPh sb="4" eb="6">
      <t>レイエン</t>
    </rPh>
    <rPh sb="7" eb="9">
      <t>サイジョウ</t>
    </rPh>
    <rPh sb="9" eb="10">
      <t>トウ</t>
    </rPh>
    <phoneticPr fontId="4"/>
  </si>
  <si>
    <t>⑬駐車場</t>
    <phoneticPr fontId="4"/>
  </si>
  <si>
    <t>⑫公営住宅</t>
    <rPh sb="1" eb="3">
      <t>コウエイ</t>
    </rPh>
    <rPh sb="3" eb="5">
      <t>ジュウタク</t>
    </rPh>
    <phoneticPr fontId="4"/>
  </si>
  <si>
    <t>⑪大規模公園</t>
    <rPh sb="1" eb="4">
      <t>ダイキボ</t>
    </rPh>
    <rPh sb="4" eb="6">
      <t>コウエン</t>
    </rPh>
    <phoneticPr fontId="4"/>
  </si>
  <si>
    <t>⑩開放型研究施設等</t>
    <phoneticPr fontId="4"/>
  </si>
  <si>
    <t>⑨展示場施設、見本市施設</t>
    <phoneticPr fontId="4"/>
  </si>
  <si>
    <t>⑧産業情報提供施設</t>
    <phoneticPr fontId="4"/>
  </si>
  <si>
    <t>⑦キャンプ場等</t>
    <rPh sb="5" eb="6">
      <t>ジョウ</t>
    </rPh>
    <rPh sb="6" eb="7">
      <t>トウ</t>
    </rPh>
    <phoneticPr fontId="4"/>
  </si>
  <si>
    <t>⑥休養施設（公衆浴場、海・山の家等）</t>
    <rPh sb="16" eb="17">
      <t>トウ</t>
    </rPh>
    <phoneticPr fontId="4"/>
  </si>
  <si>
    <t>⑤宿泊休養施設（ホテル、国民宿舎等）</t>
    <rPh sb="12" eb="14">
      <t>コクミン</t>
    </rPh>
    <rPh sb="14" eb="16">
      <t>シュクシャ</t>
    </rPh>
    <rPh sb="16" eb="17">
      <t>トウ</t>
    </rPh>
    <phoneticPr fontId="4"/>
  </si>
  <si>
    <t>④海水浴場</t>
    <phoneticPr fontId="4"/>
  </si>
  <si>
    <t>③プール</t>
    <phoneticPr fontId="4"/>
  </si>
  <si>
    <t>②競技場（野球場、テニスコート等）</t>
    <rPh sb="5" eb="8">
      <t>ヤキュウジョウ</t>
    </rPh>
    <rPh sb="15" eb="16">
      <t>トウ</t>
    </rPh>
    <phoneticPr fontId="4"/>
  </si>
  <si>
    <t>①体育館</t>
    <rPh sb="1" eb="4">
      <t>タイイクカン</t>
    </rPh>
    <phoneticPr fontId="4"/>
  </si>
  <si>
    <t>⑬調査・集計</t>
    <rPh sb="1" eb="3">
      <t>チョウサ</t>
    </rPh>
    <rPh sb="4" eb="6">
      <t>シュウケイ</t>
    </rPh>
    <phoneticPr fontId="10"/>
  </si>
  <si>
    <t>⑫ホームページ作成・運営</t>
    <rPh sb="7" eb="9">
      <t>サクセイ</t>
    </rPh>
    <rPh sb="10" eb="12">
      <t>ウンエイ</t>
    </rPh>
    <phoneticPr fontId="10"/>
  </si>
  <si>
    <t>⑪情報処理・庁内情報システム維持</t>
    <rPh sb="1" eb="3">
      <t>ジョウホウ</t>
    </rPh>
    <rPh sb="3" eb="5">
      <t>ショリ</t>
    </rPh>
    <rPh sb="6" eb="8">
      <t>チョウナイ</t>
    </rPh>
    <rPh sb="8" eb="10">
      <t>ジョウホウ</t>
    </rPh>
    <rPh sb="14" eb="16">
      <t>イジ</t>
    </rPh>
    <phoneticPr fontId="4"/>
  </si>
  <si>
    <t>⑩道路維持補修・清掃等</t>
    <rPh sb="1" eb="3">
      <t>ドウロ</t>
    </rPh>
    <rPh sb="3" eb="5">
      <t>イジ</t>
    </rPh>
    <rPh sb="5" eb="7">
      <t>ホシュウ</t>
    </rPh>
    <rPh sb="8" eb="10">
      <t>セイソウ</t>
    </rPh>
    <rPh sb="10" eb="11">
      <t>トウ</t>
    </rPh>
    <phoneticPr fontId="4"/>
  </si>
  <si>
    <t>⑨水道メーター検針</t>
    <rPh sb="1" eb="3">
      <t>スイドウ</t>
    </rPh>
    <rPh sb="7" eb="9">
      <t>ケンシン</t>
    </rPh>
    <phoneticPr fontId="4"/>
  </si>
  <si>
    <t>⑦学校給食(運搬)</t>
    <phoneticPr fontId="4"/>
  </si>
  <si>
    <t>⑥学校給食（調理）</t>
    <rPh sb="1" eb="3">
      <t>ガッコウ</t>
    </rPh>
    <rPh sb="3" eb="5">
      <t>キュウショク</t>
    </rPh>
    <rPh sb="6" eb="8">
      <t>チョウリ</t>
    </rPh>
    <phoneticPr fontId="10"/>
  </si>
  <si>
    <t>⑤公用車運転</t>
    <rPh sb="1" eb="4">
      <t>コウヨウシャ</t>
    </rPh>
    <rPh sb="4" eb="6">
      <t>ウンテン</t>
    </rPh>
    <phoneticPr fontId="10"/>
  </si>
  <si>
    <t>④電話交換</t>
    <rPh sb="1" eb="3">
      <t>デンワ</t>
    </rPh>
    <rPh sb="3" eb="5">
      <t>コウカン</t>
    </rPh>
    <phoneticPr fontId="10"/>
  </si>
  <si>
    <t>③案内・受付</t>
    <phoneticPr fontId="4"/>
  </si>
  <si>
    <t>②本庁舎の夜間警備</t>
    <phoneticPr fontId="4"/>
  </si>
  <si>
    <t>①本庁舎の清掃</t>
    <rPh sb="5" eb="7">
      <t>セイソウ</t>
    </rPh>
    <phoneticPr fontId="4"/>
  </si>
  <si>
    <t>（２）指定管理者制度等の導入状況</t>
    <rPh sb="3" eb="5">
      <t>シテイ</t>
    </rPh>
    <rPh sb="5" eb="8">
      <t>カンリシャ</t>
    </rPh>
    <rPh sb="8" eb="10">
      <t>セイド</t>
    </rPh>
    <rPh sb="10" eb="11">
      <t>トウ</t>
    </rPh>
    <rPh sb="12" eb="14">
      <t>ドウニュウ</t>
    </rPh>
    <rPh sb="14" eb="16">
      <t>ジョウキョウ</t>
    </rPh>
    <phoneticPr fontId="4"/>
  </si>
  <si>
    <t>（１）民間委託の実施状況</t>
    <rPh sb="3" eb="5">
      <t>ミンカン</t>
    </rPh>
    <rPh sb="5" eb="7">
      <t>イタク</t>
    </rPh>
    <rPh sb="8" eb="10">
      <t>ジッシ</t>
    </rPh>
    <rPh sb="10" eb="12">
      <t>ジョウキョウ</t>
    </rPh>
    <phoneticPr fontId="4"/>
  </si>
  <si>
    <t>都道府県名</t>
    <rPh sb="0" eb="4">
      <t>トドウフケン</t>
    </rPh>
    <rPh sb="4" eb="5">
      <t>メイ</t>
    </rPh>
    <phoneticPr fontId="4"/>
  </si>
  <si>
    <t>自治体コード</t>
    <rPh sb="0" eb="3">
      <t>ジチタイ</t>
    </rPh>
    <phoneticPr fontId="4"/>
  </si>
  <si>
    <t>単独
クラウド</t>
    <rPh sb="0" eb="2">
      <t>タンドク</t>
    </rPh>
    <phoneticPr fontId="4"/>
  </si>
  <si>
    <t>専任無</t>
    <rPh sb="0" eb="2">
      <t>センニン</t>
    </rPh>
    <rPh sb="2" eb="3">
      <t>ナ</t>
    </rPh>
    <phoneticPr fontId="4"/>
  </si>
  <si>
    <t>専任有</t>
    <rPh sb="0" eb="2">
      <t>センニン</t>
    </rPh>
    <rPh sb="2" eb="3">
      <t>ア</t>
    </rPh>
    <phoneticPr fontId="4"/>
  </si>
  <si>
    <t>直営</t>
    <rPh sb="0" eb="2">
      <t>チョクエイ</t>
    </rPh>
    <phoneticPr fontId="4"/>
  </si>
  <si>
    <t>一部委託</t>
    <rPh sb="0" eb="2">
      <t>イチブ</t>
    </rPh>
    <rPh sb="2" eb="4">
      <t>イタク</t>
    </rPh>
    <phoneticPr fontId="4"/>
  </si>
  <si>
    <t>全部委託</t>
    <rPh sb="0" eb="2">
      <t>ゼンブ</t>
    </rPh>
    <rPh sb="2" eb="4">
      <t>イタク</t>
    </rPh>
    <phoneticPr fontId="4"/>
  </si>
  <si>
    <t>専任職員のみ配置している団体</t>
    <rPh sb="0" eb="2">
      <t>センニン</t>
    </rPh>
    <rPh sb="2" eb="4">
      <t>ショクイン</t>
    </rPh>
    <rPh sb="6" eb="8">
      <t>ハイチ</t>
    </rPh>
    <rPh sb="12" eb="14">
      <t>ダンタイ</t>
    </rPh>
    <phoneticPr fontId="4"/>
  </si>
  <si>
    <t>前年度以降、民間委託の実施状況に変更があれば変更点および変更理由について記入してください。</t>
    <rPh sb="0" eb="3">
      <t>ゼンネンド</t>
    </rPh>
    <rPh sb="3" eb="5">
      <t>イコウ</t>
    </rPh>
    <rPh sb="6" eb="8">
      <t>ミンカン</t>
    </rPh>
    <rPh sb="8" eb="10">
      <t>イタク</t>
    </rPh>
    <rPh sb="11" eb="13">
      <t>ジッシ</t>
    </rPh>
    <rPh sb="13" eb="15">
      <t>ジョウキョウ</t>
    </rPh>
    <rPh sb="16" eb="18">
      <t>ヘンコウ</t>
    </rPh>
    <rPh sb="22" eb="25">
      <t>ヘンコウテン</t>
    </rPh>
    <rPh sb="28" eb="30">
      <t>ヘンコウ</t>
    </rPh>
    <rPh sb="30" eb="32">
      <t>リユウ</t>
    </rPh>
    <rPh sb="36" eb="38">
      <t>キニュウ</t>
    </rPh>
    <phoneticPr fontId="4"/>
  </si>
  <si>
    <t>専任職員状況（一部委託又は直営を選択団体のみ回答）</t>
    <rPh sb="0" eb="2">
      <t>センニン</t>
    </rPh>
    <rPh sb="2" eb="4">
      <t>ショクイン</t>
    </rPh>
    <rPh sb="4" eb="6">
      <t>ジョウキョウ</t>
    </rPh>
    <rPh sb="7" eb="9">
      <t>イチブ</t>
    </rPh>
    <rPh sb="9" eb="11">
      <t>イタク</t>
    </rPh>
    <rPh sb="11" eb="12">
      <t>マタ</t>
    </rPh>
    <rPh sb="13" eb="15">
      <t>チョクエイ</t>
    </rPh>
    <rPh sb="16" eb="18">
      <t>センタク</t>
    </rPh>
    <rPh sb="18" eb="20">
      <t>ダンタイ</t>
    </rPh>
    <rPh sb="22" eb="24">
      <t>カイトウ</t>
    </rPh>
    <phoneticPr fontId="4"/>
  </si>
  <si>
    <t>作成割合（全国（都道府県））</t>
    <rPh sb="0" eb="2">
      <t>サクセイ</t>
    </rPh>
    <rPh sb="8" eb="12">
      <t>トドウフケン</t>
    </rPh>
    <phoneticPr fontId="4"/>
  </si>
  <si>
    <t>【参考】</t>
    <phoneticPr fontId="4"/>
  </si>
  <si>
    <t>児童クラブ、学童館等</t>
    <phoneticPr fontId="4"/>
  </si>
  <si>
    <t>作成済</t>
    <phoneticPr fontId="4"/>
  </si>
  <si>
    <t>福祉・保健センター</t>
    <phoneticPr fontId="4"/>
  </si>
  <si>
    <t>介護支援センター</t>
    <phoneticPr fontId="4"/>
  </si>
  <si>
    <t>特別養護老人ホーム</t>
    <phoneticPr fontId="4"/>
  </si>
  <si>
    <t>文化会館</t>
    <phoneticPr fontId="4"/>
  </si>
  <si>
    <t>公民館、市民会館</t>
    <phoneticPr fontId="4"/>
  </si>
  <si>
    <t>策定割合（全国（都道府県））</t>
    <rPh sb="8" eb="12">
      <t>トドウフケン</t>
    </rPh>
    <phoneticPr fontId="4"/>
  </si>
  <si>
    <t>図書館</t>
    <phoneticPr fontId="4"/>
  </si>
  <si>
    <t>策定予定時期</t>
    <phoneticPr fontId="4"/>
  </si>
  <si>
    <t>策定済</t>
    <rPh sb="0" eb="2">
      <t>サクテイ</t>
    </rPh>
    <rPh sb="2" eb="3">
      <t>ズ</t>
    </rPh>
    <phoneticPr fontId="4"/>
  </si>
  <si>
    <t>大規模霊園、斎場等</t>
    <phoneticPr fontId="4"/>
  </si>
  <si>
    <t>駐車場</t>
    <phoneticPr fontId="4"/>
  </si>
  <si>
    <t>公営住宅</t>
    <phoneticPr fontId="4"/>
  </si>
  <si>
    <t>大規模公園</t>
    <phoneticPr fontId="4"/>
  </si>
  <si>
    <t>開放型研究施設等</t>
    <phoneticPr fontId="4"/>
  </si>
  <si>
    <t>展示場施設、見本市施設</t>
    <phoneticPr fontId="4"/>
  </si>
  <si>
    <t>産業情報提供施設</t>
    <phoneticPr fontId="4"/>
  </si>
  <si>
    <t>キャンプ場等</t>
    <phoneticPr fontId="4"/>
  </si>
  <si>
    <t>海水浴場</t>
    <phoneticPr fontId="4"/>
  </si>
  <si>
    <t>単独クラウド</t>
    <phoneticPr fontId="4"/>
  </si>
  <si>
    <t>プール</t>
    <phoneticPr fontId="4"/>
  </si>
  <si>
    <t>自治体クラウド</t>
    <phoneticPr fontId="4"/>
  </si>
  <si>
    <t>類型</t>
    <phoneticPr fontId="4"/>
  </si>
  <si>
    <t>体育館</t>
    <phoneticPr fontId="4"/>
  </si>
  <si>
    <t>全国（都道府県）
委託率</t>
    <rPh sb="0" eb="2">
      <t>ゼンコク</t>
    </rPh>
    <rPh sb="3" eb="7">
      <t>トドウフケン</t>
    </rPh>
    <rPh sb="9" eb="12">
      <t>イタクリツ</t>
    </rPh>
    <phoneticPr fontId="4"/>
  </si>
  <si>
    <t>自治体職員を常駐で配置している事に対する考え方</t>
    <rPh sb="0" eb="3">
      <t>ジチタイ</t>
    </rPh>
    <rPh sb="3" eb="5">
      <t>ショクイン</t>
    </rPh>
    <rPh sb="6" eb="8">
      <t>ジョウチュウ</t>
    </rPh>
    <rPh sb="9" eb="11">
      <t>ハイチ</t>
    </rPh>
    <rPh sb="15" eb="16">
      <t>コト</t>
    </rPh>
    <rPh sb="17" eb="18">
      <t>タイ</t>
    </rPh>
    <rPh sb="20" eb="21">
      <t>カンガ</t>
    </rPh>
    <rPh sb="22" eb="23">
      <t>カタ</t>
    </rPh>
    <phoneticPr fontId="4"/>
  </si>
  <si>
    <t>自治体職員
常駐施設数</t>
    <rPh sb="0" eb="3">
      <t>ジチタイ</t>
    </rPh>
    <rPh sb="3" eb="5">
      <t>ショクイン</t>
    </rPh>
    <rPh sb="6" eb="8">
      <t>ジョウチュウ</t>
    </rPh>
    <rPh sb="8" eb="10">
      <t>シセツ</t>
    </rPh>
    <rPh sb="10" eb="11">
      <t>カズ</t>
    </rPh>
    <phoneticPr fontId="4"/>
  </si>
  <si>
    <t>前年度以降、導入が進んでいない理由</t>
    <phoneticPr fontId="4"/>
  </si>
  <si>
    <t>導入率</t>
    <phoneticPr fontId="4"/>
  </si>
  <si>
    <t>制度導入
施設数</t>
    <rPh sb="0" eb="2">
      <t>セイド</t>
    </rPh>
    <rPh sb="5" eb="7">
      <t>シセツ</t>
    </rPh>
    <phoneticPr fontId="4"/>
  </si>
  <si>
    <t>公の
施設数</t>
    <phoneticPr fontId="4"/>
  </si>
  <si>
    <t>自治体
クラウド</t>
    <rPh sb="0" eb="3">
      <t>ジチタイ</t>
    </rPh>
    <phoneticPr fontId="4"/>
  </si>
  <si>
    <t>実施率（都道府県）</t>
    <rPh sb="0" eb="3">
      <t>ジッシリツ</t>
    </rPh>
    <rPh sb="4" eb="8">
      <t>トドウフケン</t>
    </rPh>
    <phoneticPr fontId="4"/>
  </si>
  <si>
    <t>【参考】</t>
    <rPh sb="1" eb="3">
      <t>サンコウ</t>
    </rPh>
    <phoneticPr fontId="4"/>
  </si>
  <si>
    <t>調査・集計</t>
    <phoneticPr fontId="4"/>
  </si>
  <si>
    <t>ホームページ作成・運営</t>
    <phoneticPr fontId="4"/>
  </si>
  <si>
    <t>情報処理・庁内情報システム維持</t>
    <phoneticPr fontId="4"/>
  </si>
  <si>
    <t>道路維持補修・清掃等</t>
    <phoneticPr fontId="4"/>
  </si>
  <si>
    <t>業務改革効果</t>
    <rPh sb="0" eb="2">
      <t>ギョウム</t>
    </rPh>
    <rPh sb="2" eb="4">
      <t>カイカク</t>
    </rPh>
    <rPh sb="4" eb="6">
      <t>コウカ</t>
    </rPh>
    <phoneticPr fontId="4"/>
  </si>
  <si>
    <t>取組状況</t>
    <rPh sb="0" eb="2">
      <t>トリクミ</t>
    </rPh>
    <rPh sb="2" eb="4">
      <t>ジョウキョウ</t>
    </rPh>
    <phoneticPr fontId="4"/>
  </si>
  <si>
    <t>水道メーター検針</t>
    <phoneticPr fontId="4"/>
  </si>
  <si>
    <t>ＢＰＲの手法を用いた業務分析</t>
    <rPh sb="4" eb="6">
      <t>シュホウ</t>
    </rPh>
    <rPh sb="7" eb="8">
      <t>モチ</t>
    </rPh>
    <rPh sb="10" eb="12">
      <t>ギョウム</t>
    </rPh>
    <rPh sb="12" eb="14">
      <t>ブンセキ</t>
    </rPh>
    <phoneticPr fontId="4"/>
  </si>
  <si>
    <t>学校用務員事務</t>
    <phoneticPr fontId="4"/>
  </si>
  <si>
    <t>学校給食（運搬）</t>
    <phoneticPr fontId="4"/>
  </si>
  <si>
    <t>学校給食（調理）</t>
    <phoneticPr fontId="4"/>
  </si>
  <si>
    <t>公用車運転</t>
  </si>
  <si>
    <t>電話交換</t>
  </si>
  <si>
    <t>｢実施予定無し｣及び｢首長部局未設置団体｣は「未実施の理由」を、｢実施予定あり｣の団体は｢実施予定時期｣を記述してください。</t>
    <phoneticPr fontId="4"/>
  </si>
  <si>
    <t>案内・受付</t>
  </si>
  <si>
    <t>本庁舎の夜間警備</t>
  </si>
  <si>
    <t>本庁舎の清掃</t>
  </si>
  <si>
    <t>財務会計</t>
    <phoneticPr fontId="4"/>
  </si>
  <si>
    <t>福利厚生</t>
    <phoneticPr fontId="4"/>
  </si>
  <si>
    <t>旅費</t>
    <phoneticPr fontId="4"/>
  </si>
  <si>
    <t>給与</t>
    <phoneticPr fontId="4"/>
  </si>
  <si>
    <t>その他</t>
    <phoneticPr fontId="4"/>
  </si>
  <si>
    <t>教育委員会</t>
    <phoneticPr fontId="4"/>
  </si>
  <si>
    <t>企業局</t>
    <phoneticPr fontId="4"/>
  </si>
  <si>
    <t>首長部局</t>
    <phoneticPr fontId="4"/>
  </si>
  <si>
    <t>委託率</t>
    <rPh sb="0" eb="3">
      <t>イタクリツ</t>
    </rPh>
    <phoneticPr fontId="4"/>
  </si>
  <si>
    <t>実施率</t>
    <rPh sb="0" eb="2">
      <t>ジッシ</t>
    </rPh>
    <rPh sb="2" eb="3">
      <t>リツ</t>
    </rPh>
    <phoneticPr fontId="4"/>
  </si>
  <si>
    <t>今後の対応方針　【直営（※）を選択した団体のみ回答】</t>
    <phoneticPr fontId="4"/>
  </si>
  <si>
    <t>直営(※)</t>
    <phoneticPr fontId="4"/>
  </si>
  <si>
    <t>全国（都道府県）</t>
    <rPh sb="0" eb="2">
      <t>ゼンコク</t>
    </rPh>
    <rPh sb="3" eb="7">
      <t>トドウフケン</t>
    </rPh>
    <phoneticPr fontId="4"/>
  </si>
  <si>
    <t>対象業務</t>
    <phoneticPr fontId="4"/>
  </si>
  <si>
    <t>対象部局</t>
    <phoneticPr fontId="4"/>
  </si>
  <si>
    <t>委託状況</t>
    <phoneticPr fontId="4"/>
  </si>
  <si>
    <t>【参考】</t>
  </si>
  <si>
    <t>調査票①</t>
    <phoneticPr fontId="4"/>
  </si>
  <si>
    <t>全国（都道府県）
導入率</t>
    <rPh sb="0" eb="2">
      <t>ゼンコク</t>
    </rPh>
    <rPh sb="3" eb="7">
      <t>トドウフケン</t>
    </rPh>
    <rPh sb="9" eb="11">
      <t>ドウニュウ</t>
    </rPh>
    <rPh sb="11" eb="12">
      <t>リツ</t>
    </rPh>
    <phoneticPr fontId="4"/>
  </si>
  <si>
    <t>⑧学校用務員事務</t>
    <phoneticPr fontId="4"/>
  </si>
  <si>
    <t>｢直営｣かつ｢専任有｣団体</t>
    <phoneticPr fontId="4"/>
  </si>
  <si>
    <t/>
  </si>
  <si>
    <t>自治体クラウド</t>
    <rPh sb="0" eb="3">
      <t>ジチタイ</t>
    </rPh>
    <phoneticPr fontId="4"/>
  </si>
  <si>
    <t>　</t>
  </si>
  <si>
    <t>○</t>
  </si>
  <si>
    <t>北海道</t>
  </si>
  <si>
    <t>020001</t>
  </si>
  <si>
    <t>青森県</t>
  </si>
  <si>
    <t>岩手県</t>
  </si>
  <si>
    <t>宮城県</t>
  </si>
  <si>
    <t>050008</t>
  </si>
  <si>
    <t>秋田県</t>
  </si>
  <si>
    <t>　　</t>
  </si>
  <si>
    <t>060003</t>
  </si>
  <si>
    <t>山形県</t>
  </si>
  <si>
    <t>070009</t>
  </si>
  <si>
    <t>福島県</t>
  </si>
  <si>
    <t>茨城県</t>
  </si>
  <si>
    <t>栃木県</t>
  </si>
  <si>
    <t>100005</t>
  </si>
  <si>
    <t>群馬県</t>
  </si>
  <si>
    <t>埼玉県</t>
  </si>
  <si>
    <t>千葉県</t>
  </si>
  <si>
    <t>130001</t>
  </si>
  <si>
    <t>東京都</t>
  </si>
  <si>
    <t>140007</t>
  </si>
  <si>
    <t>神奈川県</t>
  </si>
  <si>
    <t>新潟県</t>
  </si>
  <si>
    <t>160008</t>
  </si>
  <si>
    <t>富山県</t>
  </si>
  <si>
    <t>石川県</t>
  </si>
  <si>
    <t>180009</t>
  </si>
  <si>
    <t>福井県</t>
  </si>
  <si>
    <t>190004</t>
  </si>
  <si>
    <t>山梨県</t>
  </si>
  <si>
    <t>長野県</t>
  </si>
  <si>
    <t>210005</t>
  </si>
  <si>
    <t>岐阜県</t>
  </si>
  <si>
    <t>220001</t>
  </si>
  <si>
    <t>静岡県</t>
  </si>
  <si>
    <t>愛知県</t>
  </si>
  <si>
    <t>三重県</t>
  </si>
  <si>
    <t>滋賀県</t>
  </si>
  <si>
    <t>京都府</t>
  </si>
  <si>
    <t>270008</t>
  </si>
  <si>
    <t>大阪府</t>
  </si>
  <si>
    <t>兵庫県</t>
  </si>
  <si>
    <t>290009</t>
  </si>
  <si>
    <t>奈良県</t>
  </si>
  <si>
    <t>300004</t>
  </si>
  <si>
    <t>和歌山県</t>
  </si>
  <si>
    <t>現時点では変更予定なし</t>
  </si>
  <si>
    <t>直営による給食調理を継続予定</t>
  </si>
  <si>
    <t>鳥取県</t>
  </si>
  <si>
    <t>320005</t>
  </si>
  <si>
    <t>島根県</t>
  </si>
  <si>
    <t>岡山県</t>
  </si>
  <si>
    <t>広島県</t>
  </si>
  <si>
    <t>350001</t>
  </si>
  <si>
    <t>山口県</t>
  </si>
  <si>
    <t>徳島県</t>
  </si>
  <si>
    <t>香川県</t>
  </si>
  <si>
    <t>380008</t>
  </si>
  <si>
    <t>愛媛県</t>
  </si>
  <si>
    <t>高知県</t>
  </si>
  <si>
    <t>福岡県</t>
  </si>
  <si>
    <t>410004</t>
  </si>
  <si>
    <t>佐賀県</t>
  </si>
  <si>
    <t>長崎県</t>
  </si>
  <si>
    <t>民間でできることは民間に委ねることを基本として、今後検討する。</t>
  </si>
  <si>
    <t>430005</t>
  </si>
  <si>
    <t>熊本県</t>
  </si>
  <si>
    <t>業務の委託について、引き続き検討していく。</t>
  </si>
  <si>
    <t>440001</t>
  </si>
  <si>
    <t>大分県</t>
  </si>
  <si>
    <t>現職員の退職等により業務が継続できなくなった時点から順次、民間委託</t>
  </si>
  <si>
    <t>宮崎県</t>
  </si>
  <si>
    <t>鹿児島県</t>
  </si>
  <si>
    <t>直営による公用車の運転業務は，段階的に縮小しており，最終的には廃止する方針である。</t>
  </si>
  <si>
    <t>沖縄県</t>
  </si>
  <si>
    <t>現時点では未定だが、引き続き、人員見直しについて検討していく。</t>
  </si>
  <si>
    <t>－</t>
  </si>
  <si>
    <t>当面、直営を継続するが、今後の業務のあり方を見据えて、効率的な運営方法を引き続き検討していく。</t>
  </si>
  <si>
    <t>退職不補充による非常勤化の推進</t>
    <rPh sb="0" eb="2">
      <t>タイショク</t>
    </rPh>
    <rPh sb="2" eb="5">
      <t>フホジュウ</t>
    </rPh>
    <rPh sb="8" eb="11">
      <t>ヒジョウキン</t>
    </rPh>
    <rPh sb="11" eb="12">
      <t>カ</t>
    </rPh>
    <rPh sb="13" eb="15">
      <t>スイシン</t>
    </rPh>
    <phoneticPr fontId="5"/>
  </si>
  <si>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4">
      <t>コンゴケノウ</t>
    </rPh>
    <phoneticPr fontId="5"/>
  </si>
  <si>
    <t>対応方針未定（直営、外部委託について、それぞれのメリットやデメリット等を踏まえ、今後検討）</t>
  </si>
  <si>
    <t>・学校用務は多岐にわたるため、現時点では直営で行うことが適当と考えている。</t>
  </si>
  <si>
    <t>学校用務員が行っている多岐にわたる業務を包括的に委託することは困難であるため、現時点では今後の対応方針は未定である。</t>
    <rPh sb="0" eb="2">
      <t>ガッコウ</t>
    </rPh>
    <rPh sb="2" eb="5">
      <t>ヨウムイン</t>
    </rPh>
    <rPh sb="6" eb="7">
      <t>オコナ</t>
    </rPh>
    <rPh sb="11" eb="13">
      <t>タキ</t>
    </rPh>
    <rPh sb="17" eb="19">
      <t>ギョウム</t>
    </rPh>
    <rPh sb="20" eb="23">
      <t>ホウカツテキ</t>
    </rPh>
    <rPh sb="24" eb="26">
      <t>イタク</t>
    </rPh>
    <rPh sb="31" eb="33">
      <t>コンナン</t>
    </rPh>
    <rPh sb="39" eb="42">
      <t>ゲンジテン</t>
    </rPh>
    <rPh sb="44" eb="46">
      <t>コンゴ</t>
    </rPh>
    <rPh sb="47" eb="49">
      <t>タイオウ</t>
    </rPh>
    <rPh sb="49" eb="51">
      <t>ホウシン</t>
    </rPh>
    <rPh sb="52" eb="54">
      <t>ミテイ</t>
    </rPh>
    <phoneticPr fontId="5"/>
  </si>
  <si>
    <t>※H30年度より一部事務組合の業務</t>
  </si>
  <si>
    <t>指定管理者制度の導入による効果的・効率的な管理運営・サービス向上を見込めず、規模縮小、移転、統合・集約、コスト縮減などの効率的な運営・収支改善を検討したうえで現行運営を継続しているため</t>
  </si>
  <si>
    <t>Ｈ19に「公民チャレンジ提案制度」を実施し、サービス向上・経費削減等で直営とすることが適切とし、以後、外部委員による評価を実施し運営形態を点検しているため。</t>
  </si>
  <si>
    <t>地方自治法第252条の14に基づき事務を委託している施設であり、指定管理者制度を導入することでコスト増が見込まれるため、導入を進めていない。</t>
  </si>
  <si>
    <t>市町村に事務委託済みであるため</t>
  </si>
  <si>
    <t>ダムに隣接した競技場であり、災害時等の厳格な管理が必要であり指定管理になじまないため。</t>
  </si>
  <si>
    <t>指定管理者制度未導入施設については、都市公園法第５条により地元市が管理しているため</t>
  </si>
  <si>
    <t>隣接している高校が管理しており、指定管理者制度を導入する必要が無いため</t>
  </si>
  <si>
    <t>市町村と維持管理協定を締結済のため</t>
  </si>
  <si>
    <t>未導入施設について、地元市への譲渡を検討しているため</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</si>
  <si>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</si>
  <si>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</si>
  <si>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技術支援センターと切り分けた指定管理者制度導入は馴染まないと考えるため</t>
  </si>
  <si>
    <t>直営で運営すべき施設であるため。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</si>
  <si>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</si>
  <si>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</si>
  <si>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県の出先機関である畜産試験場の敷地内にあり、一体的に管理しているため</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</si>
  <si>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</si>
  <si>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</si>
  <si>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参入する者が見込めないため</t>
  </si>
  <si>
    <t>試験研究業務や企業への技術的課題解決の支援，施設の維持管理には高度な専門知識・経験が必要となるため。</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</si>
  <si>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</si>
  <si>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</si>
  <si>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</si>
  <si>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</si>
  <si>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導入について、検討中</t>
  </si>
  <si>
    <t>試験研究機関であり、直営で運営すべき施設であるため。</t>
  </si>
  <si>
    <t>試験研究及び相談業務を中心に職員を配置している。</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</si>
  <si>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</si>
  <si>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</si>
  <si>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</si>
  <si>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</si>
  <si>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都の施策の一環として、直営により自治体職員を常駐で配置する必要があるため</t>
  </si>
  <si>
    <t>研究業務と施設利用等を一体管理する必要があるため。</t>
  </si>
  <si>
    <t>直営で運営すべき施設である</t>
  </si>
  <si>
    <t>県の機関の一部として附置し県内産業の振興を図る施設として直営で運営しているため、受付事務など常駐が必要な業務について自治体職員を配置している</t>
  </si>
  <si>
    <t>県の研究施設の一部や併設施設を公の施設としているため。指定管理者制度導入により、一体的な管理ができなくなる上、運営費が増加するため、直営での運営が適切である。</t>
  </si>
  <si>
    <t>未導入理由の記載と同じ</t>
  </si>
  <si>
    <t>行政庁舎内の施設であり、切り分けて施設管理することがかえって非効率であるため。</t>
  </si>
  <si>
    <t>県の施策と密接に連携を図りながら、継続的かつ安定した運営が必要なため</t>
  </si>
  <si>
    <t>県の施策としての研究機能や高度な専門性を持つ施設であるため</t>
  </si>
  <si>
    <t>ひろしま産学共同研究拠点は，県施策に合致した産学共同研究を行う施設であり，指定管理者の創意工夫やインセンティブを働かせることができないため直営としており，状況変化がないため。</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</si>
  <si>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</si>
  <si>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</si>
  <si>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県の施策を担う出先機関であるため</t>
  </si>
  <si>
    <t>個別業務を民間に委託しており、制度導入のメリットが乏しい。</t>
  </si>
  <si>
    <t>農業ふれあい公園に含まれる、農業科学博物館の展示企画や収蔵すべき資料の選定など、県の裁量を要する業務に対応する必要があることから、常住している。</t>
  </si>
  <si>
    <t>県立自然公園については地域性公園であり、公の施設の業務と行政的な業務（違反予防の監視等）が併存しているため。</t>
  </si>
  <si>
    <t>兼六園、金沢城公園は本県文化・観光施策の推進上重要な公園として直営で運営しているため、常駐で自治体職員を配置している</t>
  </si>
  <si>
    <t>未導入施設は無人公園であり、必要最小限の経費により運営しているため。</t>
  </si>
  <si>
    <t>栗林公園は香川県を代表する観光地であるとともに特別名勝にも指定されている庭園であり、後世に残すべき施設であることから、自治体職員が直営で管理している。</t>
  </si>
  <si>
    <t>指定管理未導入施設においては、管理業務の大部分を委託している。</t>
  </si>
  <si>
    <t>施設数が多く段階的な募集を検討中のため。</t>
  </si>
  <si>
    <t>県営住宅の管理については、指定管理者制度ではなく、公営住宅法に基づく管理代行制度を導入しているため。</t>
  </si>
  <si>
    <t>公営住宅法に基づく管理代行制度を導入しているため。</t>
  </si>
  <si>
    <t>本県では管理代行制度で運用しているため。</t>
  </si>
  <si>
    <t>公営住宅法に基づく管理代行制度を導入しているため</t>
  </si>
  <si>
    <t>すべての施設について、管理代行制度を導入しており、指定管理者制度へ切り替えるメリットがないため。</t>
  </si>
  <si>
    <t>管理代行制度により管理を行っているため</t>
  </si>
  <si>
    <t>指定管理者制度未導入施設については、公営住宅法による管理代行制度により管理しているため</t>
  </si>
  <si>
    <t>管理施設が広範囲に分布していて管理効率が悪く、自治体予算を上限とする委託金額以下で受託できる民間事業者がいないため。</t>
  </si>
  <si>
    <t>公営住宅法に基づき高知県住宅供給公社が管理している。</t>
  </si>
  <si>
    <t>公営住宅法第47条に基づく管理代行制度を導入済みであるため。
管理代行者：大分県住宅供給公社</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</si>
  <si>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</si>
  <si>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指定管理者制度の導入検討の結果、道立図書館の役割等に鑑み、一部民間委託を活用した直営が望ましいとの結論に至ったため。</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</si>
  <si>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</si>
  <si>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</si>
  <si>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現在、県立図書館の活性化に向けて検討中</t>
  </si>
  <si>
    <t>市町村立図書館への支援や国立図書館等との連携を必要とする業務を実施しており、民間にはないノウハウが必要。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</si>
  <si>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</si>
  <si>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</si>
  <si>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</si>
  <si>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</si>
  <si>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委託可能な業務については一部委託化を実施済。本図書館は貸出は行っておらず、調査研究目的での利用が多いため、直営で運営</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</si>
  <si>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</si>
  <si>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</si>
  <si>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専門的・学術的図書の収集と市町村立図書館への支援・助言、県民の調査相談対応、職員研修等の高い専門性を必要とするため</t>
  </si>
  <si>
    <t>市町村図書館の支援など専門性・継続性が必要な業務であるため。</t>
  </si>
  <si>
    <t>市町村図書館の支援など専門性・継続性が必要な業務であり、当該業務を行う職員が常駐している。</t>
  </si>
  <si>
    <t>図書館は本県生涯学習推進上重要な施設として直営で運営しているため、常駐で自治体職員を配置している</t>
  </si>
  <si>
    <t>図書の貸出業務（非収益性業務）については直営。</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</si>
  <si>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</si>
  <si>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</si>
  <si>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選書、調査相談等の基幹業務や市町立図書館の支援を行うためには、直営が適切である。</t>
  </si>
  <si>
    <t>平成30年度から一部業務（施設等の維持管理及び修繕等）に指定管理を導入したものの、専門性が求められる司書業務は引き続き直営で実施しているため、自治体職員を常駐させる必要がある。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</si>
  <si>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</si>
  <si>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</si>
  <si>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外部委員による評価を実施し運営形態を点検しているため。</t>
  </si>
  <si>
    <t>府内の中核的図書館として市町村支援の役割が大きく、専門職員の配置が必要。</t>
  </si>
  <si>
    <t>館長（自治体職員）をトップに一体性を持ちながら、民間企業のノウハウを有する指定管理者と、司書（自治体職員）が、双方の専門性を活かしつつ、図書館を運営するため。</t>
  </si>
  <si>
    <t>市町立図書館の支援機能があり、継続的かつ安定した運営が必要なため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</si>
  <si>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</si>
  <si>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</si>
  <si>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【図書館】
現時点では直営に比して指定管理者制度の導入等による具体の効果が見通せないため。
【公文書館】
行政機関としての性格が強いため。</t>
  </si>
  <si>
    <t>教育機関としての性格をもつため</t>
  </si>
  <si>
    <t>施設の中核的な業務や、県の施策に深く関わる業務などについては、県自らが行っていくべきとの考えから、施設管理のみ指定管理者制度を導入している。</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</si>
  <si>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</si>
  <si>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</si>
  <si>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・①県内図書館の中核的役割、生涯学習の拠点施設、②子ども読書活動の中核施設、③公立図書館への指導的役割、などの教育的・行政的責務があるため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</si>
  <si>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</si>
  <si>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</si>
  <si>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直営施設であり、また、専門性や政策的判断が必要な業務を行うため。</t>
  </si>
  <si>
    <t>県民サービス向上のため、直営で運営すべき施設であるため。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</si>
  <si>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</si>
  <si>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</si>
  <si>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</si>
  <si>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県立図書館は、本県の生涯学習の中核的施設として、調査研究・収集や市町村図書館等への指導・助言等を図る役割があり、これらは高い専門性や長期的視野に基づく継続的な取組が必要であるため。</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</si>
  <si>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</si>
  <si>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</si>
  <si>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</si>
  <si>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</si>
  <si>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現時点では、直営で運営すべき施設と考えている。</t>
  </si>
  <si>
    <t>適切な資料の収集・保管・展示、継続した調査研究や教育普及活動等には専門的職員の配置が必要と考える。</t>
  </si>
  <si>
    <t>県関連博物や県内出身芸術家等の調査研究事業など、全県的な視点から事業を実施しているため、県の直営管理が必要。</t>
  </si>
  <si>
    <t>調査研究を行う観点から直営で実施すべき施設であるため。</t>
  </si>
  <si>
    <t>調査研究及び教育普及活動に関する業務を中心に職員を配置している。</t>
  </si>
  <si>
    <t>社会教育施設であること、また、県の観光施策や地域振興施設等の他の行政分野との連携が重要であることから常駐で職員を配置している。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</si>
  <si>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</si>
  <si>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</si>
  <si>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</si>
  <si>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</si>
  <si>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高度な専門性と経験の蓄積が必要であるため</t>
  </si>
  <si>
    <t>美術館、歴史館等は本県の優れた文化の継承・発展を担う重要な施設として直営で運営しているため、常駐で自治体職員を配置している</t>
  </si>
  <si>
    <t>文化財の活用、収蔵資料等の整理、保存及び調査研究等に専門性が高いことから常勤としている</t>
  </si>
  <si>
    <t>県の芸術文化の発展を担うため、安定的かつ継続的な運営が不可欠である。また収集保管や調査研究等地道で長期にわたる博物館事業の継続性を担保するため、直営が適切である。</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</si>
  <si>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</si>
  <si>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調査・研究の継続性、学芸員等の長期的な人材育成、資料収集等に際しての信頼関係維持などの観点から長期的な視野に立った運営が必要であるため、自治体職員を常駐配置している。</t>
  </si>
  <si>
    <t>施設の運営上、専門的な知識、技術及びそれらの継承が必要なため、専門職員の配置が必要。</t>
  </si>
  <si>
    <t>管理運営業務の内容や運営手法（地元市との共同運営）等により直営で管理すべきと判断しているため。</t>
  </si>
  <si>
    <t>県の施策と密接に連携を図りながら、長期的視点に立った運営が必要なため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</si>
  <si>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</si>
  <si>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</si>
  <si>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【博物館】
県内の博物館等への指導助言等が必要であるため。
【海と大地の自然館】
行政組織として設置する必要があるため。また、利用料がなく指定管理のメリットが見込めないため。</t>
  </si>
  <si>
    <t>特別名勝及び史跡に指定されている後楽園の管理運営業務を行うには、特別な専門知識や管理運営経験等が必要であり、県が責任を持って運営する必要があるため。</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</si>
  <si>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</si>
  <si>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</si>
  <si>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</si>
  <si>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</si>
  <si>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</si>
  <si>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</si>
  <si>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学芸員が行う調査研究や資料の収集・保管、展示企画等の業務については、専門性や継続性等を維持する必要があることから、直営施設として、自治体職員を常駐で配置している。</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</si>
  <si>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</si>
  <si>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</si>
  <si>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</si>
  <si>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</si>
  <si>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</si>
  <si>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</si>
  <si>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指定管理者制度のメリットを生かしづらいため</t>
  </si>
  <si>
    <t>施設の利用の多くを県の事業が占め、自主事業の自由度が低いことから県直営としており、常駐で職員を配置している。</t>
  </si>
  <si>
    <t>休止施設であるため。</t>
  </si>
  <si>
    <t>能楽堂は本県の優れた文化の継承・発展を担う重要な施設として直営で運営しているため、常駐で自治体職員を配置している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</si>
  <si>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</si>
  <si>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</si>
  <si>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社会教育活動及び施設管理に関する業務を中心に職員を配置している。</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</si>
  <si>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</si>
  <si>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</si>
  <si>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伝統産業の活性化、後継者の確保・育成を行う研修施設は本県の優れた文化の継承・発展を担う重要な施設として直営で運営しているため、常駐で自治体職員を配置している</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</si>
  <si>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</si>
  <si>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</si>
  <si>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学校現場との密接な連携を要する教育機関であり、継続的かつ安定した運営を行うため</t>
  </si>
  <si>
    <t>施設の性質上、アクシデントの発生時等に臨機応変な対応が必要であることから、自治体職員の常駐が必要。</t>
  </si>
  <si>
    <t>【男女共同参画センター】
県の主体的関与により利用者の信頼性を確保する必要があるため。
【産業人材育成センター（２校）、農業大学校】
教育・養成機関として県の主体的関与が必要であるため。</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</si>
  <si>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</si>
  <si>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</si>
  <si>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</si>
  <si>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</si>
  <si>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</si>
  <si>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</si>
  <si>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直営で運営すべき施設として整理しているため</t>
  </si>
  <si>
    <t>㉑介護支援センター</t>
    <phoneticPr fontId="4"/>
  </si>
  <si>
    <t>法令に基づき直営で運営すべき施設であるため。</t>
  </si>
  <si>
    <t>法令により都道府県が設置することとされている施設であり、法令に規定された業務を行うため。</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</si>
  <si>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</si>
  <si>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</si>
  <si>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業務の専門性が高いため、直営を継続することが適当である。</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</si>
  <si>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</si>
  <si>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</si>
  <si>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</si>
  <si>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</si>
  <si>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</si>
  <si>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</si>
  <si>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</si>
  <si>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</si>
  <si>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</si>
  <si>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</si>
  <si>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直営施設により、障害者の日常生活及び社会生活を総合的に支援する必要があるため</t>
  </si>
  <si>
    <t>公平性及び守秘義務の確保等が必要なため(1)
導入の可否を検討中(2)</t>
  </si>
  <si>
    <t>専門性の高い相談等があることから常勤としてる</t>
  </si>
  <si>
    <t>機密性の高い個人情報を取り扱い、関係団体・市町村等との連携が必須であるため、県職員を常駐で配置している。</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</si>
  <si>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</si>
  <si>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</si>
  <si>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各施設の性質等を踏まえ、直営で管理すべきと判断しているため。</t>
  </si>
  <si>
    <t>秘匿性や公平性を求められる業務を行っているため</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</si>
  <si>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</si>
  <si>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</si>
  <si>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</si>
  <si>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</si>
  <si>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【精神保健福祉センター】
行政機関としての性格が強いため。</t>
  </si>
  <si>
    <t>管理主体に制約がある、相談機能を有する、処分性を有するなどの個別の事情により、県が行政庁として責任をもって運営する必要がある。</t>
  </si>
  <si>
    <t>障害児専門の医療が不採算であり、民間での実施が難しいことに加え、障害児に対する専門的医療・地域支援活動を実施しているため</t>
  </si>
  <si>
    <t>身体障害者相談センター及び精神保健福祉センターは、法令による制限があるほか、業務内容の専門性が高いため。</t>
  </si>
  <si>
    <t>実施済</t>
  </si>
  <si>
    <t>委託予定無し</t>
  </si>
  <si>
    <t>委託有</t>
  </si>
  <si>
    <t>委託予定</t>
  </si>
  <si>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4"/>
  </si>
  <si>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4"/>
  </si>
  <si>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4"/>
  </si>
  <si>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t>
    </r>
    <rPh sb="1" eb="3">
      <t>ジッシ</t>
    </rPh>
    <rPh sb="24" eb="26">
      <t>ジッシ</t>
    </rPh>
    <rPh sb="34" eb="36">
      <t>ジッシ</t>
    </rPh>
    <rPh sb="46" eb="48">
      <t>ジッシ</t>
    </rPh>
    <rPh sb="69" eb="71">
      <t>モジ</t>
    </rPh>
    <rPh sb="71" eb="73">
      <t>イナイ</t>
    </rPh>
    <phoneticPr fontId="4"/>
  </si>
  <si>
    <t>010006</t>
    <phoneticPr fontId="4"/>
  </si>
  <si>
    <r>
      <t xml:space="preserve">⑰公民館、市民会館 </t>
    </r>
    <r>
      <rPr>
        <sz val="11"/>
        <color rgb="FFFF0000"/>
        <rFont val="ＭＳ Ｐゴシック"/>
        <family val="3"/>
        <charset val="128"/>
        <scheme val="minor"/>
      </rPr>
      <t>※都道府県は回答不要です。</t>
    </r>
    <rPh sb="1" eb="4">
      <t>コウミンカン</t>
    </rPh>
    <rPh sb="11" eb="15">
      <t>トドウフケン</t>
    </rPh>
    <rPh sb="16" eb="18">
      <t>カイトウ</t>
    </rPh>
    <rPh sb="18" eb="20">
      <t>フヨウ</t>
    </rPh>
    <phoneticPr fontId="4"/>
  </si>
  <si>
    <t>080004</t>
    <phoneticPr fontId="4"/>
  </si>
  <si>
    <t>230006</t>
    <phoneticPr fontId="4"/>
  </si>
  <si>
    <t>240001</t>
    <phoneticPr fontId="4"/>
  </si>
  <si>
    <t>250007</t>
    <phoneticPr fontId="4"/>
  </si>
  <si>
    <t>280003</t>
    <phoneticPr fontId="4"/>
  </si>
  <si>
    <t>400009</t>
    <phoneticPr fontId="4"/>
  </si>
  <si>
    <t>420000</t>
    <phoneticPr fontId="4"/>
  </si>
  <si>
    <t>460001</t>
    <phoneticPr fontId="4"/>
  </si>
  <si>
    <t>-</t>
  </si>
  <si>
    <t>専任職員が定年退職等した場合、非常勤職員の補充で対応することとし、すべての専任職員を非常勤化していく。（平成29年度から随時実施）</t>
    <rPh sb="18" eb="20">
      <t>ショクイン</t>
    </rPh>
    <phoneticPr fontId="4"/>
  </si>
  <si>
    <t>○</t>
    <phoneticPr fontId="4"/>
  </si>
  <si>
    <t>学校用務員は、管理職の指示のもと安心・安全な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t>
    <phoneticPr fontId="4"/>
  </si>
  <si>
    <t>制度導入によるコスト削減及び収入増が見込めないことや、所在地の市営団地とともに市が一元的に管理しているため。</t>
    <rPh sb="10" eb="12">
      <t>サクゲン</t>
    </rPh>
    <rPh sb="12" eb="13">
      <t>オヨ</t>
    </rPh>
    <rPh sb="14" eb="16">
      <t>シュウニュウ</t>
    </rPh>
    <rPh sb="27" eb="29">
      <t>ショザイ</t>
    </rPh>
    <rPh sb="29" eb="30">
      <t>チ</t>
    </rPh>
    <rPh sb="31" eb="33">
      <t>シエイ</t>
    </rPh>
    <rPh sb="33" eb="35">
      <t>ダンチ</t>
    </rPh>
    <rPh sb="39" eb="40">
      <t>シ</t>
    </rPh>
    <rPh sb="41" eb="44">
      <t>イチゲンテキ</t>
    </rPh>
    <rPh sb="45" eb="47">
      <t>カンリ</t>
    </rPh>
    <phoneticPr fontId="4"/>
  </si>
  <si>
    <t>普通県営住宅以外の改良県営住宅及び特定公共賃貸住宅は指定管理者を導入しているが，普通県営住宅は公営住宅法に定める管理代行制度により実施しているため。</t>
    <rPh sb="0" eb="2">
      <t>フツウ</t>
    </rPh>
    <rPh sb="2" eb="4">
      <t>ケンエイ</t>
    </rPh>
    <rPh sb="4" eb="6">
      <t>ジュウタク</t>
    </rPh>
    <rPh sb="32" eb="34">
      <t>ドウニュウ</t>
    </rPh>
    <rPh sb="53" eb="54">
      <t>サダ</t>
    </rPh>
    <rPh sb="65" eb="67">
      <t>ジッシ</t>
    </rPh>
    <phoneticPr fontId="4"/>
  </si>
  <si>
    <t>直営で運営すべき施設であるため</t>
    <rPh sb="0" eb="2">
      <t>チョクエイ</t>
    </rPh>
    <phoneticPr fontId="4"/>
  </si>
  <si>
    <t>専門性を持った職員が必要なため</t>
    <rPh sb="0" eb="3">
      <t>センモンセイ</t>
    </rPh>
    <rPh sb="4" eb="5">
      <t>モ</t>
    </rPh>
    <rPh sb="7" eb="9">
      <t>ショクイン</t>
    </rPh>
    <rPh sb="10" eb="12">
      <t>ヒツヨウ</t>
    </rPh>
    <phoneticPr fontId="4"/>
  </si>
  <si>
    <t>　公営住宅法に基づく管理代行制度を導入しているため。なお、指定管理者制度による委託事務に加え、入居者の決定等の権限行為を一体的に代行させることができるため、迅速なサービスの提供が可能となる。</t>
  </si>
  <si>
    <t>H25にリニューアルし、国際大会等を積極的に誘致するため、職員を配置。</t>
    <rPh sb="12" eb="14">
      <t>コクサイ</t>
    </rPh>
    <rPh sb="14" eb="16">
      <t>タイカイ</t>
    </rPh>
    <rPh sb="16" eb="17">
      <t>ナド</t>
    </rPh>
    <rPh sb="18" eb="21">
      <t>セッキョクテキ</t>
    </rPh>
    <rPh sb="22" eb="24">
      <t>ユウチ</t>
    </rPh>
    <rPh sb="29" eb="31">
      <t>ショクイン</t>
    </rPh>
    <rPh sb="32" eb="34">
      <t>ハイチ</t>
    </rPh>
    <phoneticPr fontId="4"/>
  </si>
  <si>
    <t>昨年度から引き続き、施設のあり方について総合的に検討を行っているため。指定管理の導入についても引き続き検討中である。</t>
    <rPh sb="0" eb="3">
      <t>サクネンド</t>
    </rPh>
    <rPh sb="5" eb="6">
      <t>ヒ</t>
    </rPh>
    <rPh sb="7" eb="8">
      <t>ツヅ</t>
    </rPh>
    <rPh sb="10" eb="12">
      <t>シセツ</t>
    </rPh>
    <rPh sb="15" eb="16">
      <t>カタ</t>
    </rPh>
    <rPh sb="20" eb="23">
      <t>ソウゴウテキ</t>
    </rPh>
    <rPh sb="24" eb="26">
      <t>ケントウ</t>
    </rPh>
    <rPh sb="27" eb="28">
      <t>オコナ</t>
    </rPh>
    <rPh sb="35" eb="37">
      <t>シテイ</t>
    </rPh>
    <rPh sb="37" eb="39">
      <t>カンリ</t>
    </rPh>
    <rPh sb="40" eb="42">
      <t>ドウニュウ</t>
    </rPh>
    <rPh sb="47" eb="48">
      <t>ヒ</t>
    </rPh>
    <rPh sb="49" eb="50">
      <t>ツヅ</t>
    </rPh>
    <rPh sb="51" eb="54">
      <t>ケントウチュウ</t>
    </rPh>
    <phoneticPr fontId="4"/>
  </si>
  <si>
    <t>耐用年数経過の住戸が大部分であり、入居者の募集を停止していることから空き家が多く、管理上の創意工夫の余地が小さく、更に、老朽化した住戸は修繕経費が割高で、経費積算も困難なことから委託料が割高になるおそれがあり、効率的な業務の実施が困難であるため。</t>
    <rPh sb="0" eb="2">
      <t>タイヨウ</t>
    </rPh>
    <rPh sb="2" eb="4">
      <t>ネンスウ</t>
    </rPh>
    <rPh sb="4" eb="6">
      <t>ケイカ</t>
    </rPh>
    <rPh sb="7" eb="9">
      <t>ジュウコ</t>
    </rPh>
    <rPh sb="10" eb="13">
      <t>ダイブブン</t>
    </rPh>
    <rPh sb="17" eb="20">
      <t>ニュウキョシャ</t>
    </rPh>
    <rPh sb="21" eb="23">
      <t>ボシュウ</t>
    </rPh>
    <rPh sb="24" eb="26">
      <t>テイシ</t>
    </rPh>
    <rPh sb="34" eb="35">
      <t>ア</t>
    </rPh>
    <rPh sb="36" eb="37">
      <t>ヤ</t>
    </rPh>
    <rPh sb="38" eb="39">
      <t>オオ</t>
    </rPh>
    <rPh sb="41" eb="44">
      <t>カンリジョウ</t>
    </rPh>
    <rPh sb="45" eb="49">
      <t>ソウイクフウ</t>
    </rPh>
    <rPh sb="50" eb="52">
      <t>ヨチ</t>
    </rPh>
    <rPh sb="53" eb="54">
      <t>チイ</t>
    </rPh>
    <rPh sb="57" eb="58">
      <t>サラ</t>
    </rPh>
    <rPh sb="60" eb="63">
      <t>ロウキュウカ</t>
    </rPh>
    <rPh sb="65" eb="67">
      <t>ジュウコ</t>
    </rPh>
    <rPh sb="68" eb="70">
      <t>シュウゼン</t>
    </rPh>
    <rPh sb="70" eb="72">
      <t>ケイヒ</t>
    </rPh>
    <rPh sb="73" eb="75">
      <t>ワリダカ</t>
    </rPh>
    <rPh sb="77" eb="79">
      <t>ケイヒ</t>
    </rPh>
    <rPh sb="79" eb="81">
      <t>セキサン</t>
    </rPh>
    <rPh sb="82" eb="84">
      <t>コンナン</t>
    </rPh>
    <rPh sb="89" eb="92">
      <t>イタクリョウ</t>
    </rPh>
    <rPh sb="93" eb="95">
      <t>ワリダカ</t>
    </rPh>
    <rPh sb="105" eb="108">
      <t>コウリツテキ</t>
    </rPh>
    <rPh sb="109" eb="111">
      <t>ギョウム</t>
    </rPh>
    <rPh sb="112" eb="114">
      <t>ジッシ</t>
    </rPh>
    <rPh sb="115" eb="117">
      <t>コンナン</t>
    </rPh>
    <phoneticPr fontId="4"/>
  </si>
  <si>
    <t>行政文書の保管収集を行う県公文書館的機能を有していることから、行政情報等の漏えいを防ぐため、守秘義務を負う自治体職員を常駐させ管理することが適切であると考えているため。</t>
  </si>
  <si>
    <t>・文化会館との周辺整備基本計画を策定したが、文化財発掘調査等に相当な期間を要し、かつ整備の手法や運営方法の検討中であるため。
・中南和地域の観光拠点に位置づけられており、臨機応変な対応が必要なため。</t>
    <rPh sb="55" eb="56">
      <t>チュウ</t>
    </rPh>
    <phoneticPr fontId="4"/>
  </si>
  <si>
    <t>・美術館との周辺整備基本計画を策定したが、文化財発掘調査等に相当な期間を要し、かつ整備の手法や運営方法の検討中であるため。
・施設のあり方について検討中のため。
・歴史ある名勝地である奈良公園内の施設であり、おもてなしの対応のため常勤職員の配置が必要なため。</t>
    <rPh sb="54" eb="55">
      <t>チュウ</t>
    </rPh>
    <phoneticPr fontId="4"/>
  </si>
  <si>
    <t>森林を含めた施設全体の魅力向上および管理方針について検討を進めるため、県直営で運営管理を行っている。</t>
    <rPh sb="0" eb="2">
      <t>シンリン</t>
    </rPh>
    <rPh sb="3" eb="4">
      <t>フク</t>
    </rPh>
    <rPh sb="6" eb="8">
      <t>シセツ</t>
    </rPh>
    <rPh sb="8" eb="10">
      <t>ゼンタイ</t>
    </rPh>
    <rPh sb="11" eb="13">
      <t>ミリョク</t>
    </rPh>
    <rPh sb="13" eb="15">
      <t>コウジョウ</t>
    </rPh>
    <rPh sb="18" eb="20">
      <t>カンリ</t>
    </rPh>
    <rPh sb="20" eb="22">
      <t>ホウシン</t>
    </rPh>
    <rPh sb="26" eb="28">
      <t>ケントウ</t>
    </rPh>
    <rPh sb="29" eb="30">
      <t>スス</t>
    </rPh>
    <rPh sb="35" eb="36">
      <t>ケン</t>
    </rPh>
    <rPh sb="36" eb="38">
      <t>チョクエイ</t>
    </rPh>
    <rPh sb="39" eb="41">
      <t>ウンエイ</t>
    </rPh>
    <rPh sb="41" eb="43">
      <t>カンリ</t>
    </rPh>
    <rPh sb="44" eb="45">
      <t>オコナ</t>
    </rPh>
    <phoneticPr fontId="4"/>
  </si>
  <si>
    <t>施設の性質上、アクシデントの発生時等に臨機応変な対応が必要であることから、自治体職員の常駐が必要。</t>
    <rPh sb="0" eb="2">
      <t>シセツ</t>
    </rPh>
    <rPh sb="3" eb="6">
      <t>セイシツジョウ</t>
    </rPh>
    <rPh sb="14" eb="16">
      <t>ハッセイ</t>
    </rPh>
    <rPh sb="16" eb="17">
      <t>ジ</t>
    </rPh>
    <rPh sb="17" eb="18">
      <t>トウ</t>
    </rPh>
    <rPh sb="19" eb="23">
      <t>リンキオウヘン</t>
    </rPh>
    <rPh sb="24" eb="26">
      <t>タイオウ</t>
    </rPh>
    <rPh sb="27" eb="29">
      <t>ヒツヨウ</t>
    </rPh>
    <rPh sb="37" eb="40">
      <t>ジチタイ</t>
    </rPh>
    <rPh sb="40" eb="42">
      <t>ショクイン</t>
    </rPh>
    <rPh sb="43" eb="45">
      <t>ジョウチュウ</t>
    </rPh>
    <rPh sb="46" eb="48">
      <t>ヒツヨウ</t>
    </rPh>
    <phoneticPr fontId="4"/>
  </si>
  <si>
    <t>【むきばんだ史跡公園】
遺跡の発掘調査業務は県が関与する必要があるため。</t>
    <rPh sb="6" eb="8">
      <t>シセキ</t>
    </rPh>
    <rPh sb="8" eb="10">
      <t>コウエン</t>
    </rPh>
    <rPh sb="12" eb="14">
      <t>イセキ</t>
    </rPh>
    <rPh sb="15" eb="17">
      <t>ハックツ</t>
    </rPh>
    <rPh sb="17" eb="19">
      <t>チョウサ</t>
    </rPh>
    <rPh sb="19" eb="21">
      <t>ギョウム</t>
    </rPh>
    <rPh sb="22" eb="23">
      <t>ケン</t>
    </rPh>
    <rPh sb="24" eb="26">
      <t>カンヨ</t>
    </rPh>
    <rPh sb="28" eb="30">
      <t>ヒツヨウ</t>
    </rPh>
    <phoneticPr fontId="4"/>
  </si>
  <si>
    <t>H31.4から管理代行制度に移行したため。</t>
    <rPh sb="7" eb="9">
      <t>カンリ</t>
    </rPh>
    <rPh sb="9" eb="11">
      <t>ダイコウ</t>
    </rPh>
    <rPh sb="11" eb="13">
      <t>セイド</t>
    </rPh>
    <rPh sb="14" eb="16">
      <t>イコウ</t>
    </rPh>
    <phoneticPr fontId="4"/>
  </si>
  <si>
    <t>平成31年４月に、電話交換労働者派遣業務契約から非常勤職員による業務運営へ変更した。
今後も現在の体制を継続していく。</t>
  </si>
  <si>
    <t>スポーツ普及事業等に専門性をもった職員が必要なため</t>
  </si>
  <si>
    <t>直営で運営すべき施設であるため</t>
  </si>
  <si>
    <t>試験研究機関としての機能を有し、専門性を必要とするため</t>
  </si>
  <si>
    <t>・県直営で安定的に運営されることが指定管理者制度の導入によるメリットを上回ると考えているため。
・県の産業・雇用の拠点施設に位置づけており、管理運営については臨機応変に対応することが必要となることがあるため。</t>
  </si>
  <si>
    <t>・経験豊富な自治体職員を配置することにより訓練指導の質を維持するとともに、県内事業所や市町村との連携協力を図ることができるため。
・管理運営については臨機応変に対応することが必要となることがあるため。</t>
  </si>
  <si>
    <t xml:space="preserve"> </t>
  </si>
  <si>
    <t>未導入施設については，すべて市町に事務委託を行い，各地域の状況に応じた利活用が図られており，状況変化がないため。（うち１施設は事務委託先において指定管理者導入）</t>
  </si>
  <si>
    <t>・管理業務が必要な施設がなく、業務量が少ないため。</t>
  </si>
  <si>
    <t>導入によりコスト増が見込まれるため</t>
  </si>
  <si>
    <t>歴史ある名勝地である奈良公園の玄関口において、おもてなしの対応のため常勤職員の配置が必要なため</t>
  </si>
  <si>
    <t>県立図書館の役割は広域的かつ総合的な立場から県内図書館ネットワークの推進、市町村立図書館等への支援、図書館未設置市町村の図書館設置促進の助言･支援など、県内市町村や関係機関との広域的・長期的視野に立った連携・協力が必要な業務であり、県が直接行うべきものである。</t>
  </si>
  <si>
    <t>図書の収集や情報提供等、専門性を必要とするため</t>
  </si>
  <si>
    <t>県行政文書の保管収集を行う県公文書館としての業務を行っており、秘匿性の高いものも含む行政情報の管理等を民間事業者の指定管理者に委ねることは問題であると考えるため。</t>
  </si>
  <si>
    <t>企画展の運営と美術作品や歴史資料等の保存に関して、学芸員の高度な専門性と経験の蓄積が必要であるため</t>
    <rPh sb="12" eb="14">
      <t>レキシ</t>
    </rPh>
    <rPh sb="14" eb="16">
      <t>シリョウ</t>
    </rPh>
    <rPh sb="16" eb="17">
      <t>トウ</t>
    </rPh>
    <phoneticPr fontId="4"/>
  </si>
  <si>
    <t>長期的な視点に立った調査研究、資料収集等を継続する必要があるため</t>
  </si>
  <si>
    <t>・文化会館との周辺整備基本計画を策定したが、文化財発掘調査等に相当な期間を要し、整備の手法や運営方法を検討中。
・施設のあり方を見直しており、運営体制や運営に係るコストが安定しないため。
・展示品・収蔵物の管理及び企画展等の運営には、専任の学芸員が必要である。</t>
  </si>
  <si>
    <t>装飾古墳、史跡鞠智城は本県の貴重な文化資産でもあり、未解明な部分も多いことから、引き続き、直営・職員常駐の体制を維持し、最先端の研究を進めていくこととしているため。</t>
  </si>
  <si>
    <t>専門的な指導等を行う必要があるため</t>
  </si>
  <si>
    <t>・専門性が高く、福祉行政と密接に関連しているため、直営の方が効果的・効率的に運営できるため。</t>
  </si>
  <si>
    <r>
      <t xml:space="preserve">競技場
</t>
    </r>
    <r>
      <rPr>
        <sz val="9"/>
        <rFont val="ＭＳ Ｐゴシック"/>
        <family val="3"/>
        <charset val="128"/>
        <scheme val="minor"/>
      </rPr>
      <t>（野球場、テニスコート等）</t>
    </r>
    <phoneticPr fontId="4"/>
  </si>
  <si>
    <r>
      <rPr>
        <sz val="12"/>
        <rFont val="ＭＳ Ｐゴシック"/>
        <family val="3"/>
        <charset val="128"/>
        <scheme val="minor"/>
      </rPr>
      <t>宿泊休養施設</t>
    </r>
    <r>
      <rPr>
        <sz val="10"/>
        <rFont val="ＭＳ Ｐゴシック"/>
        <family val="3"/>
        <charset val="128"/>
        <scheme val="minor"/>
      </rPr>
      <t xml:space="preserve">
</t>
    </r>
    <r>
      <rPr>
        <sz val="8"/>
        <rFont val="ＭＳ Ｐゴシック"/>
        <family val="3"/>
        <charset val="128"/>
        <scheme val="minor"/>
      </rPr>
      <t>（ホテル、国民宿舎等）</t>
    </r>
    <phoneticPr fontId="4"/>
  </si>
  <si>
    <r>
      <rPr>
        <sz val="12"/>
        <rFont val="ＭＳ Ｐゴシック"/>
        <family val="3"/>
        <charset val="128"/>
        <scheme val="minor"/>
      </rPr>
      <t>休養施設</t>
    </r>
    <r>
      <rPr>
        <sz val="10"/>
        <rFont val="ＭＳ Ｐゴシック"/>
        <family val="3"/>
        <charset val="128"/>
        <scheme val="minor"/>
      </rPr>
      <t xml:space="preserve">
</t>
    </r>
    <r>
      <rPr>
        <sz val="8"/>
        <rFont val="ＭＳ Ｐゴシック"/>
        <family val="3"/>
        <charset val="128"/>
        <scheme val="minor"/>
      </rPr>
      <t>（公衆浴場、海・山の家等）</t>
    </r>
    <phoneticPr fontId="4"/>
  </si>
  <si>
    <r>
      <t xml:space="preserve">博物館
</t>
    </r>
    <r>
      <rPr>
        <sz val="6"/>
        <rFont val="ＭＳ Ｐゴシック"/>
        <family val="3"/>
        <charset val="128"/>
        <scheme val="minor"/>
      </rPr>
      <t>（美術館、科学館、歴史館、動物園等）</t>
    </r>
    <phoneticPr fontId="4"/>
  </si>
  <si>
    <r>
      <rPr>
        <sz val="11"/>
        <rFont val="ＭＳ Ｐゴシック"/>
        <family val="3"/>
        <charset val="128"/>
        <scheme val="minor"/>
      </rPr>
      <t>合宿所、研修所等</t>
    </r>
    <r>
      <rPr>
        <sz val="10"/>
        <rFont val="ＭＳ Ｐゴシック"/>
        <family val="3"/>
        <charset val="128"/>
        <scheme val="minor"/>
      </rPr>
      <t xml:space="preserve">
</t>
    </r>
    <r>
      <rPr>
        <sz val="8"/>
        <rFont val="ＭＳ Ｐゴシック"/>
        <family val="3"/>
        <charset val="128"/>
        <scheme val="minor"/>
      </rPr>
      <t>（青少年の家を含む）</t>
    </r>
    <phoneticPr fontId="4"/>
  </si>
  <si>
    <t>作成中</t>
    <rPh sb="0" eb="2">
      <t>サクセイ</t>
    </rPh>
    <rPh sb="2" eb="3">
      <t>チュウ</t>
    </rPh>
    <phoneticPr fontId="4"/>
  </si>
  <si>
    <r>
      <t>作成</t>
    </r>
    <r>
      <rPr>
        <sz val="16"/>
        <rFont val="ＭＳ Ｐゴシック"/>
        <family val="3"/>
        <charset val="128"/>
        <scheme val="minor"/>
      </rPr>
      <t>完了予定時期</t>
    </r>
    <rPh sb="0" eb="2">
      <t>サクセイ</t>
    </rPh>
    <rPh sb="2" eb="4">
      <t>カンリョウ</t>
    </rPh>
    <rPh sb="6" eb="8">
      <t>ジキ</t>
    </rPh>
    <phoneticPr fontId="4"/>
  </si>
  <si>
    <t>作成中</t>
    <rPh sb="0" eb="2">
      <t>サクセイ</t>
    </rPh>
    <rPh sb="2" eb="3">
      <t>ナカ</t>
    </rPh>
    <phoneticPr fontId="4"/>
  </si>
  <si>
    <t>作成完了予定時期</t>
    <rPh sb="0" eb="2">
      <t>サクセイ</t>
    </rPh>
    <rPh sb="2" eb="4">
      <t>カンリョウ</t>
    </rPh>
    <rPh sb="4" eb="6">
      <t>ヨテイ</t>
    </rPh>
    <rPh sb="6" eb="8">
      <t>ジキ</t>
    </rPh>
    <phoneticPr fontId="4"/>
  </si>
  <si>
    <t>様々な機関、団体と連携協力して実施する展覧会事業や専門的・技術的な事項に関する調査研究の実施等のために、専門的職員の配置が必要なため。</t>
    <phoneticPr fontId="4"/>
  </si>
  <si>
    <t>030007</t>
    <phoneticPr fontId="4"/>
  </si>
  <si>
    <t>未導入施設である花きセンターは、花き園芸振興に寄与するための施設であり、花きセンターを所掌する農業大学校が行政、関係団体、花き生産者と密に連携しながら研修教育を行う必要がある。</t>
    <rPh sb="0" eb="3">
      <t>ミドウニュウ</t>
    </rPh>
    <rPh sb="3" eb="5">
      <t>シセツ</t>
    </rPh>
    <rPh sb="82" eb="84">
      <t>ヒツヨウ</t>
    </rPh>
    <phoneticPr fontId="4"/>
  </si>
  <si>
    <t>植物の栽培、施設の管理、農業者に対する研修指導等を行うため、専門性を持った技術吏員とこれを補助する非常勤職員を配置する必要がある。</t>
    <rPh sb="55" eb="57">
      <t>ハイチ</t>
    </rPh>
    <rPh sb="59" eb="61">
      <t>ヒツヨウ</t>
    </rPh>
    <phoneticPr fontId="4"/>
  </si>
  <si>
    <t>040002</t>
    <phoneticPr fontId="4"/>
  </si>
  <si>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現状としては直営で対応していくこととしている。</t>
    <rPh sb="100" eb="102">
      <t>ゲンジョウ</t>
    </rPh>
    <phoneticPr fontId="4"/>
  </si>
  <si>
    <t>社会教育委員の会議により教科等に関連付けたプログラム開発，活動ボランティアの育成等直営のメリットを生かした運営の充実について提言を受けており，現在その具現化に向けて充実を図っているため。</t>
    <rPh sb="0" eb="2">
      <t>シャカイ</t>
    </rPh>
    <rPh sb="2" eb="4">
      <t>キョウイク</t>
    </rPh>
    <rPh sb="4" eb="6">
      <t>イイン</t>
    </rPh>
    <rPh sb="7" eb="9">
      <t>カイギ</t>
    </rPh>
    <rPh sb="12" eb="14">
      <t>キョウカ</t>
    </rPh>
    <rPh sb="14" eb="15">
      <t>トウ</t>
    </rPh>
    <rPh sb="16" eb="19">
      <t>カンレンヅ</t>
    </rPh>
    <rPh sb="26" eb="28">
      <t>カイハツ</t>
    </rPh>
    <rPh sb="29" eb="31">
      <t>カツドウ</t>
    </rPh>
    <rPh sb="38" eb="40">
      <t>イクセイ</t>
    </rPh>
    <rPh sb="40" eb="41">
      <t>トウ</t>
    </rPh>
    <rPh sb="41" eb="43">
      <t>チョクエイ</t>
    </rPh>
    <rPh sb="49" eb="50">
      <t>イ</t>
    </rPh>
    <rPh sb="53" eb="55">
      <t>ウンエイ</t>
    </rPh>
    <rPh sb="56" eb="58">
      <t>ジュウジツ</t>
    </rPh>
    <rPh sb="62" eb="64">
      <t>テイゲン</t>
    </rPh>
    <rPh sb="65" eb="66">
      <t>ウ</t>
    </rPh>
    <rPh sb="71" eb="73">
      <t>ゲンザイ</t>
    </rPh>
    <rPh sb="75" eb="78">
      <t>グゲンカ</t>
    </rPh>
    <rPh sb="79" eb="80">
      <t>ム</t>
    </rPh>
    <rPh sb="82" eb="84">
      <t>ジュウジツ</t>
    </rPh>
    <rPh sb="85" eb="86">
      <t>ハカ</t>
    </rPh>
    <phoneticPr fontId="4"/>
  </si>
  <si>
    <t>現在、専任職員（正職員）の退職後の欠員補充は非常勤職員により対応しているが、今後正職員の割合が少なくなった場合に民間等への委託等も検討が必要と考えている。</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8" eb="40">
      <t>コンゴ</t>
    </rPh>
    <rPh sb="40" eb="43">
      <t>セイショクイン</t>
    </rPh>
    <rPh sb="44" eb="46">
      <t>ワリアイ</t>
    </rPh>
    <rPh sb="47" eb="48">
      <t>スク</t>
    </rPh>
    <rPh sb="53" eb="55">
      <t>バアイ</t>
    </rPh>
    <rPh sb="56" eb="58">
      <t>ミンカン</t>
    </rPh>
    <rPh sb="58" eb="59">
      <t>トウ</t>
    </rPh>
    <rPh sb="61" eb="63">
      <t>イタク</t>
    </rPh>
    <rPh sb="63" eb="64">
      <t>トウ</t>
    </rPh>
    <rPh sb="65" eb="67">
      <t>ケントウ</t>
    </rPh>
    <rPh sb="68" eb="70">
      <t>ヒツヨウ</t>
    </rPh>
    <rPh sb="71" eb="72">
      <t>カンガ</t>
    </rPh>
    <phoneticPr fontId="35"/>
  </si>
  <si>
    <t>退職者不補充を進める（業務運営上で必要であれば、会計年度任用職員等で対応する）。</t>
    <rPh sb="11" eb="13">
      <t>ギョウム</t>
    </rPh>
    <rPh sb="13" eb="16">
      <t>ウンエイジョウ</t>
    </rPh>
    <rPh sb="17" eb="19">
      <t>ヒツヨウ</t>
    </rPh>
    <rPh sb="24" eb="26">
      <t>カイケイ</t>
    </rPh>
    <rPh sb="26" eb="28">
      <t>ネンド</t>
    </rPh>
    <rPh sb="28" eb="30">
      <t>ニンヨウ</t>
    </rPh>
    <rPh sb="30" eb="32">
      <t>ショクイン</t>
    </rPh>
    <rPh sb="32" eb="33">
      <t>トウ</t>
    </rPh>
    <rPh sb="34" eb="36">
      <t>タイオウ</t>
    </rPh>
    <phoneticPr fontId="5"/>
  </si>
  <si>
    <t>各校正規職員1名＋パートタイム会計年度任用職員１～２名（２名の場合は内障害者１名）とする。</t>
    <rPh sb="0" eb="2">
      <t>カクコウ</t>
    </rPh>
    <rPh sb="2" eb="4">
      <t>セイキ</t>
    </rPh>
    <rPh sb="4" eb="6">
      <t>ショクイン</t>
    </rPh>
    <rPh sb="7" eb="8">
      <t>メイ</t>
    </rPh>
    <rPh sb="15" eb="17">
      <t>カイケイ</t>
    </rPh>
    <rPh sb="17" eb="19">
      <t>ネンド</t>
    </rPh>
    <rPh sb="19" eb="21">
      <t>ニンヨウ</t>
    </rPh>
    <rPh sb="21" eb="23">
      <t>ショクイン</t>
    </rPh>
    <rPh sb="26" eb="27">
      <t>メイ</t>
    </rPh>
    <rPh sb="29" eb="30">
      <t>メイ</t>
    </rPh>
    <rPh sb="31" eb="33">
      <t>バアイ</t>
    </rPh>
    <rPh sb="34" eb="35">
      <t>ウチ</t>
    </rPh>
    <rPh sb="35" eb="38">
      <t>ショウガイシャ</t>
    </rPh>
    <rPh sb="39" eb="40">
      <t>メイ</t>
    </rPh>
    <phoneticPr fontId="5"/>
  </si>
  <si>
    <t>施設の規模が大きく、管理業務も多種多様であるとともに、施設内に居住する住民や地元観光協会など関係する団体も多く、様々な課題解決に県の判断が求められる状況にあることから県直営としており、常駐で職員を配置している。</t>
    <rPh sb="27" eb="29">
      <t>シセツ</t>
    </rPh>
    <rPh sb="29" eb="30">
      <t>ナイ</t>
    </rPh>
    <rPh sb="31" eb="33">
      <t>キョジュウ</t>
    </rPh>
    <rPh sb="35" eb="37">
      <t>ジュウミン</t>
    </rPh>
    <rPh sb="38" eb="40">
      <t>ジモト</t>
    </rPh>
    <phoneticPr fontId="3"/>
  </si>
  <si>
    <t>公営住宅の管理では、公営住宅法に基づく管理代行制度の方が指定管理者制度より多くの管理権限を有しており、経費の削減や事業の効率化が図られること、及び本県の公営住宅の状況からワンストップサービスの提供による住民サービスの向上が期待できるため。</t>
    <rPh sb="45" eb="46">
      <t>ユウ</t>
    </rPh>
    <phoneticPr fontId="3"/>
  </si>
  <si>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phoneticPr fontId="4"/>
  </si>
  <si>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phoneticPr fontId="4"/>
  </si>
  <si>
    <t>県の直営美術館と一体の公園及び国指定史跡「埼玉古墳群」の管理・保護を目的とした公園であり、県自身が長期的な一貫性の中で責任を持って管理を行う必要があるため。</t>
    <rPh sb="0" eb="1">
      <t>ケン</t>
    </rPh>
    <rPh sb="2" eb="4">
      <t>チョクエイ</t>
    </rPh>
    <rPh sb="4" eb="7">
      <t>ビジュツカン</t>
    </rPh>
    <rPh sb="8" eb="10">
      <t>イッタイ</t>
    </rPh>
    <rPh sb="11" eb="13">
      <t>コウエン</t>
    </rPh>
    <rPh sb="13" eb="14">
      <t>オヨ</t>
    </rPh>
    <rPh sb="15" eb="16">
      <t>クニ</t>
    </rPh>
    <phoneticPr fontId="4"/>
  </si>
  <si>
    <t>120006</t>
    <phoneticPr fontId="4"/>
  </si>
  <si>
    <t>平成１８年度から公営住宅法に基づく管理代行制度を導入しているため。</t>
    <phoneticPr fontId="4"/>
  </si>
  <si>
    <t>　本県の総合的なスポーツ推進拠点として、生涯スポーツ・障がい者スポーツの推進やアスリートの競技力向上等の取組みを行うほか、児童・生徒のスポーツ推進や教員等の研修機能等を担うため。</t>
    <rPh sb="1" eb="3">
      <t>ホンケン</t>
    </rPh>
    <rPh sb="4" eb="7">
      <t>ソウゴウテキ</t>
    </rPh>
    <rPh sb="12" eb="14">
      <t>スイシン</t>
    </rPh>
    <rPh sb="14" eb="16">
      <t>キョテン</t>
    </rPh>
    <rPh sb="20" eb="22">
      <t>ショウガイ</t>
    </rPh>
    <rPh sb="27" eb="28">
      <t>ショウ</t>
    </rPh>
    <rPh sb="30" eb="31">
      <t>シャ</t>
    </rPh>
    <rPh sb="36" eb="38">
      <t>スイシン</t>
    </rPh>
    <rPh sb="45" eb="48">
      <t>キョウギリョク</t>
    </rPh>
    <rPh sb="48" eb="50">
      <t>コウジョウ</t>
    </rPh>
    <rPh sb="50" eb="51">
      <t>トウ</t>
    </rPh>
    <rPh sb="52" eb="54">
      <t>トリク</t>
    </rPh>
    <rPh sb="56" eb="57">
      <t>オコナ</t>
    </rPh>
    <rPh sb="61" eb="63">
      <t>ジドウ</t>
    </rPh>
    <rPh sb="64" eb="66">
      <t>セイト</t>
    </rPh>
    <rPh sb="71" eb="73">
      <t>スイシン</t>
    </rPh>
    <rPh sb="74" eb="76">
      <t>キョウイン</t>
    </rPh>
    <rPh sb="76" eb="77">
      <t>トウ</t>
    </rPh>
    <rPh sb="78" eb="80">
      <t>ケンシュウ</t>
    </rPh>
    <rPh sb="80" eb="82">
      <t>キノウ</t>
    </rPh>
    <rPh sb="82" eb="83">
      <t>トウ</t>
    </rPh>
    <rPh sb="84" eb="85">
      <t>ニナ</t>
    </rPh>
    <phoneticPr fontId="4"/>
  </si>
  <si>
    <t>正規職員については退職不補充とし、会計年度任用職員での対応としている。</t>
    <rPh sb="17" eb="19">
      <t>カイケイ</t>
    </rPh>
    <rPh sb="19" eb="21">
      <t>ネンド</t>
    </rPh>
    <rPh sb="21" eb="23">
      <t>ニンヨウ</t>
    </rPh>
    <phoneticPr fontId="4"/>
  </si>
  <si>
    <t>研究業務と施設利用等を一体管理する必要があり、当該業務に携わる研究員、事務職員が常駐している。</t>
    <phoneticPr fontId="4"/>
  </si>
  <si>
    <t>170003</t>
    <phoneticPr fontId="4"/>
  </si>
  <si>
    <t>正規職員にて対応しているが、職員が退職後は不補充の方針であるため、会計年度任用職員にて対応。
【会計年度任用職員の理由】学校施設に係る維持修繕業務等は、各学校によって規模・頻度・内容も異なり、画一的な管理委託等が困難なため。</t>
    <rPh sb="0" eb="2">
      <t>セイキ</t>
    </rPh>
    <rPh sb="2" eb="4">
      <t>ショクイン</t>
    </rPh>
    <rPh sb="6" eb="8">
      <t>タイオウ</t>
    </rPh>
    <rPh sb="14" eb="16">
      <t>ショクイン</t>
    </rPh>
    <rPh sb="17" eb="20">
      <t>タイショクゴ</t>
    </rPh>
    <rPh sb="21" eb="22">
      <t>フ</t>
    </rPh>
    <rPh sb="22" eb="24">
      <t>ホジュウ</t>
    </rPh>
    <rPh sb="25" eb="27">
      <t>ホウシン</t>
    </rPh>
    <rPh sb="33" eb="41">
      <t>カイケイネンドニンヨウショクイン</t>
    </rPh>
    <rPh sb="43" eb="45">
      <t>タイオウ</t>
    </rPh>
    <rPh sb="48" eb="50">
      <t>カイケイ</t>
    </rPh>
    <rPh sb="50" eb="52">
      <t>ネンド</t>
    </rPh>
    <rPh sb="52" eb="54">
      <t>ニンヨウ</t>
    </rPh>
    <rPh sb="54" eb="56">
      <t>ショクイン</t>
    </rPh>
    <rPh sb="57" eb="59">
      <t>リユウ</t>
    </rPh>
    <rPh sb="60" eb="62">
      <t>ガッコウ</t>
    </rPh>
    <rPh sb="62" eb="64">
      <t>シセツ</t>
    </rPh>
    <rPh sb="65" eb="66">
      <t>カカ</t>
    </rPh>
    <rPh sb="67" eb="69">
      <t>イジ</t>
    </rPh>
    <rPh sb="69" eb="71">
      <t>シュウゼン</t>
    </rPh>
    <rPh sb="71" eb="73">
      <t>ギョウム</t>
    </rPh>
    <rPh sb="73" eb="74">
      <t>ナド</t>
    </rPh>
    <rPh sb="76" eb="79">
      <t>カクガッコウ</t>
    </rPh>
    <rPh sb="83" eb="85">
      <t>キボ</t>
    </rPh>
    <rPh sb="86" eb="88">
      <t>ヒンド</t>
    </rPh>
    <rPh sb="89" eb="91">
      <t>ナイヨウ</t>
    </rPh>
    <rPh sb="92" eb="93">
      <t>コト</t>
    </rPh>
    <rPh sb="96" eb="99">
      <t>カクイツテキ</t>
    </rPh>
    <rPh sb="100" eb="102">
      <t>カンリ</t>
    </rPh>
    <rPh sb="102" eb="104">
      <t>イタク</t>
    </rPh>
    <rPh sb="104" eb="105">
      <t>ナド</t>
    </rPh>
    <rPh sb="106" eb="108">
      <t>コンナン</t>
    </rPh>
    <phoneticPr fontId="5"/>
  </si>
  <si>
    <t>260002</t>
    <phoneticPr fontId="4"/>
  </si>
  <si>
    <t>現在、職員の退職等の状況を見ながら、会計年度任用職員の配置等による体制整理を進めている。</t>
    <rPh sb="18" eb="20">
      <t>カイケイ</t>
    </rPh>
    <rPh sb="20" eb="22">
      <t>ネンド</t>
    </rPh>
    <rPh sb="22" eb="24">
      <t>ニンヨウ</t>
    </rPh>
    <rPh sb="24" eb="26">
      <t>ショクイン</t>
    </rPh>
    <phoneticPr fontId="4"/>
  </si>
  <si>
    <t>令和４年度末までの長期継続契約を締結しているため。なお、運営も含めあり方について検討中。</t>
    <phoneticPr fontId="4"/>
  </si>
  <si>
    <t>・美術館との周辺整備基本計画を策定したが、文化会館を先行してリニューアル整備をする方針としたため、これに伴う諸課題の整理、調査、検討を要するため。
・施設のあり方について検討中のため。
・許認可業務、施設整備業務等を行うため常駐職員の配置が必要。</t>
    <phoneticPr fontId="4"/>
  </si>
  <si>
    <t>330001</t>
    <phoneticPr fontId="4"/>
  </si>
  <si>
    <t>340006</t>
    <phoneticPr fontId="4"/>
  </si>
  <si>
    <t>・総合精神保健福祉センターは，県における地域精神保健福祉活動推進の中核となる機能が必要であり状況変化がないため。
・身体障害者更正相談所は，身体障害者福祉法の規定により直営としており状況変化がないため。</t>
    <rPh sb="46" eb="48">
      <t>ジョウキョウ</t>
    </rPh>
    <rPh sb="48" eb="50">
      <t>ヘンカ</t>
    </rPh>
    <phoneticPr fontId="4"/>
  </si>
  <si>
    <t>・総合精神保健福祉センターは，県における地域精神保健福祉活動推進の中核となる機能が必要であるため。
・身体障害者更正相談所は，身体障害者福祉法の規定により，身体障害者福祉司（県職員）を置く必要があるため。</t>
    <phoneticPr fontId="4"/>
  </si>
  <si>
    <t>360007</t>
    <phoneticPr fontId="4"/>
  </si>
  <si>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シセツ</t>
    </rPh>
    <rPh sb="8" eb="10">
      <t>セイビ</t>
    </rPh>
    <rPh sb="11" eb="13">
      <t>カンリ</t>
    </rPh>
    <rPh sb="17" eb="19">
      <t>ヒツヨウ</t>
    </rPh>
    <rPh sb="20" eb="22">
      <t>ギョウム</t>
    </rPh>
    <rPh sb="26" eb="28">
      <t>チョクエイ</t>
    </rPh>
    <rPh sb="29" eb="30">
      <t>オコナ</t>
    </rPh>
    <rPh sb="34" eb="36">
      <t>テキトウ</t>
    </rPh>
    <rPh sb="37" eb="38">
      <t>カンガ</t>
    </rPh>
    <rPh sb="44" eb="46">
      <t>コンゴ</t>
    </rPh>
    <rPh sb="47" eb="49">
      <t>ギョウム</t>
    </rPh>
    <rPh sb="50" eb="51">
      <t>キ</t>
    </rPh>
    <rPh sb="52" eb="53">
      <t>ワ</t>
    </rPh>
    <rPh sb="54" eb="55">
      <t>トウ</t>
    </rPh>
    <rPh sb="58" eb="60">
      <t>ガイブ</t>
    </rPh>
    <rPh sb="60" eb="62">
      <t>イタク</t>
    </rPh>
    <rPh sb="63" eb="66">
      <t>カノウセイ</t>
    </rPh>
    <rPh sb="71" eb="73">
      <t>セイト</t>
    </rPh>
    <rPh sb="74" eb="76">
      <t>アンゼン</t>
    </rPh>
    <rPh sb="77" eb="79">
      <t>カクホ</t>
    </rPh>
    <rPh sb="82" eb="83">
      <t>ヨ</t>
    </rPh>
    <rPh sb="84" eb="86">
      <t>ガッコウ</t>
    </rPh>
    <rPh sb="86" eb="88">
      <t>セイカツ</t>
    </rPh>
    <rPh sb="92" eb="94">
      <t>キョウイク</t>
    </rPh>
    <rPh sb="94" eb="96">
      <t>カンキョウ</t>
    </rPh>
    <rPh sb="100" eb="102">
      <t>ハイリョ</t>
    </rPh>
    <rPh sb="106" eb="108">
      <t>ケントウ</t>
    </rPh>
    <phoneticPr fontId="37"/>
  </si>
  <si>
    <t>県の施策を担う出先機関であり以下の取組を行うことから直営により運営する。
①公共図書館等職員の育成、市町村への支援。②「図書館の図書館」として高度なレファレンスの実施。③歴史資料等の貴重な資料を確実に未来へ継承。</t>
    <rPh sb="14" eb="16">
      <t>イカ</t>
    </rPh>
    <rPh sb="17" eb="19">
      <t>トリクミ</t>
    </rPh>
    <rPh sb="20" eb="21">
      <t>オコナ</t>
    </rPh>
    <rPh sb="26" eb="28">
      <t>チョクエイ</t>
    </rPh>
    <rPh sb="31" eb="33">
      <t>ウンエイ</t>
    </rPh>
    <rPh sb="60" eb="63">
      <t>トショカン</t>
    </rPh>
    <rPh sb="64" eb="67">
      <t>トショカン</t>
    </rPh>
    <rPh sb="71" eb="73">
      <t>コウド</t>
    </rPh>
    <rPh sb="81" eb="83">
      <t>ジッシ</t>
    </rPh>
    <rPh sb="85" eb="87">
      <t>レキシ</t>
    </rPh>
    <rPh sb="87" eb="89">
      <t>シリョウ</t>
    </rPh>
    <rPh sb="89" eb="90">
      <t>トウ</t>
    </rPh>
    <rPh sb="91" eb="93">
      <t>キチョウ</t>
    </rPh>
    <rPh sb="94" eb="96">
      <t>シリョウ</t>
    </rPh>
    <rPh sb="97" eb="99">
      <t>カクジツ</t>
    </rPh>
    <rPh sb="100" eb="102">
      <t>ミライ</t>
    </rPh>
    <rPh sb="103" eb="105">
      <t>ケイショウ</t>
    </rPh>
    <phoneticPr fontId="4"/>
  </si>
  <si>
    <t>公立図書館等職員向け各種研修会の開催、市町村の支援を行うため。
また、レファレンスサービスや貴重資料の保存など、サービスの性質上、職員による対応が必要不可欠な業務があるため。</t>
    <rPh sb="0" eb="2">
      <t>コウリツ</t>
    </rPh>
    <rPh sb="2" eb="5">
      <t>トショカン</t>
    </rPh>
    <rPh sb="5" eb="6">
      <t>トウ</t>
    </rPh>
    <rPh sb="6" eb="8">
      <t>ショクイン</t>
    </rPh>
    <rPh sb="8" eb="9">
      <t>ム</t>
    </rPh>
    <phoneticPr fontId="4"/>
  </si>
  <si>
    <t>青少年の家等の社会教育施設には教育施設として学校や児童・生徒及び保護者を支援する役割があるため</t>
    <phoneticPr fontId="4"/>
  </si>
  <si>
    <t>450006</t>
    <phoneticPr fontId="4"/>
  </si>
  <si>
    <t>専任職員の一部については，非常勤化を実施し，会計年度任用職員を配置している。</t>
    <phoneticPr fontId="4"/>
  </si>
  <si>
    <t>470007</t>
    <phoneticPr fontId="4"/>
  </si>
  <si>
    <t>正職員については退職不補充とし，会計年度任用職員での対応としている。</t>
    <rPh sb="0" eb="3">
      <t>セイショクイン</t>
    </rPh>
    <rPh sb="8" eb="10">
      <t>タイショク</t>
    </rPh>
    <rPh sb="10" eb="13">
      <t>フホジュウ</t>
    </rPh>
    <rPh sb="16" eb="18">
      <t>カイケイ</t>
    </rPh>
    <rPh sb="18" eb="20">
      <t>ネンド</t>
    </rPh>
    <rPh sb="20" eb="22">
      <t>ニンヨウ</t>
    </rPh>
    <rPh sb="22" eb="24">
      <t>ショクイン</t>
    </rPh>
    <rPh sb="26" eb="28">
      <t>タイオウ</t>
    </rPh>
    <phoneticPr fontId="5"/>
  </si>
  <si>
    <t>150002</t>
    <phoneticPr fontId="4"/>
  </si>
  <si>
    <t>育精福祉センター児童寮については、入所児は環境の変化等への対応が困難な場合が多いため、指定管理者制度導入に伴う職員の大幅な入替を極力抑える必要があるため。制度導入後３年間の予定で県職員を配置する。　　</t>
    <phoneticPr fontId="4"/>
  </si>
  <si>
    <t>本務職員の退職後は本務採用をせず臨任及び会計年度任用職員で対応する</t>
    <rPh sb="20" eb="22">
      <t>カイケイ</t>
    </rPh>
    <rPh sb="22" eb="24">
      <t>ネンド</t>
    </rPh>
    <rPh sb="24" eb="26">
      <t>ニンヨウ</t>
    </rPh>
    <rPh sb="26" eb="28">
      <t>ショクイン</t>
    </rPh>
    <phoneticPr fontId="4"/>
  </si>
  <si>
    <r>
      <t>統一的な基準による財務書類の作成状況（令和元</t>
    </r>
    <r>
      <rPr>
        <sz val="12"/>
        <rFont val="ＭＳ Ｐゴシック"/>
        <family val="3"/>
        <charset val="128"/>
        <scheme val="minor"/>
      </rPr>
      <t>年度決算に係る一般会計等財務書類）</t>
    </r>
    <rPh sb="19" eb="21">
      <t>レイワ</t>
    </rPh>
    <rPh sb="21" eb="22">
      <t>ガン</t>
    </rPh>
    <rPh sb="22" eb="24">
      <t>ネンド</t>
    </rPh>
    <rPh sb="24" eb="26">
      <t>ケッサン</t>
    </rPh>
    <rPh sb="27" eb="28">
      <t>カカ</t>
    </rPh>
    <phoneticPr fontId="4"/>
  </si>
  <si>
    <t>　未導入施設のうち農業ふれあい公園は、農業研究センターに隣接し、一体管理している施設である。そのため、今後も一体的に管理することが必要である。
　柳之御所史跡公園については発掘調査の成果を踏まえ、今後、整備範囲を広げる計画としているため、当面直営で管理する必要がある。</t>
    <rPh sb="1" eb="4">
      <t>ミドウニュウ</t>
    </rPh>
    <rPh sb="4" eb="6">
      <t>シセツ</t>
    </rPh>
    <rPh sb="19" eb="21">
      <t>ノウギョウ</t>
    </rPh>
    <rPh sb="21" eb="23">
      <t>ケンキュウ</t>
    </rPh>
    <rPh sb="28" eb="30">
      <t>リンセツ</t>
    </rPh>
    <rPh sb="32" eb="34">
      <t>イッタイ</t>
    </rPh>
    <rPh sb="34" eb="36">
      <t>カンリ</t>
    </rPh>
    <rPh sb="40" eb="42">
      <t>シセツ</t>
    </rPh>
    <rPh sb="51" eb="53">
      <t>コンゴ</t>
    </rPh>
    <rPh sb="54" eb="57">
      <t>イッタイテキ</t>
    </rPh>
    <rPh sb="58" eb="60">
      <t>カンリ</t>
    </rPh>
    <rPh sb="65" eb="67">
      <t>ヒツヨウ</t>
    </rPh>
    <phoneticPr fontId="4"/>
  </si>
  <si>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4"/>
  </si>
  <si>
    <t>高い専門性を必要とする役割を担っているため</t>
    <phoneticPr fontId="4"/>
  </si>
  <si>
    <t>（4）庶務業務の集約化状況</t>
    <rPh sb="3" eb="5">
      <t>ショム</t>
    </rPh>
    <rPh sb="5" eb="7">
      <t>ギョウム</t>
    </rPh>
    <rPh sb="8" eb="11">
      <t>シュウヤクカ</t>
    </rPh>
    <phoneticPr fontId="4"/>
  </si>
  <si>
    <t>（5）自治体情報ｼｽﾃﾑのクラウド化</t>
    <rPh sb="3" eb="6">
      <t>ジチタイ</t>
    </rPh>
    <rPh sb="6" eb="8">
      <t>ジョウホウ</t>
    </rPh>
    <rPh sb="17" eb="18">
      <t>カ</t>
    </rPh>
    <phoneticPr fontId="4"/>
  </si>
  <si>
    <t>（６）公共施設等総合管理計画</t>
    <rPh sb="3" eb="8">
      <t>コウキョウシセツナド</t>
    </rPh>
    <rPh sb="8" eb="10">
      <t>ソウゴウ</t>
    </rPh>
    <rPh sb="10" eb="12">
      <t>カンリ</t>
    </rPh>
    <rPh sb="12" eb="14">
      <t>ケイカク</t>
    </rPh>
    <phoneticPr fontId="4"/>
  </si>
  <si>
    <t>（７）地方公会計の整備</t>
    <rPh sb="3" eb="5">
      <t>チホウ</t>
    </rPh>
    <rPh sb="5" eb="8">
      <t>コウカイケイ</t>
    </rPh>
    <rPh sb="9" eb="11">
      <t>セイビ</t>
    </rPh>
    <phoneticPr fontId="4"/>
  </si>
  <si>
    <t>310000</t>
    <phoneticPr fontId="4"/>
  </si>
  <si>
    <t>310000</t>
  </si>
  <si>
    <t>・国指定史跡・名勝であり、修繕等に文化庁協議を要する。
・地元市町村が設置した施設と一体的な管理が効率的である。</t>
    <phoneticPr fontId="4"/>
  </si>
  <si>
    <t>県内を代表する観光拠点であり、県が自ら市や観光協会と連携を図りながら、観光振興や地域振興のための施策を展開しているため。</t>
    <phoneticPr fontId="4"/>
  </si>
  <si>
    <t>「図書館の設置及び運営上の望ましい基準」で県立図書館の役割として職員研修、市町村図書館への支援、学校図書館支援等の教育的業務が定められており馴染まないため。</t>
    <phoneticPr fontId="4"/>
  </si>
  <si>
    <t>県立図書館として、市町村立図書館の運営や職員の研修等の指導・助言及び学校図書館や地域団体への支援等の教育的役割を担っているため。</t>
    <phoneticPr fontId="4"/>
  </si>
  <si>
    <t>専門的継続的な調査研究の蓄積や教育的機能の充実が求められており、一定期間で管理者が入れ替わることが前提となっている指定管理者制度は馴染まないため。</t>
    <phoneticPr fontId="4"/>
  </si>
  <si>
    <t>専門的・継続的な調査研究の蓄積、寄贈品の受入・借用又は企画展など長期的な事業の計画・実施が求められるため。</t>
    <phoneticPr fontId="4"/>
  </si>
  <si>
    <t>管理主体に制約がある、相談機能を有する、処分性を有するなどの個別の事情により、県が行政庁として責任をもって運営する必要があるため。</t>
    <phoneticPr fontId="4"/>
  </si>
  <si>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phoneticPr fontId="4"/>
  </si>
  <si>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phoneticPr fontId="4"/>
  </si>
  <si>
    <t>図書館法の規定からも，公立図書館の基幹的業務については，有期限契約（３～５年）の指定管理者への委託による運営は，なじまないと考えるため。</t>
    <rPh sb="0" eb="3">
      <t>トショカン</t>
    </rPh>
    <rPh sb="3" eb="4">
      <t>ホウ</t>
    </rPh>
    <rPh sb="5" eb="7">
      <t>キテイ</t>
    </rPh>
    <rPh sb="11" eb="13">
      <t>コウリツ</t>
    </rPh>
    <rPh sb="13" eb="16">
      <t>トショカン</t>
    </rPh>
    <rPh sb="17" eb="20">
      <t>キカンテキ</t>
    </rPh>
    <rPh sb="20" eb="22">
      <t>ギョウム</t>
    </rPh>
    <rPh sb="28" eb="31">
      <t>ユウキゲン</t>
    </rPh>
    <rPh sb="31" eb="33">
      <t>ケイヤク</t>
    </rPh>
    <rPh sb="37" eb="38">
      <t>ネン</t>
    </rPh>
    <rPh sb="40" eb="42">
      <t>シテイ</t>
    </rPh>
    <rPh sb="42" eb="45">
      <t>カンリシャ</t>
    </rPh>
    <rPh sb="47" eb="49">
      <t>イタク</t>
    </rPh>
    <rPh sb="52" eb="54">
      <t>ウンエイ</t>
    </rPh>
    <rPh sb="62" eb="63">
      <t>カンガ</t>
    </rPh>
    <phoneticPr fontId="4"/>
  </si>
  <si>
    <t>図書館サービスの提供にあたっては，自治体（館）としての資料収集方針のもと，広域な専門知識を持ち，地域の特性を理解した自治体職員の配置と継続的な資料収集が必要であるため。</t>
    <rPh sb="0" eb="3">
      <t>トショカン</t>
    </rPh>
    <rPh sb="8" eb="10">
      <t>テイキョウ</t>
    </rPh>
    <rPh sb="17" eb="20">
      <t>ジチタイ</t>
    </rPh>
    <rPh sb="21" eb="22">
      <t>カン</t>
    </rPh>
    <rPh sb="27" eb="29">
      <t>シリョウ</t>
    </rPh>
    <rPh sb="29" eb="31">
      <t>シュウシュウ</t>
    </rPh>
    <rPh sb="31" eb="33">
      <t>ホウシン</t>
    </rPh>
    <rPh sb="37" eb="39">
      <t>コウイキ</t>
    </rPh>
    <rPh sb="40" eb="42">
      <t>センモン</t>
    </rPh>
    <rPh sb="42" eb="44">
      <t>チシキ</t>
    </rPh>
    <rPh sb="45" eb="46">
      <t>モ</t>
    </rPh>
    <rPh sb="48" eb="50">
      <t>チイキ</t>
    </rPh>
    <rPh sb="51" eb="53">
      <t>トクセイ</t>
    </rPh>
    <rPh sb="54" eb="56">
      <t>リカイ</t>
    </rPh>
    <rPh sb="58" eb="61">
      <t>ジチタイ</t>
    </rPh>
    <rPh sb="61" eb="63">
      <t>ショクイン</t>
    </rPh>
    <rPh sb="64" eb="66">
      <t>ハイチ</t>
    </rPh>
    <rPh sb="67" eb="70">
      <t>ケイゾクテキ</t>
    </rPh>
    <rPh sb="71" eb="73">
      <t>シリョウ</t>
    </rPh>
    <rPh sb="73" eb="75">
      <t>シュウシュウ</t>
    </rPh>
    <rPh sb="76" eb="78">
      <t>ヒツヨウ</t>
    </rPh>
    <phoneticPr fontId="4"/>
  </si>
  <si>
    <t>美術館はリニューアルに合わせて指定管理者制度を含めた運営手法について検討したが，直営方式が適当であるとの判断をした。博物館は施設の設置目的である資料の収集・保管・調査・研究等について，継続性等が図られるか等，他県の状況等を踏まえ導入の際の効果や課題について検討しているため。</t>
    <rPh sb="0" eb="3">
      <t>ビジュツカン</t>
    </rPh>
    <rPh sb="11" eb="12">
      <t>ア</t>
    </rPh>
    <rPh sb="15" eb="17">
      <t>シテイ</t>
    </rPh>
    <rPh sb="17" eb="20">
      <t>カンリシャ</t>
    </rPh>
    <rPh sb="20" eb="22">
      <t>セイド</t>
    </rPh>
    <rPh sb="23" eb="24">
      <t>フク</t>
    </rPh>
    <rPh sb="26" eb="28">
      <t>ウンエイ</t>
    </rPh>
    <rPh sb="28" eb="30">
      <t>シュホウ</t>
    </rPh>
    <rPh sb="34" eb="36">
      <t>ケントウ</t>
    </rPh>
    <rPh sb="40" eb="42">
      <t>チョクエイ</t>
    </rPh>
    <rPh sb="42" eb="44">
      <t>ホウシキ</t>
    </rPh>
    <rPh sb="45" eb="47">
      <t>テキトウ</t>
    </rPh>
    <rPh sb="52" eb="54">
      <t>ハンダン</t>
    </rPh>
    <phoneticPr fontId="4"/>
  </si>
  <si>
    <t>美術館は教育的効果等が高いことから，専門性のある県職員の配置が有効であるため，直営が望ましいという結論に至った。博物館は資料に関する専門的，技術的な調査研究の蓄積及び継続性が必要であるため。</t>
    <rPh sb="0" eb="3">
      <t>ビジュツカン</t>
    </rPh>
    <rPh sb="4" eb="7">
      <t>キョウイクテキ</t>
    </rPh>
    <rPh sb="7" eb="9">
      <t>コウカ</t>
    </rPh>
    <rPh sb="9" eb="10">
      <t>トウ</t>
    </rPh>
    <rPh sb="11" eb="12">
      <t>タカ</t>
    </rPh>
    <rPh sb="18" eb="21">
      <t>センモンセイ</t>
    </rPh>
    <rPh sb="24" eb="27">
      <t>ケンショクイン</t>
    </rPh>
    <rPh sb="28" eb="30">
      <t>ハイチ</t>
    </rPh>
    <rPh sb="31" eb="33">
      <t>ユウコウ</t>
    </rPh>
    <rPh sb="49" eb="51">
      <t>ケツロン</t>
    </rPh>
    <rPh sb="52" eb="53">
      <t>イタ</t>
    </rPh>
    <phoneticPr fontId="4"/>
  </si>
  <si>
    <t>教育課題及び教科等に関連付けた体験プログラムの開発・実践，活動ボランティアの育成・活用等，社会教育主事を配置しているメリットを生かした運営の充実を図っている。</t>
    <rPh sb="0" eb="2">
      <t>キョウイク</t>
    </rPh>
    <rPh sb="2" eb="4">
      <t>カダイ</t>
    </rPh>
    <rPh sb="4" eb="5">
      <t>オヨ</t>
    </rPh>
    <rPh sb="6" eb="8">
      <t>キョウカ</t>
    </rPh>
    <rPh sb="8" eb="9">
      <t>トウ</t>
    </rPh>
    <rPh sb="10" eb="12">
      <t>カンレン</t>
    </rPh>
    <rPh sb="12" eb="13">
      <t>ヅ</t>
    </rPh>
    <rPh sb="15" eb="17">
      <t>タイケン</t>
    </rPh>
    <rPh sb="23" eb="25">
      <t>カイハツ</t>
    </rPh>
    <rPh sb="26" eb="28">
      <t>ジッセン</t>
    </rPh>
    <rPh sb="29" eb="31">
      <t>カツドウ</t>
    </rPh>
    <rPh sb="38" eb="40">
      <t>イクセイ</t>
    </rPh>
    <rPh sb="41" eb="43">
      <t>カツヨウ</t>
    </rPh>
    <rPh sb="43" eb="44">
      <t>トウ</t>
    </rPh>
    <rPh sb="45" eb="47">
      <t>シャカイ</t>
    </rPh>
    <rPh sb="47" eb="49">
      <t>キョウイク</t>
    </rPh>
    <rPh sb="49" eb="51">
      <t>シュジ</t>
    </rPh>
    <rPh sb="52" eb="54">
      <t>ハイチ</t>
    </rPh>
    <rPh sb="63" eb="64">
      <t>イ</t>
    </rPh>
    <rPh sb="67" eb="69">
      <t>ウンエイ</t>
    </rPh>
    <rPh sb="70" eb="72">
      <t>ジュウジツ</t>
    </rPh>
    <rPh sb="73" eb="74">
      <t>ハカ</t>
    </rPh>
    <phoneticPr fontId="4"/>
  </si>
  <si>
    <t>200000</t>
    <phoneticPr fontId="9"/>
  </si>
  <si>
    <t>平成22年度から、正規職員の退職等に応じて順次非常勤職員による対応に切り替えている。</t>
    <rPh sb="0" eb="2">
      <t>ヘイセイ</t>
    </rPh>
    <rPh sb="4" eb="5">
      <t>ネン</t>
    </rPh>
    <rPh sb="5" eb="6">
      <t>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40"/>
  </si>
  <si>
    <t>社会教育施設について、直営と指定管理それぞれのノウハウを相互に補完、連携することで事業の充実を図っていることから、社会教育施設の一部は直営による管理を継続することとしている。</t>
    <rPh sb="0" eb="2">
      <t>シャカイ</t>
    </rPh>
    <rPh sb="2" eb="4">
      <t>キョウイク</t>
    </rPh>
    <rPh sb="4" eb="6">
      <t>シセツ</t>
    </rPh>
    <rPh sb="11" eb="13">
      <t>チョクエイ</t>
    </rPh>
    <rPh sb="14" eb="16">
      <t>シテイ</t>
    </rPh>
    <rPh sb="16" eb="18">
      <t>カンリ</t>
    </rPh>
    <rPh sb="28" eb="30">
      <t>ソウゴ</t>
    </rPh>
    <rPh sb="31" eb="33">
      <t>ホカン</t>
    </rPh>
    <rPh sb="34" eb="36">
      <t>レンケイ</t>
    </rPh>
    <rPh sb="41" eb="43">
      <t>ジギョウ</t>
    </rPh>
    <rPh sb="44" eb="46">
      <t>ジュウジツ</t>
    </rPh>
    <rPh sb="47" eb="48">
      <t>ハカ</t>
    </rPh>
    <rPh sb="57" eb="59">
      <t>シャカイ</t>
    </rPh>
    <rPh sb="59" eb="61">
      <t>キョウイク</t>
    </rPh>
    <rPh sb="61" eb="63">
      <t>シセツ</t>
    </rPh>
    <rPh sb="64" eb="66">
      <t>イチブ</t>
    </rPh>
    <rPh sb="67" eb="69">
      <t>チョクエイ</t>
    </rPh>
    <rPh sb="72" eb="74">
      <t>カンリ</t>
    </rPh>
    <rPh sb="75" eb="77">
      <t>ケイゾク</t>
    </rPh>
    <phoneticPr fontId="36"/>
  </si>
  <si>
    <t>未導入理由の記載と同じ</t>
    <rPh sb="0" eb="3">
      <t>ミドウニュウ</t>
    </rPh>
    <rPh sb="3" eb="5">
      <t>リユウ</t>
    </rPh>
    <rPh sb="6" eb="8">
      <t>キサイ</t>
    </rPh>
    <rPh sb="9" eb="10">
      <t>オナ</t>
    </rPh>
    <phoneticPr fontId="36"/>
  </si>
  <si>
    <t>　東日本大震災津波伝承館は、①東日本大震災津波の事実と教訓の伝承、②東日本大震災津波の発災から復興に至るまでの状況の国内外への発信、③復興支援に対する感謝の発信、を目的として設置された公の施設である。この目的を達成するため、県が直営で管理することとしたものである。</t>
    <rPh sb="1" eb="12">
      <t>ヒガシ</t>
    </rPh>
    <rPh sb="15" eb="16">
      <t>ヒガシ</t>
    </rPh>
    <rPh sb="16" eb="18">
      <t>ニホン</t>
    </rPh>
    <rPh sb="18" eb="19">
      <t>ダイ</t>
    </rPh>
    <rPh sb="19" eb="21">
      <t>シンサイ</t>
    </rPh>
    <rPh sb="21" eb="23">
      <t>ツナミ</t>
    </rPh>
    <rPh sb="24" eb="26">
      <t>ジジツ</t>
    </rPh>
    <rPh sb="27" eb="29">
      <t>キョウクン</t>
    </rPh>
    <rPh sb="30" eb="32">
      <t>デンショウ</t>
    </rPh>
    <rPh sb="34" eb="35">
      <t>ヒガシ</t>
    </rPh>
    <rPh sb="35" eb="37">
      <t>ニホン</t>
    </rPh>
    <rPh sb="37" eb="40">
      <t>ダイシンサイ</t>
    </rPh>
    <rPh sb="40" eb="42">
      <t>ツナミ</t>
    </rPh>
    <rPh sb="43" eb="44">
      <t>ハツ</t>
    </rPh>
    <rPh sb="47" eb="49">
      <t>フッコウ</t>
    </rPh>
    <rPh sb="50" eb="51">
      <t>イタ</t>
    </rPh>
    <rPh sb="55" eb="57">
      <t>ジョウキョウ</t>
    </rPh>
    <rPh sb="58" eb="61">
      <t>コクナイガイ</t>
    </rPh>
    <rPh sb="63" eb="65">
      <t>ハッシン</t>
    </rPh>
    <rPh sb="67" eb="69">
      <t>フッコウ</t>
    </rPh>
    <rPh sb="69" eb="71">
      <t>シエン</t>
    </rPh>
    <rPh sb="72" eb="73">
      <t>タイ</t>
    </rPh>
    <rPh sb="75" eb="77">
      <t>カンシャ</t>
    </rPh>
    <rPh sb="78" eb="80">
      <t>ハッシン</t>
    </rPh>
    <rPh sb="82" eb="84">
      <t>モクテキ</t>
    </rPh>
    <rPh sb="87" eb="89">
      <t>セッチ</t>
    </rPh>
    <rPh sb="92" eb="93">
      <t>オオヤケ</t>
    </rPh>
    <rPh sb="94" eb="96">
      <t>シセツ</t>
    </rPh>
    <rPh sb="102" eb="104">
      <t>モクテキ</t>
    </rPh>
    <rPh sb="105" eb="107">
      <t>タッセイ</t>
    </rPh>
    <rPh sb="112" eb="113">
      <t>ケン</t>
    </rPh>
    <rPh sb="114" eb="116">
      <t>チョクエイ</t>
    </rPh>
    <rPh sb="117" eb="119">
      <t>カンリ</t>
    </rPh>
    <phoneticPr fontId="4"/>
  </si>
  <si>
    <t>　館長は岩手県知事が務め、防災教育に携わった教員を配置している。また、県職員を配置することで、県として意思決定を迅速に行い、施設運営に反映させることを目的とするものである。</t>
    <rPh sb="1" eb="3">
      <t>カンチョウ</t>
    </rPh>
    <rPh sb="4" eb="7">
      <t>イワテケン</t>
    </rPh>
    <rPh sb="7" eb="9">
      <t>チジ</t>
    </rPh>
    <rPh sb="10" eb="11">
      <t>ツト</t>
    </rPh>
    <rPh sb="13" eb="17">
      <t>ボウサイキョウイク</t>
    </rPh>
    <rPh sb="18" eb="19">
      <t>タズサ</t>
    </rPh>
    <rPh sb="22" eb="24">
      <t>キョウイン</t>
    </rPh>
    <rPh sb="25" eb="27">
      <t>ハイチ</t>
    </rPh>
    <rPh sb="35" eb="36">
      <t>ケン</t>
    </rPh>
    <rPh sb="36" eb="38">
      <t>ショクイン</t>
    </rPh>
    <rPh sb="39" eb="41">
      <t>ハイチ</t>
    </rPh>
    <rPh sb="47" eb="48">
      <t>ケン</t>
    </rPh>
    <rPh sb="51" eb="55">
      <t>イシケッテイ</t>
    </rPh>
    <rPh sb="56" eb="58">
      <t>ジンソク</t>
    </rPh>
    <rPh sb="59" eb="60">
      <t>オコナ</t>
    </rPh>
    <rPh sb="62" eb="64">
      <t>シセツ</t>
    </rPh>
    <rPh sb="64" eb="66">
      <t>ウンエイ</t>
    </rPh>
    <rPh sb="67" eb="69">
      <t>ハンエイ</t>
    </rPh>
    <rPh sb="75" eb="77">
      <t>モクテキ</t>
    </rPh>
    <phoneticPr fontId="4"/>
  </si>
  <si>
    <t>　新たに教育研修等の機能を持たせることとしており、県が直接管理し、対応に万全を期す必要があること。</t>
    <rPh sb="1" eb="2">
      <t>アラ</t>
    </rPh>
    <rPh sb="4" eb="6">
      <t>キョウイク</t>
    </rPh>
    <rPh sb="6" eb="8">
      <t>ケンシュウ</t>
    </rPh>
    <rPh sb="8" eb="9">
      <t>トウ</t>
    </rPh>
    <rPh sb="10" eb="12">
      <t>キノウ</t>
    </rPh>
    <rPh sb="13" eb="14">
      <t>モ</t>
    </rPh>
    <rPh sb="25" eb="26">
      <t>ケン</t>
    </rPh>
    <rPh sb="27" eb="29">
      <t>チョクセツ</t>
    </rPh>
    <rPh sb="29" eb="31">
      <t>カンリ</t>
    </rPh>
    <rPh sb="33" eb="35">
      <t>タイオウ</t>
    </rPh>
    <rPh sb="36" eb="38">
      <t>バンゼン</t>
    </rPh>
    <rPh sb="39" eb="40">
      <t>キ</t>
    </rPh>
    <rPh sb="41" eb="43">
      <t>ヒツヨウ</t>
    </rPh>
    <phoneticPr fontId="4"/>
  </si>
  <si>
    <t>県立夜須高原野外活動センターについては、国立夜須高原青少年自然の家に付随する施設であるため、県単独で指定管理制度の導入を検討することができず、現時点で導入の見込みはありません。</t>
    <phoneticPr fontId="4"/>
  </si>
  <si>
    <t>廃止を予定しているため。</t>
    <rPh sb="3" eb="5">
      <t>ヨテイ</t>
    </rPh>
    <phoneticPr fontId="4"/>
  </si>
  <si>
    <t>　昨年度から引き続き、施設のあり方について総合的に検討を行っているため。指定管理の導入についても引き続き検討中である。</t>
    <phoneticPr fontId="4"/>
  </si>
  <si>
    <t>　スポーツ教室等の事業のみならず、老朽化が進む施設の維持・管理についても、本課との一体的な運営が必要であり、緊密な連携が求められるため。</t>
    <phoneticPr fontId="4"/>
  </si>
  <si>
    <t>各施設の老朽化が進む中で、公苑全体での指定管理が困難で、本課との一体的な管理・運営が求められるため。</t>
    <phoneticPr fontId="4"/>
  </si>
  <si>
    <t>・エリアの一部に保健所の動物愛護センターを併設し、命の大切さを学習する「いのちの教育」を実践しているため。
・歴史ある名勝地である奈良公園において、おもてなしの対応のため常勤職員の配置が必要なため。</t>
    <phoneticPr fontId="4"/>
  </si>
  <si>
    <t>①許認可②施設整備業務③観光振興拠点施設④「いのちの教育」等の実践による子どもたちの健全育成⑤法令に基づく犬・猫の保護や引取を実施⑥本県の主要施策推進のため直轄で事業を展開
以上の機能を有する施設であるため直営管理が必要。</t>
    <phoneticPr fontId="4"/>
  </si>
  <si>
    <t>390003</t>
  </si>
  <si>
    <t>管理運営能力等の保持のため、自治体職員の直営により管理する施設が必要であるから</t>
  </si>
  <si>
    <t>管理運営能力等の保持のため、直営により自治体職員を常駐で配置</t>
  </si>
  <si>
    <t>調査研究の発展、教育普及活動の継続・充実、その他県施策を推進するため、直営で運営すべき施設であるため。</t>
    <rPh sb="0" eb="4">
      <t>チョウサケンキュウ</t>
    </rPh>
    <rPh sb="5" eb="7">
      <t>ハッテン</t>
    </rPh>
    <rPh sb="8" eb="12">
      <t>キョウイクフキュウ</t>
    </rPh>
    <rPh sb="12" eb="14">
      <t>カツドウ</t>
    </rPh>
    <rPh sb="15" eb="17">
      <t>ケイゾク</t>
    </rPh>
    <rPh sb="18" eb="20">
      <t>ジュウジツ</t>
    </rPh>
    <rPh sb="23" eb="24">
      <t>タ</t>
    </rPh>
    <rPh sb="24" eb="27">
      <t>ケンセサク</t>
    </rPh>
    <rPh sb="28" eb="30">
      <t>スイシン</t>
    </rPh>
    <phoneticPr fontId="4"/>
  </si>
  <si>
    <t>民間システムを庁内システムに内包し、効率化を図っているため。</t>
    <phoneticPr fontId="4"/>
  </si>
  <si>
    <t>Ｒ１より学校施設の点検業務などの業務委託を一部の学校で実施</t>
    <rPh sb="4" eb="6">
      <t>ガッコウ</t>
    </rPh>
    <rPh sb="6" eb="8">
      <t>シセツ</t>
    </rPh>
    <rPh sb="9" eb="11">
      <t>テンケン</t>
    </rPh>
    <rPh sb="11" eb="13">
      <t>ギョウム</t>
    </rPh>
    <rPh sb="16" eb="18">
      <t>ギョウム</t>
    </rPh>
    <rPh sb="18" eb="20">
      <t>イタク</t>
    </rPh>
    <rPh sb="21" eb="23">
      <t>イチブ</t>
    </rPh>
    <rPh sb="24" eb="26">
      <t>ガッコウ</t>
    </rPh>
    <rPh sb="27" eb="29">
      <t>ジッシ</t>
    </rPh>
    <phoneticPr fontId="4"/>
  </si>
  <si>
    <t>≪美術館≫
行政評価システム外部評価委員会から、全国の美術館の制度導入状況等も踏まえ改めて検討を行うよう意見があり、元年度から５か年で策定した中期運営計画の中で調査等を踏まえた検討を進めているため。</t>
    <rPh sb="1" eb="3">
      <t>ビジュツ</t>
    </rPh>
    <rPh sb="3" eb="4">
      <t>カン</t>
    </rPh>
    <rPh sb="58" eb="60">
      <t>ガンネン</t>
    </rPh>
    <rPh sb="60" eb="61">
      <t>ド</t>
    </rPh>
    <rPh sb="61" eb="62">
      <t>ネンド</t>
    </rPh>
    <rPh sb="65" eb="66">
      <t>ネン</t>
    </rPh>
    <rPh sb="67" eb="69">
      <t>サクテイ</t>
    </rPh>
    <rPh sb="80" eb="82">
      <t>チョウサ</t>
    </rPh>
    <rPh sb="82" eb="83">
      <t>トウ</t>
    </rPh>
    <rPh sb="84" eb="85">
      <t>フ</t>
    </rPh>
    <rPh sb="91" eb="92">
      <t>スス</t>
    </rPh>
    <phoneticPr fontId="4"/>
  </si>
  <si>
    <t>≪美術館≫
資料の収集・整理・保存や調査研究など、専任の学芸員が担当し、公的機関として担うべき役割があるため。</t>
    <rPh sb="1" eb="4">
      <t>ビジュツカン</t>
    </rPh>
    <phoneticPr fontId="4"/>
  </si>
  <si>
    <t>370002</t>
  </si>
  <si>
    <t>琴弾・桃陵・亀鶴公園に関しては、入園料収入がなく管理を行う者のメリットが乏しいことに加え、地元市町との綿密な連携・協同を要するため。</t>
    <rPh sb="57" eb="59">
      <t>キョウドウ</t>
    </rPh>
    <phoneticPr fontId="22"/>
  </si>
  <si>
    <t>公立図書館は法律上利用料金を徴収できないため民間事業者がノウハウを活かす余地が少ないことや、市町立図書館に対する援助・協力など中核図書館としての役割があるため制度を導入するのは困難である。</t>
  </si>
  <si>
    <t>110001</t>
  </si>
  <si>
    <t>県の直営美術館と一体の公園及び国指定史跡の管理・保護を目的とした公園であり、自治体職員が責任を持って管理を行う必要があるため。</t>
  </si>
  <si>
    <t>適切な市町村支援、資料収集、調査研究、図書館サービスの継続のため、専門性の観点から県が直接運営する必要があるため。</t>
    <rPh sb="0" eb="2">
      <t>テキセツ</t>
    </rPh>
    <rPh sb="3" eb="6">
      <t>シチョウソン</t>
    </rPh>
    <rPh sb="6" eb="8">
      <t>シエン</t>
    </rPh>
    <rPh sb="9" eb="11">
      <t>シリョウ</t>
    </rPh>
    <rPh sb="11" eb="13">
      <t>シュウシュウ</t>
    </rPh>
    <rPh sb="14" eb="16">
      <t>チョウサ</t>
    </rPh>
    <rPh sb="16" eb="18">
      <t>ケンキュウ</t>
    </rPh>
    <rPh sb="19" eb="22">
      <t>トショカン</t>
    </rPh>
    <rPh sb="27" eb="29">
      <t>ケイゾク</t>
    </rPh>
    <rPh sb="33" eb="36">
      <t>センモンセイ</t>
    </rPh>
    <rPh sb="37" eb="39">
      <t>カンテン</t>
    </rPh>
    <rPh sb="41" eb="42">
      <t>ケン</t>
    </rPh>
    <rPh sb="43" eb="45">
      <t>チョクセツ</t>
    </rPh>
    <rPh sb="45" eb="47">
      <t>ウンエイ</t>
    </rPh>
    <rPh sb="49" eb="51">
      <t>ヒツヨウ</t>
    </rPh>
    <phoneticPr fontId="4"/>
  </si>
  <si>
    <t>市町村立図書館等への支援、資料収集、調査研究、図書館サービスの継続のため、人財育成やノウハウの継承を図る必要があるため。</t>
    <phoneticPr fontId="4"/>
  </si>
  <si>
    <t>専門性と継続性をもった調査研究及び資料収集、美術品・遺跡・郷土資料の保存管理や企画展等の開催、教育普及業務等を行うため。</t>
    <rPh sb="26" eb="28">
      <t>イセキ</t>
    </rPh>
    <rPh sb="29" eb="31">
      <t>キョウド</t>
    </rPh>
    <rPh sb="31" eb="33">
      <t>シリョウ</t>
    </rPh>
    <rPh sb="51" eb="53">
      <t>ギョウム</t>
    </rPh>
    <rPh sb="53" eb="54">
      <t>トウ</t>
    </rPh>
    <phoneticPr fontId="4"/>
  </si>
  <si>
    <t>先行導入した類似施設の管理運営状況の検証を行うとともに、施設の老朽化等の課題整理を行う必要があるため。</t>
    <rPh sb="21" eb="22">
      <t>オコナ</t>
    </rPh>
    <rPh sb="28" eb="30">
      <t>シセツ</t>
    </rPh>
    <rPh sb="31" eb="34">
      <t>ロウキュウカ</t>
    </rPh>
    <rPh sb="34" eb="35">
      <t>トウ</t>
    </rPh>
    <rPh sb="43" eb="45">
      <t>ヒツヨウ</t>
    </rPh>
    <phoneticPr fontId="4"/>
  </si>
  <si>
    <t>少年の集団宿泊訓練、野外活動、生活指導の実施及び施設の利用許可、維持管理等を行うため。</t>
    <phoneticPr fontId="4"/>
  </si>
  <si>
    <t>・障害者相談センターは、身体障害者福祉法及び知的障害者福祉法に基づき、県が設置することとされているため。
・福祉型障害児入所施設は、外部有識者を交えた会議において中長期的に民間移管とされており、現在民間移管方法等について検討中。</t>
    <rPh sb="1" eb="4">
      <t>ショウガイシャ</t>
    </rPh>
    <rPh sb="4" eb="6">
      <t>ソウダン</t>
    </rPh>
    <rPh sb="12" eb="14">
      <t>シンタイ</t>
    </rPh>
    <rPh sb="14" eb="17">
      <t>ショウガイシャ</t>
    </rPh>
    <rPh sb="17" eb="19">
      <t>フクシ</t>
    </rPh>
    <rPh sb="19" eb="20">
      <t>ホウ</t>
    </rPh>
    <rPh sb="20" eb="21">
      <t>オヨ</t>
    </rPh>
    <rPh sb="22" eb="24">
      <t>チテキ</t>
    </rPh>
    <rPh sb="24" eb="27">
      <t>ショウガイシャ</t>
    </rPh>
    <rPh sb="27" eb="29">
      <t>フクシ</t>
    </rPh>
    <rPh sb="29" eb="30">
      <t>ホウ</t>
    </rPh>
    <rPh sb="31" eb="32">
      <t>モト</t>
    </rPh>
    <rPh sb="35" eb="36">
      <t>ケン</t>
    </rPh>
    <rPh sb="37" eb="39">
      <t>セッチ</t>
    </rPh>
    <rPh sb="54" eb="57">
      <t>フクシガタ</t>
    </rPh>
    <rPh sb="57" eb="59">
      <t>ショウガイ</t>
    </rPh>
    <rPh sb="59" eb="60">
      <t>ジ</t>
    </rPh>
    <rPh sb="60" eb="62">
      <t>ニュウショ</t>
    </rPh>
    <rPh sb="62" eb="64">
      <t>シセツ</t>
    </rPh>
    <rPh sb="66" eb="68">
      <t>ガイブ</t>
    </rPh>
    <rPh sb="68" eb="71">
      <t>ユウシキシャ</t>
    </rPh>
    <rPh sb="72" eb="73">
      <t>マジ</t>
    </rPh>
    <rPh sb="75" eb="77">
      <t>カイギ</t>
    </rPh>
    <rPh sb="81" eb="85">
      <t>チュウチョウキテキ</t>
    </rPh>
    <rPh sb="86" eb="88">
      <t>ミンカン</t>
    </rPh>
    <rPh sb="88" eb="90">
      <t>イカン</t>
    </rPh>
    <rPh sb="97" eb="99">
      <t>ゲンザイ</t>
    </rPh>
    <rPh sb="99" eb="101">
      <t>ミンカン</t>
    </rPh>
    <rPh sb="101" eb="103">
      <t>イカン</t>
    </rPh>
    <rPh sb="103" eb="105">
      <t>ホウホウ</t>
    </rPh>
    <rPh sb="105" eb="106">
      <t>トウ</t>
    </rPh>
    <rPh sb="110" eb="113">
      <t>ケントウチュウ</t>
    </rPh>
    <phoneticPr fontId="4"/>
  </si>
  <si>
    <t>退職不補充による外部委託等の推進</t>
    <rPh sb="8" eb="10">
      <t>ガイブ</t>
    </rPh>
    <rPh sb="10" eb="12">
      <t>イタク</t>
    </rPh>
    <rPh sb="12" eb="13">
      <t>トウ</t>
    </rPh>
    <phoneticPr fontId="4"/>
  </si>
  <si>
    <t xml:space="preserve">4
</t>
    <phoneticPr fontId="4"/>
  </si>
  <si>
    <t xml:space="preserve">12
</t>
    <phoneticPr fontId="4"/>
  </si>
  <si>
    <t xml:space="preserve">11
</t>
    <phoneticPr fontId="4"/>
  </si>
  <si>
    <t xml:space="preserve">9
</t>
    <phoneticPr fontId="4"/>
  </si>
  <si>
    <t>指定管理者制度を導入した場合、長期計画に基づく専門人材の育成が困難であったり、短期の取組が偏重され、直ちに収益に結びつかない業務(調査研究等）が軽視される恐れがあるため。</t>
  </si>
  <si>
    <t xml:space="preserve">5
</t>
    <phoneticPr fontId="4"/>
  </si>
  <si>
    <t>富士山世界遺産センター、美術館、文学館については、管理部門については指定管理者制度を導入しているが、調査研究や企画展の実施など収益に結びつかない業務は直営で実施。</t>
    <rPh sb="0" eb="3">
      <t>フジサン</t>
    </rPh>
    <rPh sb="3" eb="5">
      <t>セカイ</t>
    </rPh>
    <rPh sb="5" eb="7">
      <t>イサン</t>
    </rPh>
    <rPh sb="12" eb="15">
      <t>ビジュツカン</t>
    </rPh>
    <rPh sb="16" eb="19">
      <t>ブンガクカン</t>
    </rPh>
    <phoneticPr fontId="4"/>
  </si>
  <si>
    <t xml:space="preserve">1
</t>
    <phoneticPr fontId="4"/>
  </si>
  <si>
    <t>陶磁美術館は、業務委託の大部分を長期継続契約するなどして既に経費を削減しており、経費削減効果が見込めないため。
公文書館は、行政庁舎内の施設であり、施設管理の切り分けはかえって非効率であるため。</t>
  </si>
  <si>
    <t>陶磁美術館については、県立の陶磁美術館として、高度な専門性、知識・経験の蓄積、人的ネットワーク等が必要となる学芸業務を行っているため。
公文書館については、県の行政情報、これに含まれる個人情報を扱う業務のため。</t>
    <phoneticPr fontId="4"/>
  </si>
  <si>
    <t>当該公園は、従来のスキームとは異なり、市民、企業、学識者、行政が協働・参画する運営審議会において、計画から整備、管理の方向性を検討しながら、公園づくりを進めるスキームであるため。</t>
    <phoneticPr fontId="4"/>
  </si>
  <si>
    <t>県立には市町村図書館支援等の役割があるため。なお、活性化に向けて検討中。</t>
    <rPh sb="34" eb="35">
      <t>チュウ</t>
    </rPh>
    <phoneticPr fontId="4"/>
  </si>
  <si>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4"/>
  </si>
  <si>
    <t>団体コード</t>
    <rPh sb="0" eb="2">
      <t>ダンタイ</t>
    </rPh>
    <phoneticPr fontId="1"/>
  </si>
  <si>
    <t>010006</t>
  </si>
  <si>
    <t>030007</t>
  </si>
  <si>
    <t>040002</t>
  </si>
  <si>
    <t>080004</t>
  </si>
  <si>
    <t>090000</t>
  </si>
  <si>
    <t>120006</t>
  </si>
  <si>
    <t>150002</t>
  </si>
  <si>
    <t>170003</t>
  </si>
  <si>
    <t>200000</t>
  </si>
  <si>
    <t>230006</t>
  </si>
  <si>
    <t>240001</t>
  </si>
  <si>
    <t>250007</t>
  </si>
  <si>
    <t>260002</t>
  </si>
  <si>
    <t>280003</t>
  </si>
  <si>
    <t>330001</t>
  </si>
  <si>
    <t>340006</t>
  </si>
  <si>
    <t>360007</t>
  </si>
  <si>
    <t>400009</t>
  </si>
  <si>
    <t>420000</t>
  </si>
  <si>
    <t>450006</t>
  </si>
  <si>
    <t>460001</t>
  </si>
  <si>
    <t>470007</t>
  </si>
  <si>
    <t>都道府県名</t>
    <rPh sb="0" eb="4">
      <t>トドウフケン</t>
    </rPh>
    <rPh sb="4" eb="5">
      <t>メイ</t>
    </rPh>
    <phoneticPr fontId="1"/>
  </si>
  <si>
    <t xml:space="preserve">当県の学校技術員は、学校施設の維持管理だけでなく、行政的事務にも従事するなど、学校運営において多様な役割を担っていることから、今後の委託化については、慎重に検討している。
</t>
    <phoneticPr fontId="4"/>
  </si>
  <si>
    <t>相談業務、知的障害児への対応など、専門性を要する業務が占める割合が大きいため,当該業務を行うことのできる職員が常駐している。</t>
    <rPh sb="39" eb="41">
      <t>トウガイ</t>
    </rPh>
    <rPh sb="41" eb="43">
      <t>ギョウム</t>
    </rPh>
    <rPh sb="44" eb="45">
      <t>オコナ</t>
    </rPh>
    <rPh sb="52" eb="54">
      <t>ショクイン</t>
    </rPh>
    <rPh sb="55" eb="57">
      <t>ジョウチュウ</t>
    </rPh>
    <phoneticPr fontId="4"/>
  </si>
  <si>
    <t>令和元年度において、平和祈念資料館の管理・運営のあり方について検討を行った結果,県として恒久平和の実現に寄与するとのメッセージ性や施設設置の経緯・目的に沿った中立性と公平性を確保するため、県直営による運営が適切との結論に至った。</t>
  </si>
  <si>
    <t>　資料の収集・保管・展示、調査研究等の学芸業務について、自治体が自ら行うことが適切と考えている。
　県として恒久平和の実現に寄与するとのメッセージ性や施設設置の経緯・目的に沿った中立性と公平性を確保するため、県直営による運営が適切と考えている。</t>
  </si>
  <si>
    <t>県地域機関の付帯施設であり、指定管理者制度導入にそぐわないため</t>
    <rPh sb="0" eb="1">
      <t>ケン</t>
    </rPh>
    <rPh sb="1" eb="3">
      <t>チイキ</t>
    </rPh>
    <rPh sb="3" eb="5">
      <t>キカン</t>
    </rPh>
    <phoneticPr fontId="3"/>
  </si>
  <si>
    <t>管理代行制度により住宅供給公社に管理を委託済み又は事務処理特例条例により市町村に管理に係る事務・権限を移譲済みであるため</t>
    <rPh sb="5" eb="6">
      <t>ド</t>
    </rPh>
    <rPh sb="40" eb="42">
      <t>カンリ</t>
    </rPh>
    <rPh sb="43" eb="44">
      <t>カカ</t>
    </rPh>
    <rPh sb="45" eb="47">
      <t>ジム</t>
    </rPh>
    <rPh sb="48" eb="50">
      <t>ケンゲン</t>
    </rPh>
    <phoneticPr fontId="3"/>
  </si>
  <si>
    <t>（８）行政評価の実施状況</t>
    <rPh sb="3" eb="5">
      <t>ギョウセイ</t>
    </rPh>
    <rPh sb="5" eb="7">
      <t>ヒョウカ</t>
    </rPh>
    <rPh sb="8" eb="10">
      <t>ジッシ</t>
    </rPh>
    <rPh sb="10" eb="12">
      <t>ジョウキョウ</t>
    </rPh>
    <phoneticPr fontId="4"/>
  </si>
  <si>
    <t>導入状況</t>
    <rPh sb="0" eb="2">
      <t>ドウニュウ</t>
    </rPh>
    <rPh sb="2" eb="4">
      <t>ジョウキョウ</t>
    </rPh>
    <phoneticPr fontId="4"/>
  </si>
  <si>
    <t>公表状況</t>
    <rPh sb="0" eb="2">
      <t>コウヒョウ</t>
    </rPh>
    <rPh sb="2" eb="4">
      <t>ジョウキョウ</t>
    </rPh>
    <phoneticPr fontId="4"/>
  </si>
  <si>
    <t>政策</t>
    <rPh sb="0" eb="2">
      <t>セイサク</t>
    </rPh>
    <phoneticPr fontId="4"/>
  </si>
  <si>
    <t>施策</t>
    <rPh sb="0" eb="2">
      <t>セサク</t>
    </rPh>
    <phoneticPr fontId="4"/>
  </si>
  <si>
    <t>事務事業</t>
    <rPh sb="0" eb="2">
      <t>ジム</t>
    </rPh>
    <rPh sb="2" eb="4">
      <t>ジギョウ</t>
    </rPh>
    <phoneticPr fontId="4"/>
  </si>
  <si>
    <t>既に導入済み</t>
    <rPh sb="0" eb="1">
      <t>スデ</t>
    </rPh>
    <rPh sb="2" eb="4">
      <t>ドウニュウ</t>
    </rPh>
    <rPh sb="4" eb="5">
      <t>ズ</t>
    </rPh>
    <phoneticPr fontId="4"/>
  </si>
  <si>
    <t>試行中</t>
    <rPh sb="0" eb="3">
      <t>シコウチュウ</t>
    </rPh>
    <phoneticPr fontId="4"/>
  </si>
  <si>
    <t>検討中（導入予定時期決定）</t>
    <rPh sb="0" eb="3">
      <t>ケントウチュウ</t>
    </rPh>
    <rPh sb="4" eb="6">
      <t>ドウニュウ</t>
    </rPh>
    <rPh sb="6" eb="8">
      <t>ヨテイ</t>
    </rPh>
    <rPh sb="8" eb="10">
      <t>ジキ</t>
    </rPh>
    <rPh sb="10" eb="12">
      <t>ケッテイ</t>
    </rPh>
    <phoneticPr fontId="4"/>
  </si>
  <si>
    <t>検討中（導入予定時期未定）</t>
    <rPh sb="0" eb="3">
      <t>ケントウチュウ</t>
    </rPh>
    <rPh sb="4" eb="6">
      <t>ドウニュウ</t>
    </rPh>
    <rPh sb="6" eb="8">
      <t>ヨテイ</t>
    </rPh>
    <rPh sb="8" eb="10">
      <t>ジキ</t>
    </rPh>
    <rPh sb="10" eb="12">
      <t>ミテイ</t>
    </rPh>
    <phoneticPr fontId="4"/>
  </si>
  <si>
    <t>導入予定なし</t>
    <rPh sb="0" eb="2">
      <t>ドウニュウ</t>
    </rPh>
    <rPh sb="2" eb="4">
      <t>ヨテイ</t>
    </rPh>
    <phoneticPr fontId="4"/>
  </si>
  <si>
    <t>過去に実施していたが廃止した</t>
    <phoneticPr fontId="4"/>
  </si>
  <si>
    <t>全て公表している</t>
    <rPh sb="0" eb="1">
      <t>スベ</t>
    </rPh>
    <rPh sb="2" eb="4">
      <t>コウヒョウ</t>
    </rPh>
    <phoneticPr fontId="4"/>
  </si>
  <si>
    <t>一部公表している</t>
    <rPh sb="0" eb="2">
      <t>イチブ</t>
    </rPh>
    <rPh sb="2" eb="4">
      <t>コウヒョウ</t>
    </rPh>
    <phoneticPr fontId="4"/>
  </si>
  <si>
    <t>公表していない</t>
    <rPh sb="0" eb="2">
      <t>コウヒョウ</t>
    </rPh>
    <phoneticPr fontId="4"/>
  </si>
  <si>
    <t>公表していたが非公表にした</t>
    <rPh sb="0" eb="2">
      <t>コウヒョウ</t>
    </rPh>
    <rPh sb="7" eb="10">
      <t>ヒコウヒョウ</t>
    </rPh>
    <phoneticPr fontId="4"/>
  </si>
  <si>
    <t>全て公表している</t>
    <phoneticPr fontId="4"/>
  </si>
  <si>
    <t>一部公表している</t>
    <phoneticPr fontId="4"/>
  </si>
  <si>
    <t>①</t>
    <phoneticPr fontId="4"/>
  </si>
  <si>
    <t>②</t>
    <phoneticPr fontId="4"/>
  </si>
  <si>
    <t>③</t>
    <phoneticPr fontId="4"/>
  </si>
  <si>
    <t>④</t>
    <phoneticPr fontId="4"/>
  </si>
  <si>
    <t>⑤</t>
    <phoneticPr fontId="4"/>
  </si>
  <si>
    <t>⑥</t>
    <phoneticPr fontId="4"/>
  </si>
  <si>
    <t>導入していない理由
（※⑤⑥のみ記入）</t>
    <rPh sb="0" eb="2">
      <t>ドウニュウ</t>
    </rPh>
    <rPh sb="7" eb="9">
      <t>リユウ</t>
    </rPh>
    <rPh sb="15" eb="17">
      <t>キニュウ</t>
    </rPh>
    <phoneticPr fontId="4"/>
  </si>
  <si>
    <t>公表していない理由
（②③④のみ記入）</t>
    <rPh sb="0" eb="2">
      <t>コウヒョウ</t>
    </rPh>
    <rPh sb="7" eb="9">
      <t>リユウ</t>
    </rPh>
    <rPh sb="16" eb="18">
      <t>キニュウ</t>
    </rPh>
    <phoneticPr fontId="4"/>
  </si>
  <si>
    <t>研修生へ教務等の対応や施設の管理等のため職員の常駐が必要。</t>
    <phoneticPr fontId="4"/>
  </si>
  <si>
    <t>〇</t>
    <phoneticPr fontId="4"/>
  </si>
  <si>
    <t>県が直接管理運営することが適当な段階と判断しているため。</t>
    <phoneticPr fontId="4"/>
  </si>
  <si>
    <t>施策ごとの主要な事業をまとめた上で公表しているため</t>
    <rPh sb="0" eb="2">
      <t>シサク</t>
    </rPh>
    <rPh sb="5" eb="7">
      <t>シュヨウ</t>
    </rPh>
    <rPh sb="8" eb="10">
      <t>ジギョウ</t>
    </rPh>
    <rPh sb="15" eb="16">
      <t>ウエ</t>
    </rPh>
    <rPh sb="17" eb="19">
      <t>コウヒョウ</t>
    </rPh>
    <phoneticPr fontId="4"/>
  </si>
  <si>
    <t>個別の事業ではなく政策・施策レベルで評価を行っているため。</t>
    <rPh sb="0" eb="2">
      <t>コベツ</t>
    </rPh>
    <rPh sb="3" eb="5">
      <t>ジギョウ</t>
    </rPh>
    <rPh sb="9" eb="11">
      <t>セイサク</t>
    </rPh>
    <rPh sb="12" eb="14">
      <t>セサク</t>
    </rPh>
    <rPh sb="18" eb="20">
      <t>ヒョウカ</t>
    </rPh>
    <rPh sb="21" eb="22">
      <t>オコナ</t>
    </rPh>
    <phoneticPr fontId="4"/>
  </si>
  <si>
    <t>県総合計画に掲げる各政策の数値目標の成果・評価について、公表しているため。</t>
    <rPh sb="0" eb="5">
      <t>ケンソウゴウケイカク</t>
    </rPh>
    <rPh sb="6" eb="7">
      <t>カカ</t>
    </rPh>
    <rPh sb="9" eb="10">
      <t>カク</t>
    </rPh>
    <rPh sb="10" eb="12">
      <t>セイサク</t>
    </rPh>
    <rPh sb="13" eb="17">
      <t>スウチモクヒョウ</t>
    </rPh>
    <rPh sb="18" eb="20">
      <t>セイカ</t>
    </rPh>
    <rPh sb="21" eb="23">
      <t>ヒョウカ</t>
    </rPh>
    <rPh sb="28" eb="30">
      <t>コウヒョウ</t>
    </rPh>
    <phoneticPr fontId="4"/>
  </si>
  <si>
    <t>県総合計画に掲げる各施策の数値目標の成果・評価について、公表しているため。</t>
    <rPh sb="0" eb="5">
      <t>ケンソウゴウケイカク</t>
    </rPh>
    <rPh sb="6" eb="7">
      <t>カカ</t>
    </rPh>
    <rPh sb="9" eb="10">
      <t>カク</t>
    </rPh>
    <rPh sb="10" eb="12">
      <t>セサク</t>
    </rPh>
    <rPh sb="13" eb="17">
      <t>スウチモクヒョウ</t>
    </rPh>
    <rPh sb="18" eb="20">
      <t>セイカ</t>
    </rPh>
    <rPh sb="21" eb="23">
      <t>ヒョウカ</t>
    </rPh>
    <rPh sb="28" eb="30">
      <t>コウヒョウ</t>
    </rPh>
    <phoneticPr fontId="4"/>
  </si>
  <si>
    <t>事務事業の行政評価を行っていないため。</t>
    <rPh sb="0" eb="4">
      <t>ジムジギョウ</t>
    </rPh>
    <rPh sb="5" eb="9">
      <t>ギョウセイヒョウカ</t>
    </rPh>
    <rPh sb="10" eb="11">
      <t>オコナ</t>
    </rPh>
    <phoneticPr fontId="4"/>
  </si>
  <si>
    <t>090000</t>
    <phoneticPr fontId="4"/>
  </si>
  <si>
    <t>・指定管理者制度ではなく、都市公園法第５条に基づく設置許可・管理許可を行っているため。</t>
    <rPh sb="13" eb="15">
      <t>トシ</t>
    </rPh>
    <rPh sb="15" eb="17">
      <t>コウエン</t>
    </rPh>
    <rPh sb="17" eb="18">
      <t>ホウ</t>
    </rPh>
    <rPh sb="18" eb="19">
      <t>ダイ</t>
    </rPh>
    <rPh sb="20" eb="21">
      <t>ジョウ</t>
    </rPh>
    <rPh sb="22" eb="23">
      <t>モト</t>
    </rPh>
    <rPh sb="25" eb="27">
      <t>セッチ</t>
    </rPh>
    <rPh sb="27" eb="29">
      <t>キョカ</t>
    </rPh>
    <rPh sb="30" eb="32">
      <t>カンリ</t>
    </rPh>
    <rPh sb="32" eb="34">
      <t>キョカ</t>
    </rPh>
    <rPh sb="35" eb="36">
      <t>オコナ</t>
    </rPh>
    <phoneticPr fontId="4"/>
  </si>
  <si>
    <t>社会変化に対応した先進的な図書館サービスやその評価方法の調査・研究、図書館職員への研修プログラムの開発・実施は、大学や関係機関等との連携を図り新たに企画・開発していくべきもので、このような能力・経験を持った司書の継続的な確保が必要である。</t>
  </si>
  <si>
    <t>中央博物館・美術館は、県の博物館行政の中核をなす施設であることから県の事務として行う必要がある。
その他については、非採算事業の比重が大きく、コスト縮減を期待できず、また、地元市町での利活用も視野に入れ在り方検討を行っているため。</t>
    <rPh sb="86" eb="88">
      <t>ジモト</t>
    </rPh>
    <rPh sb="88" eb="90">
      <t>シチョウ</t>
    </rPh>
    <rPh sb="96" eb="98">
      <t>シヤ</t>
    </rPh>
    <rPh sb="99" eb="100">
      <t>イ</t>
    </rPh>
    <phoneticPr fontId="4"/>
  </si>
  <si>
    <t>・すべての事業に終期を設け、事業評価を実施
・終期到来時の事業を中心に公表</t>
    <phoneticPr fontId="4"/>
  </si>
  <si>
    <t>予算査定等を兼ねているため。</t>
    <rPh sb="0" eb="2">
      <t>ヨサン</t>
    </rPh>
    <rPh sb="2" eb="4">
      <t>サテイ</t>
    </rPh>
    <rPh sb="4" eb="5">
      <t>トウ</t>
    </rPh>
    <rPh sb="6" eb="7">
      <t>カ</t>
    </rPh>
    <phoneticPr fontId="4"/>
  </si>
  <si>
    <t>高い専門性を必要とする役割を担っているため、現在は直営で運営しているが、効率的な施設運営と施設の有効活用のため、指定管理制度導入又は業務委託について検討中</t>
    <rPh sb="22" eb="24">
      <t>ゲンザイ</t>
    </rPh>
    <rPh sb="25" eb="27">
      <t>チョクエイ</t>
    </rPh>
    <rPh sb="28" eb="30">
      <t>ウンエイ</t>
    </rPh>
    <phoneticPr fontId="4"/>
  </si>
  <si>
    <t>１施設は、あり方検討委員会報告書において「県立施設として維持しつつ民間による運営を行うことが適当」とされたことを受け、指定管理者制度導入に向けて検討中。もう１施設は、今後のあり方についてワーキングで検討中。</t>
    <rPh sb="1" eb="3">
      <t>シセツ</t>
    </rPh>
    <rPh sb="7" eb="8">
      <t>カタ</t>
    </rPh>
    <rPh sb="8" eb="10">
      <t>ケントウ</t>
    </rPh>
    <rPh sb="10" eb="13">
      <t>イインカイ</t>
    </rPh>
    <rPh sb="13" eb="16">
      <t>ホウコクショ</t>
    </rPh>
    <rPh sb="21" eb="23">
      <t>ケンリツ</t>
    </rPh>
    <rPh sb="23" eb="25">
      <t>シセツ</t>
    </rPh>
    <rPh sb="28" eb="30">
      <t>イジ</t>
    </rPh>
    <rPh sb="33" eb="35">
      <t>ミンカン</t>
    </rPh>
    <rPh sb="38" eb="40">
      <t>ウンエイ</t>
    </rPh>
    <rPh sb="41" eb="42">
      <t>オコナ</t>
    </rPh>
    <rPh sb="46" eb="48">
      <t>テキトウ</t>
    </rPh>
    <rPh sb="56" eb="57">
      <t>ウ</t>
    </rPh>
    <rPh sb="59" eb="61">
      <t>シテイ</t>
    </rPh>
    <rPh sb="61" eb="64">
      <t>カンリシャ</t>
    </rPh>
    <rPh sb="64" eb="66">
      <t>セイド</t>
    </rPh>
    <rPh sb="66" eb="68">
      <t>ドウニュウ</t>
    </rPh>
    <rPh sb="69" eb="70">
      <t>ム</t>
    </rPh>
    <rPh sb="72" eb="75">
      <t>ケントウチュウ</t>
    </rPh>
    <rPh sb="79" eb="81">
      <t>シセツ</t>
    </rPh>
    <rPh sb="83" eb="85">
      <t>コンゴ</t>
    </rPh>
    <rPh sb="88" eb="89">
      <t>カタ</t>
    </rPh>
    <rPh sb="99" eb="101">
      <t>ケントウ</t>
    </rPh>
    <rPh sb="101" eb="102">
      <t>チュウ</t>
    </rPh>
    <phoneticPr fontId="4"/>
  </si>
  <si>
    <t>評価手法、基準が未確立のため</t>
    <rPh sb="0" eb="2">
      <t>ヒョウカ</t>
    </rPh>
    <rPh sb="2" eb="4">
      <t>シュホウ</t>
    </rPh>
    <rPh sb="5" eb="7">
      <t>キジュン</t>
    </rPh>
    <rPh sb="8" eb="11">
      <t>ミカクリツ</t>
    </rPh>
    <phoneticPr fontId="4"/>
  </si>
  <si>
    <t>〇</t>
  </si>
  <si>
    <t>現状、議会にて毎年報告を行い、内容の精査を図っているため。</t>
    <rPh sb="0" eb="2">
      <t>ゲンジョウ</t>
    </rPh>
    <rPh sb="3" eb="5">
      <t>ギカイ</t>
    </rPh>
    <rPh sb="7" eb="9">
      <t>マイトシ</t>
    </rPh>
    <rPh sb="9" eb="11">
      <t>ホウコク</t>
    </rPh>
    <rPh sb="12" eb="13">
      <t>オコナ</t>
    </rPh>
    <rPh sb="15" eb="17">
      <t>ナイヨウ</t>
    </rPh>
    <rPh sb="18" eb="20">
      <t>セイサ</t>
    </rPh>
    <rPh sb="21" eb="22">
      <t>ハカ</t>
    </rPh>
    <phoneticPr fontId="4"/>
  </si>
  <si>
    <t>未実施であるため。</t>
    <rPh sb="0" eb="3">
      <t>ミジッシ</t>
    </rPh>
    <phoneticPr fontId="4"/>
  </si>
  <si>
    <t>職員住宅を3棟廃止し、導入率は上昇。</t>
    <rPh sb="0" eb="2">
      <t>ショクイン</t>
    </rPh>
    <rPh sb="2" eb="4">
      <t>ジュウタク</t>
    </rPh>
    <rPh sb="6" eb="7">
      <t>トウ</t>
    </rPh>
    <rPh sb="7" eb="9">
      <t>ハイシ</t>
    </rPh>
    <rPh sb="11" eb="14">
      <t>ドウニュウリツ</t>
    </rPh>
    <rPh sb="15" eb="17">
      <t>ジョウショウ</t>
    </rPh>
    <phoneticPr fontId="4"/>
  </si>
  <si>
    <t>施策数が多岐にわたえるため結果概要として全体の進捗を公表</t>
  </si>
  <si>
    <t>事業が多岐にわたるため政策的経費のみを公表</t>
  </si>
  <si>
    <t>直営にて継続</t>
    <rPh sb="0" eb="2">
      <t>チョクエイ</t>
    </rPh>
    <rPh sb="4" eb="6">
      <t>ケイゾク</t>
    </rPh>
    <phoneticPr fontId="4"/>
  </si>
  <si>
    <t>公表に向けた準備中であるため</t>
    <rPh sb="0" eb="2">
      <t>コウヒョウ</t>
    </rPh>
    <rPh sb="3" eb="4">
      <t>ム</t>
    </rPh>
    <rPh sb="6" eb="8">
      <t>ジュンビ</t>
    </rPh>
    <rPh sb="8" eb="9">
      <t>チュウ</t>
    </rPh>
    <phoneticPr fontId="4"/>
  </si>
  <si>
    <t>公表に向けた準備中であるため</t>
    <rPh sb="0" eb="2">
      <t>コウヒョウ</t>
    </rPh>
    <rPh sb="3" eb="4">
      <t>ム</t>
    </rPh>
    <rPh sb="6" eb="9">
      <t>ジュンビチュウ</t>
    </rPh>
    <phoneticPr fontId="4"/>
  </si>
  <si>
    <t>評価内容が膨大であるため、総括表を公表している</t>
    <rPh sb="0" eb="2">
      <t>ヒョウカ</t>
    </rPh>
    <rPh sb="2" eb="4">
      <t>ナイヨウ</t>
    </rPh>
    <rPh sb="5" eb="7">
      <t>ボウダイ</t>
    </rPh>
    <rPh sb="13" eb="15">
      <t>ソウカツ</t>
    </rPh>
    <rPh sb="15" eb="16">
      <t>ヒョウ</t>
    </rPh>
    <rPh sb="17" eb="19">
      <t>コウヒョウ</t>
    </rPh>
    <phoneticPr fontId="4"/>
  </si>
  <si>
    <t>新たな図書館のモデルを構築し、県内図書館へ展開していく専門的な役割を担うため、常勤としている。</t>
    <rPh sb="0" eb="1">
      <t>アラ</t>
    </rPh>
    <rPh sb="3" eb="6">
      <t>トショカン</t>
    </rPh>
    <rPh sb="11" eb="13">
      <t>コウチク</t>
    </rPh>
    <rPh sb="15" eb="17">
      <t>ケンナイ</t>
    </rPh>
    <rPh sb="17" eb="20">
      <t>トショカン</t>
    </rPh>
    <rPh sb="21" eb="23">
      <t>テンカイ</t>
    </rPh>
    <rPh sb="27" eb="30">
      <t>センモンテキ</t>
    </rPh>
    <rPh sb="31" eb="33">
      <t>ヤクワリ</t>
    </rPh>
    <rPh sb="34" eb="35">
      <t>ニナ</t>
    </rPh>
    <rPh sb="39" eb="41">
      <t>ジョウキン</t>
    </rPh>
    <phoneticPr fontId="4"/>
  </si>
  <si>
    <t>事務費など政策的な性格を持たないものや、負担金のように県の裁量がないものなどは対象外としている</t>
    <phoneticPr fontId="4"/>
  </si>
  <si>
    <t>政策については、知事マニフェストの進行管理や議会で審議しているものと認識しているため。</t>
    <rPh sb="0" eb="2">
      <t>セイサク</t>
    </rPh>
    <rPh sb="8" eb="10">
      <t>チジ</t>
    </rPh>
    <rPh sb="17" eb="19">
      <t>シンコウ</t>
    </rPh>
    <rPh sb="19" eb="21">
      <t>カンリ</t>
    </rPh>
    <rPh sb="22" eb="24">
      <t>ギカイ</t>
    </rPh>
    <rPh sb="25" eb="27">
      <t>シンギ</t>
    </rPh>
    <rPh sb="34" eb="36">
      <t>ニンシキ</t>
    </rPh>
    <phoneticPr fontId="4"/>
  </si>
  <si>
    <t>施策評価として2014年度から管理事業単位での評価を行っており、従来の事務事業評価の機能も踏襲するものであるため。</t>
    <rPh sb="0" eb="2">
      <t>セサク</t>
    </rPh>
    <rPh sb="2" eb="4">
      <t>ヒョウカ</t>
    </rPh>
    <rPh sb="11" eb="13">
      <t>ネンド</t>
    </rPh>
    <rPh sb="15" eb="17">
      <t>カンリ</t>
    </rPh>
    <rPh sb="17" eb="19">
      <t>ジギョウ</t>
    </rPh>
    <rPh sb="19" eb="21">
      <t>タンイ</t>
    </rPh>
    <rPh sb="23" eb="25">
      <t>ヒョウカ</t>
    </rPh>
    <rPh sb="26" eb="27">
      <t>オコナ</t>
    </rPh>
    <rPh sb="32" eb="34">
      <t>ジュウライ</t>
    </rPh>
    <rPh sb="35" eb="37">
      <t>ジム</t>
    </rPh>
    <rPh sb="37" eb="39">
      <t>ジギョウ</t>
    </rPh>
    <rPh sb="39" eb="41">
      <t>ヒョウカ</t>
    </rPh>
    <rPh sb="42" eb="44">
      <t>キノウ</t>
    </rPh>
    <rPh sb="45" eb="47">
      <t>トウシュウ</t>
    </rPh>
    <phoneticPr fontId="4"/>
  </si>
  <si>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導入していない。</t>
  </si>
  <si>
    <t>施策・事務事業の単位で行政評価を行うことが適当であると考えており、全ての施策・事務事業で行政評価を実施している。</t>
    <phoneticPr fontId="4"/>
  </si>
  <si>
    <t>政策単位で行政評価を実施していないため。</t>
  </si>
  <si>
    <t>民間委託導入については、学校用務員業務は教職員の要望に迅速かつ柔軟に対応する必要があること等から困難であると考えており、引き続き直営での業務継続とする。
なお、今後業務改善を進めながら、効率的な業務体制の検討をしていく。</t>
    <rPh sb="0" eb="2">
      <t>ミンカン</t>
    </rPh>
    <rPh sb="2" eb="4">
      <t>イタク</t>
    </rPh>
    <rPh sb="4" eb="6">
      <t>ドウニュウ</t>
    </rPh>
    <rPh sb="20" eb="23">
      <t>キョウショクイン</t>
    </rPh>
    <rPh sb="24" eb="26">
      <t>ヨウボウ</t>
    </rPh>
    <rPh sb="27" eb="29">
      <t>ジンソク</t>
    </rPh>
    <rPh sb="31" eb="33">
      <t>ジュウナン</t>
    </rPh>
    <rPh sb="34" eb="36">
      <t>タイオウ</t>
    </rPh>
    <rPh sb="38" eb="40">
      <t>ヒツヨウ</t>
    </rPh>
    <rPh sb="45" eb="46">
      <t>トウ</t>
    </rPh>
    <rPh sb="48" eb="50">
      <t>コンナン</t>
    </rPh>
    <rPh sb="54" eb="55">
      <t>カンガ</t>
    </rPh>
    <rPh sb="60" eb="61">
      <t>ヒ</t>
    </rPh>
    <rPh sb="62" eb="63">
      <t>ツヅ</t>
    </rPh>
    <rPh sb="64" eb="66">
      <t>チョクエイ</t>
    </rPh>
    <rPh sb="68" eb="70">
      <t>ギョウム</t>
    </rPh>
    <rPh sb="70" eb="72">
      <t>ケイゾク</t>
    </rPh>
    <rPh sb="80" eb="82">
      <t>コンゴ</t>
    </rPh>
    <rPh sb="82" eb="84">
      <t>ギョウム</t>
    </rPh>
    <rPh sb="84" eb="86">
      <t>カイゼン</t>
    </rPh>
    <rPh sb="87" eb="88">
      <t>スス</t>
    </rPh>
    <rPh sb="93" eb="96">
      <t>コウリツテキ</t>
    </rPh>
    <rPh sb="97" eb="99">
      <t>ギョウム</t>
    </rPh>
    <rPh sb="99" eb="101">
      <t>タイセイ</t>
    </rPh>
    <rPh sb="102" eb="104">
      <t>ケントウ</t>
    </rPh>
    <phoneticPr fontId="4"/>
  </si>
  <si>
    <t>○学芸員が研究や教育普及と事業を兼務しており、展示事業と研究、教育事業を切り分けて外部委託を行うことは困難（美術館）○学芸員が研究と事業を兼務しており展示事業と研究事業を切り分けて外部委託を行うことは困難（博物館）○施設の設置目的から業務の中立性等を確保する必要がある（平和祈念館）</t>
    <phoneticPr fontId="4"/>
  </si>
  <si>
    <t>数十年後にありたい姿を将来象として示しているものであり、評価対象としていない。</t>
    <rPh sb="9" eb="10">
      <t>スガタ</t>
    </rPh>
    <rPh sb="11" eb="13">
      <t>ショウライ</t>
    </rPh>
    <rPh sb="13" eb="14">
      <t>ゾウ</t>
    </rPh>
    <rPh sb="17" eb="18">
      <t>シメ</t>
    </rPh>
    <rPh sb="28" eb="30">
      <t>ヒョウカ</t>
    </rPh>
    <rPh sb="30" eb="32">
      <t>タイショウ</t>
    </rPh>
    <phoneticPr fontId="4"/>
  </si>
  <si>
    <t>評価していないため</t>
    <rPh sb="0" eb="2">
      <t>ヒョウカ</t>
    </rPh>
    <phoneticPr fontId="4"/>
  </si>
  <si>
    <t>観光客以外の駐車場利用もあり、バスターミナル施設との連携が必要な駐車場も存在し、臨機応変な対応が必要なため。</t>
    <phoneticPr fontId="4"/>
  </si>
  <si>
    <t>内部的な評価であるため</t>
    <rPh sb="0" eb="3">
      <t>ナイブテキ</t>
    </rPh>
    <rPh sb="4" eb="6">
      <t>ヒョウカ</t>
    </rPh>
    <phoneticPr fontId="4"/>
  </si>
  <si>
    <t>委託有</t>
    <phoneticPr fontId="4"/>
  </si>
  <si>
    <t>作業の費用対効果等を考慮し、廃止</t>
    <phoneticPr fontId="4"/>
  </si>
  <si>
    <t>県議会（行政改革・基本計画等に関する特別委員会）に対し、進捗管理目標の達成状況を報告しているため</t>
    <phoneticPr fontId="4"/>
  </si>
  <si>
    <t>現在は評価を行っていないため</t>
    <rPh sb="0" eb="2">
      <t>ゲンザイ</t>
    </rPh>
    <rPh sb="3" eb="5">
      <t>ヒョウカ</t>
    </rPh>
    <rPh sb="6" eb="7">
      <t>オコナ</t>
    </rPh>
    <phoneticPr fontId="4"/>
  </si>
  <si>
    <t>【男女共同参画センター】
県の主体的関与により利用者の信頼性を確保する必要があるため。
【産業人材育成センター（２校）、農業大学校、大山青年の家、船上山少年自然の家】
教育・養成機関として県の主体的関与が必要であるため。</t>
    <rPh sb="66" eb="68">
      <t>ダイセン</t>
    </rPh>
    <rPh sb="68" eb="70">
      <t>セイネン</t>
    </rPh>
    <rPh sb="71" eb="72">
      <t>イエ</t>
    </rPh>
    <phoneticPr fontId="4"/>
  </si>
  <si>
    <t>指標の達成度に基づく定量的な評価を行うため、事務事業評価は廃止</t>
    <rPh sb="0" eb="2">
      <t>シヒョウ</t>
    </rPh>
    <rPh sb="3" eb="6">
      <t>タッセイド</t>
    </rPh>
    <rPh sb="7" eb="8">
      <t>モト</t>
    </rPh>
    <rPh sb="10" eb="13">
      <t>テイリョウテキ</t>
    </rPh>
    <rPh sb="14" eb="16">
      <t>ヒョウカ</t>
    </rPh>
    <rPh sb="17" eb="18">
      <t>オコナ</t>
    </rPh>
    <rPh sb="22" eb="28">
      <t>ジムジギョウヒョウカ</t>
    </rPh>
    <rPh sb="29" eb="31">
      <t>ハイシ</t>
    </rPh>
    <phoneticPr fontId="4"/>
  </si>
  <si>
    <t>・政策、施策についての行政評価の導入により、行政の効率化等一定の成果を得ているため。</t>
    <rPh sb="1" eb="3">
      <t>セイサク</t>
    </rPh>
    <rPh sb="4" eb="6">
      <t>セサク</t>
    </rPh>
    <rPh sb="11" eb="15">
      <t>ギョウセイヒョウカ</t>
    </rPh>
    <rPh sb="16" eb="18">
      <t>ドウニュウ</t>
    </rPh>
    <rPh sb="22" eb="24">
      <t>ギョウセイ</t>
    </rPh>
    <rPh sb="25" eb="28">
      <t>コウリツカ</t>
    </rPh>
    <rPh sb="28" eb="29">
      <t>トウ</t>
    </rPh>
    <rPh sb="29" eb="31">
      <t>イッテイ</t>
    </rPh>
    <rPh sb="32" eb="34">
      <t>セイカ</t>
    </rPh>
    <rPh sb="35" eb="36">
      <t>エ</t>
    </rPh>
    <phoneticPr fontId="4"/>
  </si>
  <si>
    <t>・行政評価を実施していないため。</t>
    <rPh sb="1" eb="5">
      <t>ギョウセイヒョウカ</t>
    </rPh>
    <rPh sb="6" eb="8">
      <t>ジッシ</t>
    </rPh>
    <phoneticPr fontId="4"/>
  </si>
  <si>
    <t>庁務業務の一部を委託しているため</t>
    <rPh sb="0" eb="4">
      <t>チョウムギョウム</t>
    </rPh>
    <rPh sb="5" eb="7">
      <t>イチブ</t>
    </rPh>
    <rPh sb="8" eb="10">
      <t>イタク</t>
    </rPh>
    <phoneticPr fontId="4"/>
  </si>
  <si>
    <t>指定管理制度を導入するためには、県内に消費者安全法の要件を満たす消費生活相談員を一定数有する団体が必要であるが、県内には、現状、そうした団体はない。</t>
    <rPh sb="0" eb="4">
      <t>シテイカンリ</t>
    </rPh>
    <rPh sb="4" eb="6">
      <t>セイド</t>
    </rPh>
    <rPh sb="7" eb="9">
      <t>ドウニュウ</t>
    </rPh>
    <rPh sb="16" eb="18">
      <t>ケンナイ</t>
    </rPh>
    <rPh sb="19" eb="22">
      <t>ショウヒシャ</t>
    </rPh>
    <rPh sb="22" eb="25">
      <t>アンゼンホウ</t>
    </rPh>
    <rPh sb="26" eb="28">
      <t>ヨウケン</t>
    </rPh>
    <rPh sb="29" eb="30">
      <t>ミ</t>
    </rPh>
    <rPh sb="32" eb="36">
      <t>ショウヒセイカツ</t>
    </rPh>
    <rPh sb="36" eb="38">
      <t>ソウダン</t>
    </rPh>
    <rPh sb="38" eb="39">
      <t>イン</t>
    </rPh>
    <rPh sb="40" eb="43">
      <t>イッテイスウ</t>
    </rPh>
    <rPh sb="43" eb="44">
      <t>ユウ</t>
    </rPh>
    <rPh sb="46" eb="48">
      <t>ダンタイ</t>
    </rPh>
    <rPh sb="49" eb="51">
      <t>ヒツヨウ</t>
    </rPh>
    <rPh sb="56" eb="58">
      <t>ケンナイ</t>
    </rPh>
    <rPh sb="61" eb="63">
      <t>ゲンジョウ</t>
    </rPh>
    <rPh sb="68" eb="70">
      <t>ダンタイ</t>
    </rPh>
    <phoneticPr fontId="4"/>
  </si>
  <si>
    <t>消費生活センターは、消費者安全法の規定に基づき、消費者の苦情の処理等を行うことにより消費者の利益の擁護及び増進を図るため設けられた公の施設である。</t>
    <rPh sb="0" eb="4">
      <t>ショウヒセイカツ</t>
    </rPh>
    <rPh sb="10" eb="13">
      <t>ショウヒシャ</t>
    </rPh>
    <rPh sb="13" eb="16">
      <t>アンゼンホウ</t>
    </rPh>
    <rPh sb="17" eb="19">
      <t>キテイ</t>
    </rPh>
    <rPh sb="20" eb="21">
      <t>モト</t>
    </rPh>
    <rPh sb="24" eb="27">
      <t>ショウヒシャ</t>
    </rPh>
    <rPh sb="28" eb="30">
      <t>クジョウ</t>
    </rPh>
    <rPh sb="31" eb="33">
      <t>ショリ</t>
    </rPh>
    <rPh sb="33" eb="34">
      <t>トウ</t>
    </rPh>
    <rPh sb="35" eb="36">
      <t>オコナ</t>
    </rPh>
    <rPh sb="42" eb="45">
      <t>ショウヒシャ</t>
    </rPh>
    <rPh sb="46" eb="48">
      <t>リエキ</t>
    </rPh>
    <rPh sb="49" eb="51">
      <t>ヨウゴ</t>
    </rPh>
    <rPh sb="51" eb="52">
      <t>オヨ</t>
    </rPh>
    <rPh sb="53" eb="55">
      <t>ゾウシン</t>
    </rPh>
    <rPh sb="56" eb="57">
      <t>ハカ</t>
    </rPh>
    <rPh sb="60" eb="61">
      <t>モウ</t>
    </rPh>
    <rPh sb="65" eb="66">
      <t>オオヤケ</t>
    </rPh>
    <rPh sb="67" eb="69">
      <t>シセツ</t>
    </rPh>
    <phoneticPr fontId="4"/>
  </si>
  <si>
    <t>施設の主要事業である集団宿泊学習は教育活動の一環として実施されることから、多様化する生徒に対し教員が学校で配慮してきたことと同等の配慮が施設職員にも求められるため、制度の導入はなじまない。</t>
    <phoneticPr fontId="4"/>
  </si>
  <si>
    <t>施策評価にて政策評価をまとめて実施している</t>
    <rPh sb="0" eb="2">
      <t>セサク</t>
    </rPh>
    <rPh sb="2" eb="4">
      <t>ヒョウカ</t>
    </rPh>
    <rPh sb="6" eb="10">
      <t>セイサクヒョウカ</t>
    </rPh>
    <rPh sb="15" eb="17">
      <t>ジッシ</t>
    </rPh>
    <phoneticPr fontId="4"/>
  </si>
  <si>
    <t>政策評価を導入していないため</t>
    <rPh sb="0" eb="2">
      <t>セイサク</t>
    </rPh>
    <rPh sb="2" eb="4">
      <t>ヒョウカ</t>
    </rPh>
    <rPh sb="5" eb="7">
      <t>ドウニュウ</t>
    </rPh>
    <phoneticPr fontId="4"/>
  </si>
  <si>
    <t>施策の方向性を定めるための上位の方針であり、評価になじまないため。</t>
    <rPh sb="0" eb="2">
      <t>セサク</t>
    </rPh>
    <rPh sb="3" eb="6">
      <t>ホウコウセイ</t>
    </rPh>
    <rPh sb="7" eb="8">
      <t>サダ</t>
    </rPh>
    <rPh sb="13" eb="15">
      <t>ジョウイ</t>
    </rPh>
    <rPh sb="16" eb="18">
      <t>ホウシン</t>
    </rPh>
    <rPh sb="22" eb="24">
      <t>ヒョウカ</t>
    </rPh>
    <phoneticPr fontId="36"/>
  </si>
  <si>
    <t>主に職員の意識改革が目的であるため</t>
  </si>
  <si>
    <t>○福岡武道館は、武道等を通じた県民特に青少年の心身鍛錬の場であるとともに、警察術科訓練の推進拠点であることから、現時点では導入しておりません。</t>
    <rPh sb="8" eb="10">
      <t>ブドウ</t>
    </rPh>
    <rPh sb="10" eb="11">
      <t>トウ</t>
    </rPh>
    <rPh sb="12" eb="13">
      <t>ツウ</t>
    </rPh>
    <rPh sb="15" eb="17">
      <t>ケンミン</t>
    </rPh>
    <rPh sb="17" eb="18">
      <t>トク</t>
    </rPh>
    <rPh sb="19" eb="22">
      <t>セイショウネン</t>
    </rPh>
    <rPh sb="23" eb="25">
      <t>シンシン</t>
    </rPh>
    <rPh sb="25" eb="27">
      <t>タンレン</t>
    </rPh>
    <rPh sb="28" eb="29">
      <t>バ</t>
    </rPh>
    <rPh sb="37" eb="39">
      <t>ケイサツ</t>
    </rPh>
    <phoneticPr fontId="4"/>
  </si>
  <si>
    <t>○福岡武道館は、武道等を通じた県民特に青少年の心身鍛錬の場であることから、県職員が常駐しています。</t>
    <phoneticPr fontId="4"/>
  </si>
  <si>
    <t>施策評価を実施しているため</t>
    <rPh sb="0" eb="2">
      <t>セサク</t>
    </rPh>
    <rPh sb="2" eb="4">
      <t>ヒョウカ</t>
    </rPh>
    <rPh sb="5" eb="7">
      <t>ジッシ</t>
    </rPh>
    <phoneticPr fontId="4"/>
  </si>
  <si>
    <t>　</t>
    <phoneticPr fontId="4"/>
  </si>
  <si>
    <t>県から市へ事務委託を行い、市において指定管理者制度を導入しているため。</t>
    <rPh sb="0" eb="1">
      <t>ケン</t>
    </rPh>
    <rPh sb="3" eb="4">
      <t>シ</t>
    </rPh>
    <rPh sb="5" eb="7">
      <t>ジム</t>
    </rPh>
    <rPh sb="7" eb="9">
      <t>イタク</t>
    </rPh>
    <rPh sb="10" eb="11">
      <t>オコナ</t>
    </rPh>
    <rPh sb="13" eb="14">
      <t>シ</t>
    </rPh>
    <rPh sb="18" eb="20">
      <t>シテイ</t>
    </rPh>
    <rPh sb="20" eb="23">
      <t>カンリシャ</t>
    </rPh>
    <rPh sb="23" eb="25">
      <t>セイド</t>
    </rPh>
    <rPh sb="26" eb="28">
      <t>ドウニュウ</t>
    </rPh>
    <phoneticPr fontId="4"/>
  </si>
  <si>
    <t>2020年度までの計画においては、「政策」にあたる将来像毎の重要指標を設定し、評価を実施していたが、2021年度からの計画においては、政策という大きな項目での指標の設定が難しいことから、指標自体の設定をしていないため。</t>
    <phoneticPr fontId="4"/>
  </si>
  <si>
    <t>左記の導入状況の理由に同じ</t>
    <rPh sb="0" eb="2">
      <t>サキ</t>
    </rPh>
    <rPh sb="3" eb="5">
      <t>ドウニュウ</t>
    </rPh>
    <rPh sb="5" eb="7">
      <t>ジョウキョウ</t>
    </rPh>
    <rPh sb="8" eb="10">
      <t>リユウ</t>
    </rPh>
    <rPh sb="11" eb="12">
      <t>オナ</t>
    </rPh>
    <phoneticPr fontId="4"/>
  </si>
  <si>
    <t>評価に係る全体の事務負担の軽減の観点から、公表対象を重点化しているため。</t>
    <rPh sb="21" eb="23">
      <t>コウヒョウ</t>
    </rPh>
    <phoneticPr fontId="4"/>
  </si>
  <si>
    <t>　現職員の退職等により業務が継続できなくなった時点から順次、業務を廃止</t>
    <phoneticPr fontId="4"/>
  </si>
  <si>
    <t>R3年度の途中から対象者が0名となったため削除</t>
  </si>
  <si>
    <t>R2.4.30一般向け駐車場廃止。公用車駐車場化。</t>
    <phoneticPr fontId="4"/>
  </si>
  <si>
    <t>　　　　</t>
    <phoneticPr fontId="4"/>
  </si>
  <si>
    <t>宮崎県木崎浜サーフィンセンターは、シャワー室や更衣室を備えた施設であり、シャワーもコイン式で稼働することから、原則無人での運営が可能であるため。なお、清掃業務等については、外部に委託することで対応している。</t>
    <rPh sb="0" eb="3">
      <t>ミヤザキケン</t>
    </rPh>
    <rPh sb="3" eb="5">
      <t>キサキ</t>
    </rPh>
    <rPh sb="5" eb="6">
      <t>ハマ</t>
    </rPh>
    <rPh sb="21" eb="22">
      <t>シツ</t>
    </rPh>
    <rPh sb="23" eb="26">
      <t>コウイシツ</t>
    </rPh>
    <rPh sb="27" eb="28">
      <t>ソナ</t>
    </rPh>
    <rPh sb="30" eb="32">
      <t>シセツ</t>
    </rPh>
    <rPh sb="44" eb="45">
      <t>シキ</t>
    </rPh>
    <rPh sb="46" eb="48">
      <t>カドウ</t>
    </rPh>
    <rPh sb="55" eb="57">
      <t>ゲンソク</t>
    </rPh>
    <rPh sb="57" eb="59">
      <t>ムジン</t>
    </rPh>
    <rPh sb="61" eb="63">
      <t>ウンエイ</t>
    </rPh>
    <rPh sb="64" eb="66">
      <t>カノウ</t>
    </rPh>
    <rPh sb="75" eb="77">
      <t>セイソウ</t>
    </rPh>
    <rPh sb="77" eb="79">
      <t>ギョウム</t>
    </rPh>
    <rPh sb="79" eb="80">
      <t>トウ</t>
    </rPh>
    <rPh sb="86" eb="88">
      <t>ガイブ</t>
    </rPh>
    <rPh sb="89" eb="91">
      <t>イタク</t>
    </rPh>
    <rPh sb="96" eb="98">
      <t>タイオウ</t>
    </rPh>
    <phoneticPr fontId="4"/>
  </si>
  <si>
    <t>・各離島に県営住宅が点在していることから，効率的な維持管理が難しく，民間事業者の参入が見込めない。
・指定管理者の選定方法等を含め，制度導入について引き続き検討を行っていく。</t>
    <phoneticPr fontId="4"/>
  </si>
  <si>
    <t>・施設運営に求められる専門性や技能を有する人材の確保や指定管理期間が限られることによる運営の安定性・継続性の課題があり，指定管理者制度はなじまない。
・図書館は入館料を徴収できないことから，指定管理者の経済的なメリットも乏しい。</t>
    <phoneticPr fontId="4"/>
  </si>
  <si>
    <t>市町村立図書館等を支援する役割等を有する教育機関であり，保存図書館として郷土資料や貴重資料等の収集等を長期的・継続的に実施することから，直営で行う必要がある。</t>
    <phoneticPr fontId="4"/>
  </si>
  <si>
    <t>・教育課題を理解した上での効果的な研修の実施やリーダー養成等は，学校教育や社会教育の専門性や技能を有する者でなければ継続的かつ円滑な実施は難しい。
・令和２年度に指定管理者制度を導入した霧島自然ふれあいセンターの評価のあり方について検討予定であり，当該施設の今後の評価を踏まえた上で制度導入についても検討したい。</t>
    <phoneticPr fontId="4"/>
  </si>
  <si>
    <t>令和４年２月に，教育委員会の附属機関である「鹿児島県社会教育委員」の会議における審議のまとめが提出され，青少年社会教育施設に求められる役割として，学校との更なる連携強化について提言があった。学校と連携した効果的な事業実施については，直営で行う必要がある。</t>
    <phoneticPr fontId="4"/>
  </si>
  <si>
    <t>県計画等の策定・改定の際に，それぞれの分野の特性に応じた施策評価を実施することとした。</t>
    <rPh sb="0" eb="1">
      <t>ケン</t>
    </rPh>
    <rPh sb="1" eb="3">
      <t>ケイカク</t>
    </rPh>
    <rPh sb="3" eb="4">
      <t>トウ</t>
    </rPh>
    <rPh sb="5" eb="7">
      <t>サクテイ</t>
    </rPh>
    <rPh sb="8" eb="10">
      <t>カイテイ</t>
    </rPh>
    <rPh sb="11" eb="12">
      <t>サイ</t>
    </rPh>
    <rPh sb="19" eb="21">
      <t>ブンヤ</t>
    </rPh>
    <rPh sb="22" eb="24">
      <t>トクセイ</t>
    </rPh>
    <rPh sb="25" eb="26">
      <t>オウ</t>
    </rPh>
    <rPh sb="28" eb="30">
      <t>シサク</t>
    </rPh>
    <rPh sb="30" eb="32">
      <t>ヒョウカ</t>
    </rPh>
    <rPh sb="33" eb="35">
      <t>ジッシ</t>
    </rPh>
    <phoneticPr fontId="4"/>
  </si>
  <si>
    <t>県計画等の策定・改定の際に，それぞれの分野の特性に応じた施策評価を実施することとした。</t>
    <phoneticPr fontId="4"/>
  </si>
  <si>
    <t>評価を廃止したため</t>
    <rPh sb="0" eb="2">
      <t>ヒョウカ</t>
    </rPh>
    <rPh sb="3" eb="5">
      <t>ハイシ</t>
    </rPh>
    <phoneticPr fontId="4"/>
  </si>
  <si>
    <t>市営住宅の専用駐車場としての要望があり、その調整等で導入が遅れたが、令和5年度からの導入に向け作業を進めている。</t>
    <phoneticPr fontId="4"/>
  </si>
  <si>
    <t>○</t>
    <phoneticPr fontId="4"/>
  </si>
  <si>
    <t>○</t>
    <phoneticPr fontId="4"/>
  </si>
  <si>
    <t>○</t>
    <phoneticPr fontId="4"/>
  </si>
  <si>
    <t>令和４年４～６月</t>
    <rPh sb="0" eb="2">
      <t>レイワ</t>
    </rPh>
    <rPh sb="3" eb="4">
      <t>ネン</t>
    </rPh>
    <rPh sb="7" eb="8">
      <t>ガツ</t>
    </rPh>
    <phoneticPr fontId="4"/>
  </si>
  <si>
    <t>　未導入施設のうち、船越家族旅行村は、施設内の一部が復興工事を行っている状態であることから、復旧後、再開等に向けた検討を行う必要がある。陸前高田オートキャンプ場は、再開に向けて令和４年度に施設の整備を行う予定であることから、整備後、再開等に向けた検討を行う必要がある。
　吉里吉里フィッシャリーナ及び箱崎フィッシャリーナは、指定管理導入によるメリットが少ないため、直営管理としている。</t>
    <rPh sb="1" eb="4">
      <t>ミドウニュウ</t>
    </rPh>
    <rPh sb="4" eb="6">
      <t>シセツ</t>
    </rPh>
    <rPh sb="23" eb="25">
      <t>イチブ</t>
    </rPh>
    <rPh sb="26" eb="28">
      <t>フッコウ</t>
    </rPh>
    <rPh sb="31" eb="32">
      <t>オコナ</t>
    </rPh>
    <rPh sb="36" eb="38">
      <t>ジョウタイ</t>
    </rPh>
    <rPh sb="46" eb="49">
      <t>フッキュウゴ</t>
    </rPh>
    <rPh sb="112" eb="114">
      <t>セイビ</t>
    </rPh>
    <rPh sb="126" eb="127">
      <t>オコナ</t>
    </rPh>
    <rPh sb="136" eb="140">
      <t>キリキリ</t>
    </rPh>
    <rPh sb="148" eb="149">
      <t>オヨ</t>
    </rPh>
    <rPh sb="150" eb="152">
      <t>ハコザキ</t>
    </rPh>
    <rPh sb="162" eb="166">
      <t>シテイカンリ</t>
    </rPh>
    <rPh sb="166" eb="168">
      <t>ドウニュウ</t>
    </rPh>
    <rPh sb="176" eb="177">
      <t>スク</t>
    </rPh>
    <rPh sb="182" eb="184">
      <t>チョクエイ</t>
    </rPh>
    <rPh sb="184" eb="186">
      <t>カンリ</t>
    </rPh>
    <phoneticPr fontId="4"/>
  </si>
  <si>
    <t>　未導入施設の県立野外活動センターは、東日本大震災津波による被害から復旧・移転し、令和３年４月に開所した。
　当面の間（２～３年）は、体制づくり等のため、県が直営で管理することとしたものである。</t>
    <rPh sb="1" eb="4">
      <t>ミドウニュウ</t>
    </rPh>
    <rPh sb="4" eb="6">
      <t>シセツ</t>
    </rPh>
    <rPh sb="7" eb="9">
      <t>ケンリツ</t>
    </rPh>
    <rPh sb="30" eb="32">
      <t>ヒガイ</t>
    </rPh>
    <rPh sb="34" eb="36">
      <t>フッキュウ</t>
    </rPh>
    <rPh sb="37" eb="39">
      <t>イテン</t>
    </rPh>
    <rPh sb="41" eb="43">
      <t>レイワ</t>
    </rPh>
    <rPh sb="44" eb="45">
      <t>ネン</t>
    </rPh>
    <rPh sb="46" eb="47">
      <t>ガツ</t>
    </rPh>
    <rPh sb="48" eb="50">
      <t>カイショ</t>
    </rPh>
    <rPh sb="55" eb="57">
      <t>トウメン</t>
    </rPh>
    <rPh sb="58" eb="59">
      <t>カン</t>
    </rPh>
    <rPh sb="63" eb="64">
      <t>ネン</t>
    </rPh>
    <rPh sb="67" eb="69">
      <t>タイセイ</t>
    </rPh>
    <rPh sb="72" eb="73">
      <t>トウ</t>
    </rPh>
    <rPh sb="77" eb="78">
      <t>ケン</t>
    </rPh>
    <phoneticPr fontId="4"/>
  </si>
  <si>
    <r>
      <t>児童生徒の発達段階や様々な目的に応じた体験活動プログラムの開発、</t>
    </r>
    <r>
      <rPr>
        <strike/>
        <sz val="11"/>
        <rFont val="ＭＳ ゴシック"/>
        <family val="3"/>
        <charset val="128"/>
      </rPr>
      <t>や</t>
    </r>
    <r>
      <rPr>
        <sz val="11"/>
        <rFont val="ＭＳ ゴシック"/>
        <family val="3"/>
        <charset val="128"/>
      </rPr>
      <t>青少年指導者の養成、不登校児童生徒やひとり親家庭に対する支援事業等、野外活動や児童生徒の心理面でのケアなど高い専門性を必要とするため。</t>
    </r>
    <rPh sb="0" eb="2">
      <t>ジドウ</t>
    </rPh>
    <rPh sb="2" eb="4">
      <t>セイト</t>
    </rPh>
    <rPh sb="5" eb="7">
      <t>ハッタツ</t>
    </rPh>
    <rPh sb="7" eb="9">
      <t>ダンカイ</t>
    </rPh>
    <rPh sb="10" eb="12">
      <t>サマザマ</t>
    </rPh>
    <rPh sb="13" eb="15">
      <t>モクテキ</t>
    </rPh>
    <rPh sb="16" eb="17">
      <t>オウ</t>
    </rPh>
    <rPh sb="19" eb="21">
      <t>タイケン</t>
    </rPh>
    <rPh sb="21" eb="23">
      <t>カツドウ</t>
    </rPh>
    <rPh sb="29" eb="31">
      <t>カイハツ</t>
    </rPh>
    <rPh sb="33" eb="36">
      <t>セイショウネン</t>
    </rPh>
    <rPh sb="36" eb="39">
      <t>シドウシャ</t>
    </rPh>
    <rPh sb="40" eb="42">
      <t>ヨウセイ</t>
    </rPh>
    <rPh sb="43" eb="46">
      <t>フトウコウ</t>
    </rPh>
    <rPh sb="46" eb="48">
      <t>ジドウ</t>
    </rPh>
    <rPh sb="48" eb="50">
      <t>セイト</t>
    </rPh>
    <rPh sb="54" eb="55">
      <t>オヤ</t>
    </rPh>
    <rPh sb="55" eb="57">
      <t>カテイ</t>
    </rPh>
    <rPh sb="58" eb="59">
      <t>タイ</t>
    </rPh>
    <rPh sb="61" eb="63">
      <t>シエン</t>
    </rPh>
    <rPh sb="63" eb="65">
      <t>ジギョウ</t>
    </rPh>
    <rPh sb="65" eb="66">
      <t>トウ</t>
    </rPh>
    <rPh sb="67" eb="69">
      <t>ヤガイ</t>
    </rPh>
    <rPh sb="69" eb="71">
      <t>カツドウ</t>
    </rPh>
    <rPh sb="72" eb="74">
      <t>ジドウ</t>
    </rPh>
    <rPh sb="74" eb="76">
      <t>セイト</t>
    </rPh>
    <rPh sb="77" eb="80">
      <t>シンリメン</t>
    </rPh>
    <rPh sb="86" eb="87">
      <t>タカ</t>
    </rPh>
    <rPh sb="88" eb="91">
      <t>センモンセイ</t>
    </rPh>
    <rPh sb="92" eb="94">
      <t>ヒツヨウ</t>
    </rPh>
    <phoneticPr fontId="9"/>
  </si>
  <si>
    <t>平成20年度に指定管理者制度を導入した特別賃貸府営住宅等に続き、平成31年度から令和3年度にかけ、公営住宅について、指定管理者制度を導入し、対象施設を順次拡大（残る8施設は、市町村公営住宅との併設であるため、市町村による管理代行により対応しているもの）</t>
    <rPh sb="0" eb="2">
      <t>ヘイセイ</t>
    </rPh>
    <rPh sb="4" eb="6">
      <t>ネンド</t>
    </rPh>
    <rPh sb="7" eb="9">
      <t>シテイ</t>
    </rPh>
    <rPh sb="9" eb="12">
      <t>カンリシャ</t>
    </rPh>
    <rPh sb="12" eb="14">
      <t>セイド</t>
    </rPh>
    <rPh sb="15" eb="17">
      <t>ドウニュウ</t>
    </rPh>
    <rPh sb="19" eb="21">
      <t>トクベツ</t>
    </rPh>
    <rPh sb="21" eb="23">
      <t>チンタイ</t>
    </rPh>
    <rPh sb="23" eb="25">
      <t>フエイ</t>
    </rPh>
    <rPh sb="25" eb="27">
      <t>ジュウタク</t>
    </rPh>
    <rPh sb="27" eb="28">
      <t>ナド</t>
    </rPh>
    <rPh sb="29" eb="30">
      <t>ツヅ</t>
    </rPh>
    <rPh sb="32" eb="34">
      <t>ヘイセイ</t>
    </rPh>
    <rPh sb="36" eb="38">
      <t>ネンド</t>
    </rPh>
    <rPh sb="40" eb="42">
      <t>レイワ</t>
    </rPh>
    <rPh sb="43" eb="45">
      <t>ネンド</t>
    </rPh>
    <rPh sb="49" eb="51">
      <t>コウエイ</t>
    </rPh>
    <rPh sb="51" eb="53">
      <t>ジュウタク</t>
    </rPh>
    <rPh sb="58" eb="60">
      <t>シテイ</t>
    </rPh>
    <rPh sb="60" eb="63">
      <t>カンリシャ</t>
    </rPh>
    <rPh sb="63" eb="65">
      <t>セイド</t>
    </rPh>
    <rPh sb="66" eb="68">
      <t>ドウニュウ</t>
    </rPh>
    <rPh sb="70" eb="72">
      <t>タイショウ</t>
    </rPh>
    <rPh sb="72" eb="74">
      <t>シセツ</t>
    </rPh>
    <rPh sb="75" eb="77">
      <t>ジュンジ</t>
    </rPh>
    <rPh sb="77" eb="79">
      <t>カクダイ</t>
    </rPh>
    <rPh sb="80" eb="81">
      <t>ノコ</t>
    </rPh>
    <rPh sb="83" eb="85">
      <t>シセツ</t>
    </rPh>
    <rPh sb="87" eb="90">
      <t>シチョウソン</t>
    </rPh>
    <rPh sb="90" eb="92">
      <t>コウエイ</t>
    </rPh>
    <rPh sb="92" eb="94">
      <t>ジュウタク</t>
    </rPh>
    <rPh sb="96" eb="98">
      <t>ヘイセツ</t>
    </rPh>
    <rPh sb="104" eb="107">
      <t>シチョウソン</t>
    </rPh>
    <rPh sb="110" eb="112">
      <t>カンリ</t>
    </rPh>
    <rPh sb="112" eb="114">
      <t>ダイコウ</t>
    </rPh>
    <rPh sb="117" eb="119">
      <t>タイオウ</t>
    </rPh>
    <phoneticPr fontId="4"/>
  </si>
  <si>
    <t>・県内の市町設置図書館のセンター的機能を有する必要がある
・他都道府県立図書館での導入事例が少ない(R2時点：58館中8館)
・専門性や政策的判断が必要な業務などは、同制度を導入した図書館でも全て直営で運営</t>
    <phoneticPr fontId="4"/>
  </si>
  <si>
    <t>【実施済】
旅費業務については、既に全部局へ導入済み。
本庁首長部局について、令和３年８月に庶務事務システム（給与業務・福利厚生業務）を導入済み。
【実施予定】
本庁以外の首長部局（地方局・支局・地方機関）について、令和４年中に庶務事務システム（給与業務・福利厚生業務）を展開予定。</t>
    <rPh sb="1" eb="3">
      <t>ジッシ</t>
    </rPh>
    <rPh sb="3" eb="4">
      <t>ズ</t>
    </rPh>
    <rPh sb="44" eb="45">
      <t>ガツ</t>
    </rPh>
    <rPh sb="70" eb="71">
      <t>ズ</t>
    </rPh>
    <rPh sb="76" eb="78">
      <t>ジッシ</t>
    </rPh>
    <rPh sb="78" eb="80">
      <t>ヨテイ</t>
    </rPh>
    <rPh sb="82" eb="84">
      <t>ホンチョウ</t>
    </rPh>
    <rPh sb="84" eb="86">
      <t>イガイ</t>
    </rPh>
    <rPh sb="87" eb="89">
      <t>クビチョウ</t>
    </rPh>
    <rPh sb="89" eb="91">
      <t>ブキョク</t>
    </rPh>
    <rPh sb="92" eb="95">
      <t>チホウキョク</t>
    </rPh>
    <rPh sb="96" eb="98">
      <t>シキョク</t>
    </rPh>
    <rPh sb="99" eb="103">
      <t>チホウキカン</t>
    </rPh>
    <rPh sb="109" eb="111">
      <t>レイワ</t>
    </rPh>
    <rPh sb="112" eb="113">
      <t>ネン</t>
    </rPh>
    <rPh sb="113" eb="114">
      <t>ナカ</t>
    </rPh>
    <rPh sb="115" eb="119">
      <t>ショムジム</t>
    </rPh>
    <rPh sb="124" eb="128">
      <t>キュウヨギョウム</t>
    </rPh>
    <rPh sb="129" eb="133">
      <t>フクリコウセイ</t>
    </rPh>
    <rPh sb="133" eb="135">
      <t>ギョウム</t>
    </rPh>
    <rPh sb="137" eb="139">
      <t>テンカイ</t>
    </rPh>
    <rPh sb="139" eb="141">
      <t>ヨテイ</t>
    </rPh>
    <phoneticPr fontId="4"/>
  </si>
  <si>
    <t>　</t>
    <phoneticPr fontId="4"/>
  </si>
  <si>
    <t>政策に対する行政評価を導入していないため</t>
    <rPh sb="0" eb="2">
      <t>セイサク</t>
    </rPh>
    <rPh sb="3" eb="4">
      <t>タイ</t>
    </rPh>
    <rPh sb="6" eb="8">
      <t>ギョウセイ</t>
    </rPh>
    <rPh sb="8" eb="10">
      <t>ヒョウカ</t>
    </rPh>
    <rPh sb="11" eb="13">
      <t>ドウニュウ</t>
    </rPh>
    <phoneticPr fontId="36"/>
  </si>
  <si>
    <t>将来像等を示した基本構想のため、評価は施策等において実施している。</t>
    <rPh sb="0" eb="3">
      <t>ショウライゾウ</t>
    </rPh>
    <rPh sb="3" eb="4">
      <t>トウ</t>
    </rPh>
    <rPh sb="5" eb="6">
      <t>シメ</t>
    </rPh>
    <rPh sb="8" eb="10">
      <t>キホン</t>
    </rPh>
    <rPh sb="10" eb="12">
      <t>コウソウ</t>
    </rPh>
    <rPh sb="16" eb="18">
      <t>ヒョウカ</t>
    </rPh>
    <rPh sb="19" eb="21">
      <t>シサク</t>
    </rPh>
    <rPh sb="21" eb="22">
      <t>トウ</t>
    </rPh>
    <rPh sb="26" eb="28">
      <t>ジッシ</t>
    </rPh>
    <phoneticPr fontId="4"/>
  </si>
  <si>
    <t>実施していないため。</t>
    <rPh sb="0" eb="2">
      <t>ジッシ</t>
    </rPh>
    <phoneticPr fontId="4"/>
  </si>
  <si>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</si>
  <si>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</si>
  <si>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公文書館他３施設は、いずれも専門性が高く行政の責任の下行う必要がある業務を有することから、現時点で導入しておりません。</t>
  </si>
  <si>
    <t>公文書館他３施設は、いずれも専門性が高く行政の責任の下行う必要がある業務を有することから、県職員を配置しています。</t>
  </si>
  <si>
    <t>事務事業評価を廃止したため</t>
    <rPh sb="0" eb="6">
      <t>ジムジギョウヒョウカ</t>
    </rPh>
    <rPh sb="7" eb="9">
      <t>ハイシ</t>
    </rPh>
    <phoneticPr fontId="4"/>
  </si>
  <si>
    <t>数十年後の目指すべき将来像や方向性を示すものであり、評価になじまないため。</t>
    <phoneticPr fontId="4"/>
  </si>
  <si>
    <t>政策単位での行政評価を実施していないため。</t>
    <phoneticPr fontId="4"/>
  </si>
  <si>
    <t>円滑な学校運営のため、適時、直接管理が可能な直営で対応しているが、費用対効果の視点で業務内容を分析し、民間委託の検討も含め、業務体制の最適化を図っていく。</t>
    <rPh sb="0" eb="2">
      <t>エンカツ</t>
    </rPh>
    <rPh sb="3" eb="5">
      <t>ガッコウ</t>
    </rPh>
    <rPh sb="5" eb="7">
      <t>ウンエイ</t>
    </rPh>
    <rPh sb="11" eb="13">
      <t>テキジ</t>
    </rPh>
    <rPh sb="16" eb="18">
      <t>カンリ</t>
    </rPh>
    <rPh sb="19" eb="21">
      <t>カノウ</t>
    </rPh>
    <rPh sb="22" eb="24">
      <t>チョクエイ</t>
    </rPh>
    <rPh sb="25" eb="27">
      <t>タイオウ</t>
    </rPh>
    <rPh sb="33" eb="38">
      <t>ヒヨウタイコウカ</t>
    </rPh>
    <rPh sb="39" eb="41">
      <t>シテン</t>
    </rPh>
    <rPh sb="42" eb="44">
      <t>ギョウム</t>
    </rPh>
    <rPh sb="44" eb="46">
      <t>ナイヨウ</t>
    </rPh>
    <rPh sb="47" eb="49">
      <t>ブンセキ</t>
    </rPh>
    <rPh sb="51" eb="53">
      <t>ミンカン</t>
    </rPh>
    <rPh sb="53" eb="55">
      <t>イタク</t>
    </rPh>
    <rPh sb="56" eb="58">
      <t>ケントウ</t>
    </rPh>
    <rPh sb="58" eb="60">
      <t>ヨウケントウ</t>
    </rPh>
    <rPh sb="59" eb="60">
      <t>フク</t>
    </rPh>
    <rPh sb="62" eb="64">
      <t>ギョウム</t>
    </rPh>
    <rPh sb="64" eb="66">
      <t>タイセイ</t>
    </rPh>
    <rPh sb="67" eb="70">
      <t>サイテキカ</t>
    </rPh>
    <rPh sb="71" eb="72">
      <t>ハカ</t>
    </rPh>
    <phoneticPr fontId="4"/>
  </si>
  <si>
    <t>　県営内丸駐車場は、駐車場の管理のみの業務であり、運営の裁量がないことから、指定管理者制度の導入に伴う事務量の増などを勘案すると、直営で運営した方が効率的である。</t>
  </si>
  <si>
    <t>平成２２年度から個別の事務事業ではなく、より上位の政策・施策レベルで評価を行っているため。</t>
  </si>
  <si>
    <t>現在は事務事業評価を行っていないため</t>
  </si>
  <si>
    <t>改築工事のため閉場し、現在直営で管理。開場した後、再度指定管理者制度を導入する見込み。</t>
  </si>
  <si>
    <t>管理代行及び業務委託で対応しているため</t>
    <rPh sb="0" eb="2">
      <t>カンリ</t>
    </rPh>
    <rPh sb="2" eb="4">
      <t>ダイコウ</t>
    </rPh>
    <rPh sb="4" eb="5">
      <t>オヨ</t>
    </rPh>
    <rPh sb="6" eb="8">
      <t>ギョウム</t>
    </rPh>
    <rPh sb="8" eb="10">
      <t>イタク</t>
    </rPh>
    <rPh sb="11" eb="13">
      <t>タイオウ</t>
    </rPh>
    <phoneticPr fontId="2"/>
  </si>
  <si>
    <t>業務の安定性、継続性を考慮したため</t>
  </si>
  <si>
    <t xml:space="preserve">調査研究機能等も有しており業務の安定性、継続性を考慮したため
</t>
    <rPh sb="0" eb="2">
      <t>チョウサ</t>
    </rPh>
    <rPh sb="2" eb="4">
      <t>ケンキュウ</t>
    </rPh>
    <rPh sb="4" eb="7">
      <t>キノウナド</t>
    </rPh>
    <rPh sb="8" eb="9">
      <t>ユウ</t>
    </rPh>
    <rPh sb="13" eb="15">
      <t>ギョウム</t>
    </rPh>
    <rPh sb="16" eb="19">
      <t>アンテイセイ</t>
    </rPh>
    <rPh sb="20" eb="23">
      <t>ケイゾクセイ</t>
    </rPh>
    <rPh sb="24" eb="26">
      <t>コウリョ</t>
    </rPh>
    <phoneticPr fontId="4"/>
  </si>
  <si>
    <t>応札者がなく、今期（R4～R8）は直営としたため。来期も公募を実施する。</t>
    <rPh sb="0" eb="2">
      <t>オウサツ</t>
    </rPh>
    <rPh sb="2" eb="3">
      <t>シャ</t>
    </rPh>
    <rPh sb="7" eb="9">
      <t>コンキ</t>
    </rPh>
    <rPh sb="17" eb="19">
      <t>チョクエイ</t>
    </rPh>
    <rPh sb="25" eb="27">
      <t>ライキ</t>
    </rPh>
    <rPh sb="28" eb="30">
      <t>コウボ</t>
    </rPh>
    <rPh sb="31" eb="33">
      <t>ジッシ</t>
    </rPh>
    <phoneticPr fontId="3"/>
  </si>
  <si>
    <t>市町村立図書館等への支援や資料収集及び高度なレファレンス業務等、道内図書館の中心的役割を担うためには、長期的かつ継続的な視点で専門的知識・経験を有した職員の配置が必要なため。</t>
  </si>
  <si>
    <t>指定管理者制度の導入検討の結果、直営が望ましいとの結論に至ったため。</t>
  </si>
  <si>
    <t>施策ごとの主要な事業を公表しており，その他の事業は公表していない。</t>
    <rPh sb="0" eb="2">
      <t>シサク</t>
    </rPh>
    <rPh sb="5" eb="7">
      <t>シュヨウ</t>
    </rPh>
    <rPh sb="8" eb="10">
      <t>ジギョウ</t>
    </rPh>
    <rPh sb="11" eb="13">
      <t>コウヒョウ</t>
    </rPh>
    <rPh sb="20" eb="21">
      <t>タ</t>
    </rPh>
    <rPh sb="22" eb="24">
      <t>ジギョウ</t>
    </rPh>
    <rPh sb="25" eb="27">
      <t>コウヒョウ</t>
    </rPh>
    <phoneticPr fontId="4"/>
  </si>
  <si>
    <t>美術資料等に関する調査研究、保管及び修復並びに教育普及・生涯学習事業に係る専門的見地から、学芸員及び教員を派遣</t>
  </si>
  <si>
    <t xml:space="preserve">
評価の対象事業に一定要件（金額等）を設けているため。</t>
    <phoneticPr fontId="4"/>
  </si>
  <si>
    <t>※令和4年4月1日現在において、直営で専任職員を置いている団体</t>
    <rPh sb="1" eb="3">
      <t>レイワ</t>
    </rPh>
    <phoneticPr fontId="4"/>
  </si>
  <si>
    <t>（注）令和4年3月31日時点における状況であること。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</si>
</sst>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411]ggge&quot;年&quot;m&quot;月&quot;d&quot;日&quot;;@"/>
  </numFmts>
  <fonts count="49">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sz val="6"/>
      <name val="ＭＳ Ｐゴシック"/>
      <family val="3"/>
      <charset val="128"/>
    </font>
    <font>
      <sz val="6"/>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0"/>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2"/>
      <charset val="128"/>
      <scheme val="minor"/>
    </font>
    <font>
      <b/>
      <sz val="24"/>
      <color theme="1"/>
      <name val="AR Pゴシック体M"/>
      <family val="3"/>
      <charset val="128"/>
    </font>
    <font>
      <b/>
      <sz val="20"/>
      <color theme="1"/>
      <name val="ＭＳ Ｐゴシック"/>
      <family val="3"/>
      <charset val="128"/>
      <scheme val="minor"/>
    </font>
    <font>
      <sz val="6"/>
      <name val="ＭＳ Ｐゴシック"/>
      <family val="2"/>
      <charset val="128"/>
    </font>
    <font>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Ｐゴシック"/>
      <family val="3"/>
      <charset val="128"/>
      <scheme val="minor"/>
    </font>
    <font>
      <sz val="1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2"/>
      <charset val="128"/>
      <scheme val="minor"/>
    </font>
    <font>
      <sz val="16"/>
      <name val="ＭＳ Ｐゴシック"/>
      <family val="3"/>
      <charset val="128"/>
      <scheme val="minor"/>
    </font>
    <font>
      <sz val="14"/>
      <name val="ＭＳ Ｐゴシック"/>
      <family val="3"/>
      <charset val="128"/>
      <scheme val="minor"/>
    </font>
    <font>
      <b/>
      <sz val="18"/>
      <name val="ＭＳ Ｐゴシック"/>
      <family val="3"/>
      <charset val="128"/>
      <scheme val="minor"/>
    </font>
    <font>
      <b/>
      <sz val="11"/>
      <name val="ＭＳ Ｐゴシック"/>
      <family val="3"/>
      <scheme val="minor"/>
    </font>
    <font>
      <sz val="6"/>
      <name val="ＭＳ Ｐゴシック"/>
      <family val="3"/>
      <scheme val="minor"/>
    </font>
    <font>
      <sz val="9"/>
      <color theme="1"/>
      <name val="ＭＳ Ｐゴシック"/>
      <family val="3"/>
      <scheme val="minor"/>
    </font>
    <font>
      <sz val="11"/>
      <color theme="7" tint="0.79998168889431442"/>
      <name val="ＭＳ Ｐゴシック"/>
      <family val="3"/>
      <charset val="128"/>
      <scheme val="minor"/>
    </font>
    <font>
      <sz val="12"/>
      <name val="ＭＳ Ｐゴシック"/>
      <family val="2"/>
      <charset val="128"/>
      <scheme val="minor"/>
    </font>
    <font>
      <b/>
      <sz val="11"/>
      <name val="ＭＳ Ｐゴシック"/>
      <family val="3"/>
      <charset val="128"/>
    </font>
    <font>
      <b/>
      <sz val="9"/>
      <color indexed="81"/>
      <name val="MS P ゴシック"/>
      <family val="3"/>
      <charset val="128"/>
    </font>
    <font>
      <sz val="9"/>
      <color theme="1"/>
      <name val="ＭＳ Ｐゴシック"/>
      <family val="3"/>
      <charset val="128"/>
      <scheme val="minor"/>
    </font>
    <font>
      <sz val="11.5"/>
      <color theme="1"/>
      <name val="ＭＳ Ｐゴシック"/>
      <family val="3"/>
      <charset val="128"/>
      <scheme val="minor"/>
    </font>
    <font>
      <sz val="11"/>
      <name val="ＭＳ Ｐゴシック"/>
      <family val="3"/>
      <scheme val="minor"/>
    </font>
    <font>
      <sz val="11"/>
      <name val="ＭＳ ゴシック"/>
      <family val="3"/>
      <charset val="128"/>
    </font>
    <font>
      <b/>
      <strike/>
      <sz val="11"/>
      <name val="ＭＳ Ｐゴシック"/>
      <family val="3"/>
      <charset val="128"/>
      <scheme val="minor"/>
    </font>
    <font>
      <strike/>
      <sz val="11"/>
      <name val="ＭＳ ゴシック"/>
      <family val="3"/>
      <charset val="128"/>
    </font>
    <font>
      <sz val="11"/>
      <name val="ＭＳ ゴシック"/>
      <family val="3"/>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2F8FE"/>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rgb="FFCCFFFF"/>
      </right>
      <top/>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0" fontId="1" fillId="0" borderId="0">
      <alignment vertical="center"/>
    </xf>
    <xf numFmtId="0" fontId="8" fillId="0" borderId="0"/>
    <xf numFmtId="38" fontId="25" fillId="0" borderId="0" applyFont="0" applyFill="0" applyBorder="0" applyAlignment="0" applyProtection="0">
      <alignment vertical="center"/>
    </xf>
    <xf numFmtId="0" fontId="25" fillId="0" borderId="0">
      <alignment vertical="center"/>
    </xf>
    <xf numFmtId="0" fontId="25" fillId="0" borderId="0">
      <alignment vertical="center"/>
    </xf>
  </cellStyleXfs>
  <cellXfs count="469">
    <xf numFmtId="0" fontId="0" fillId="0" borderId="0" xfId="0">
      <alignment vertical="center"/>
    </xf>
    <xf numFmtId="0" fontId="3" fillId="0" borderId="0" xfId="0" applyFont="1" applyProtection="1">
      <alignment vertical="center"/>
      <protection locked="0"/>
    </xf>
    <xf numFmtId="176" fontId="3" fillId="0" borderId="0" xfId="0" applyNumberFormat="1" applyFont="1" applyFill="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horizontal="right" vertical="center"/>
      <protection locked="0"/>
    </xf>
    <xf numFmtId="10" fontId="3" fillId="0" borderId="0" xfId="0" applyNumberFormat="1" applyFont="1" applyFill="1" applyProtection="1">
      <alignment vertical="center"/>
      <protection locked="0"/>
    </xf>
    <xf numFmtId="0" fontId="3" fillId="0" borderId="0" xfId="0" applyFont="1" applyBorder="1" applyProtection="1">
      <alignment vertical="center"/>
      <protection locked="0"/>
    </xf>
    <xf numFmtId="0" fontId="0" fillId="0" borderId="0" xfId="0" applyBorder="1">
      <alignment vertical="center"/>
    </xf>
    <xf numFmtId="0" fontId="0" fillId="4" borderId="0" xfId="0" applyFill="1" applyBorder="1">
      <alignment vertical="center"/>
    </xf>
    <xf numFmtId="0" fontId="0" fillId="0" borderId="0" xfId="0" applyFill="1" applyBorder="1">
      <alignment vertical="center"/>
    </xf>
    <xf numFmtId="0" fontId="0" fillId="0" borderId="0" xfId="0" applyFill="1">
      <alignment vertical="center"/>
    </xf>
    <xf numFmtId="0" fontId="0" fillId="4" borderId="12" xfId="0" applyFill="1" applyBorder="1" applyAlignment="1">
      <alignment vertical="center"/>
    </xf>
    <xf numFmtId="0" fontId="0" fillId="4" borderId="8" xfId="0" applyFill="1" applyBorder="1">
      <alignment vertical="center"/>
    </xf>
    <xf numFmtId="0" fontId="0" fillId="4" borderId="9" xfId="0" applyFill="1" applyBorder="1">
      <alignment vertical="center"/>
    </xf>
    <xf numFmtId="0" fontId="0" fillId="4" borderId="10" xfId="0" applyFill="1" applyBorder="1" applyAlignment="1">
      <alignment vertical="center"/>
    </xf>
    <xf numFmtId="0" fontId="0" fillId="4" borderId="11" xfId="0" applyFill="1" applyBorder="1">
      <alignment vertical="center"/>
    </xf>
    <xf numFmtId="0" fontId="0" fillId="0" borderId="0" xfId="0" applyFill="1" applyBorder="1" applyAlignment="1">
      <alignment horizontal="left"/>
    </xf>
    <xf numFmtId="0" fontId="12" fillId="0" borderId="0" xfId="0" applyFont="1" applyFill="1" applyBorder="1" applyAlignment="1">
      <alignment vertical="center"/>
    </xf>
    <xf numFmtId="0" fontId="0" fillId="4" borderId="10" xfId="0" applyFill="1" applyBorder="1">
      <alignment vertical="center"/>
    </xf>
    <xf numFmtId="0" fontId="0" fillId="4" borderId="12" xfId="0" applyFill="1" applyBorder="1">
      <alignment vertical="center"/>
    </xf>
    <xf numFmtId="0" fontId="0" fillId="4" borderId="8" xfId="0" applyFill="1" applyBorder="1" applyAlignment="1">
      <alignment vertical="center"/>
    </xf>
    <xf numFmtId="0" fontId="0" fillId="4" borderId="0" xfId="0" applyFill="1" applyBorder="1" applyAlignment="1">
      <alignment vertical="center"/>
    </xf>
    <xf numFmtId="0" fontId="14" fillId="4" borderId="0" xfId="0" applyFont="1" applyFill="1" applyBorder="1" applyAlignment="1">
      <alignment vertical="center"/>
    </xf>
    <xf numFmtId="0" fontId="13" fillId="0" borderId="0" xfId="0" applyFont="1" applyFill="1" applyBorder="1" applyAlignment="1">
      <alignment vertical="top" wrapText="1"/>
    </xf>
    <xf numFmtId="0" fontId="18" fillId="0" borderId="0" xfId="0" applyFont="1" applyFill="1" applyBorder="1" applyAlignment="1">
      <alignment vertical="center"/>
    </xf>
    <xf numFmtId="0" fontId="0" fillId="4" borderId="7" xfId="0" applyFill="1" applyBorder="1">
      <alignment vertical="center"/>
    </xf>
    <xf numFmtId="0" fontId="0" fillId="4" borderId="2" xfId="0" applyFill="1" applyBorder="1">
      <alignment vertical="center"/>
    </xf>
    <xf numFmtId="0" fontId="18" fillId="4" borderId="2" xfId="0" applyFont="1" applyFill="1" applyBorder="1" applyAlignment="1">
      <alignment vertical="center"/>
    </xf>
    <xf numFmtId="0" fontId="0" fillId="4" borderId="1" xfId="0" applyFill="1" applyBorder="1">
      <alignment vertical="center"/>
    </xf>
    <xf numFmtId="0" fontId="0" fillId="4" borderId="2" xfId="0" applyFill="1" applyBorder="1" applyAlignment="1">
      <alignment vertical="center"/>
    </xf>
    <xf numFmtId="0" fontId="0" fillId="0" borderId="0" xfId="0" applyFill="1" applyBorder="1" applyAlignment="1">
      <alignment vertical="center" shrinkToFit="1"/>
    </xf>
    <xf numFmtId="0" fontId="17" fillId="0" borderId="0" xfId="0" applyFont="1" applyFill="1" applyBorder="1" applyAlignment="1">
      <alignment horizontal="right" vertical="top" wrapText="1"/>
    </xf>
    <xf numFmtId="0" fontId="15" fillId="0" borderId="0" xfId="0" applyFont="1" applyFill="1" applyBorder="1" applyAlignment="1">
      <alignment vertical="top"/>
    </xf>
    <xf numFmtId="0" fontId="0" fillId="0" borderId="0" xfId="0" applyFont="1" applyFill="1" applyBorder="1" applyAlignment="1">
      <alignment vertical="top"/>
    </xf>
    <xf numFmtId="0" fontId="14" fillId="0" borderId="0" xfId="0" applyFont="1" applyFill="1" applyBorder="1" applyAlignment="1">
      <alignment horizontal="center" vertical="top"/>
    </xf>
    <xf numFmtId="0" fontId="0" fillId="0" borderId="0" xfId="0" applyAlignment="1">
      <alignmen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20" fillId="0" borderId="0" xfId="0" applyFont="1" applyFill="1" applyBorder="1" applyAlignment="1">
      <alignment vertical="center"/>
    </xf>
    <xf numFmtId="0" fontId="20" fillId="3" borderId="0" xfId="0" applyFont="1" applyFill="1" applyBorder="1" applyAlignment="1">
      <alignment vertical="center"/>
    </xf>
    <xf numFmtId="0" fontId="2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center" vertical="center"/>
    </xf>
    <xf numFmtId="0" fontId="18" fillId="0" borderId="0" xfId="0" applyFont="1" applyProtection="1">
      <alignment vertical="center"/>
      <protection locked="0"/>
    </xf>
    <xf numFmtId="0" fontId="6" fillId="2" borderId="7"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176" fontId="3" fillId="0" borderId="0" xfId="0" applyNumberFormat="1" applyFont="1" applyFill="1" applyBorder="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0" fillId="4" borderId="23" xfId="0" applyFill="1" applyBorder="1">
      <alignment vertical="center"/>
    </xf>
    <xf numFmtId="0" fontId="14" fillId="4" borderId="0" xfId="0" applyFont="1" applyFill="1" applyBorder="1">
      <alignment vertical="center"/>
    </xf>
    <xf numFmtId="0" fontId="14" fillId="4" borderId="2" xfId="0" applyFont="1" applyFill="1" applyBorder="1">
      <alignment vertical="center"/>
    </xf>
    <xf numFmtId="0" fontId="3" fillId="3" borderId="1"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textRotation="255" wrapText="1"/>
      <protection locked="0"/>
    </xf>
    <xf numFmtId="0" fontId="6" fillId="2" borderId="2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textRotation="255"/>
      <protection locked="0"/>
    </xf>
    <xf numFmtId="0" fontId="6" fillId="2" borderId="22" xfId="0" applyFont="1" applyFill="1" applyBorder="1" applyAlignment="1" applyProtection="1">
      <alignment horizontal="center" vertical="center"/>
      <protection locked="0"/>
    </xf>
    <xf numFmtId="0" fontId="6" fillId="4" borderId="0" xfId="0" applyFont="1" applyFill="1" applyBorder="1">
      <alignment vertical="center"/>
    </xf>
    <xf numFmtId="0" fontId="6" fillId="4" borderId="0" xfId="0" applyFont="1" applyFill="1" applyBorder="1" applyAlignment="1">
      <alignment vertical="center" wrapText="1"/>
    </xf>
    <xf numFmtId="0" fontId="6" fillId="4" borderId="0" xfId="0" applyFont="1" applyFill="1" applyBorder="1" applyAlignment="1">
      <alignment vertical="center"/>
    </xf>
    <xf numFmtId="0" fontId="26" fillId="4" borderId="0" xfId="0" applyFont="1" applyFill="1" applyBorder="1" applyAlignment="1">
      <alignment vertical="center"/>
    </xf>
    <xf numFmtId="0" fontId="6" fillId="4" borderId="8" xfId="0" applyFont="1" applyFill="1" applyBorder="1" applyAlignment="1">
      <alignment vertical="center"/>
    </xf>
    <xf numFmtId="0" fontId="34" fillId="4" borderId="0" xfId="0" applyFont="1" applyFill="1" applyBorder="1" applyAlignment="1">
      <alignment vertical="center"/>
    </xf>
    <xf numFmtId="0" fontId="6" fillId="4" borderId="8" xfId="0" applyFont="1" applyFill="1" applyBorder="1">
      <alignment vertical="center"/>
    </xf>
    <xf numFmtId="0" fontId="32" fillId="4" borderId="0" xfId="0" applyFont="1" applyFill="1" applyBorder="1" applyAlignment="1">
      <alignment vertical="center"/>
    </xf>
    <xf numFmtId="0" fontId="32" fillId="4" borderId="0" xfId="0" applyNumberFormat="1" applyFont="1" applyFill="1" applyBorder="1" applyAlignment="1">
      <alignment vertical="center"/>
    </xf>
    <xf numFmtId="0" fontId="6" fillId="4" borderId="0" xfId="0" applyNumberFormat="1" applyFont="1" applyFill="1" applyBorder="1">
      <alignment vertical="center"/>
    </xf>
    <xf numFmtId="0" fontId="32" fillId="4" borderId="8" xfId="0" applyFont="1" applyFill="1" applyBorder="1" applyAlignment="1"/>
    <xf numFmtId="0" fontId="3" fillId="4" borderId="2" xfId="0" applyFont="1" applyFill="1" applyBorder="1" applyAlignment="1">
      <alignment vertical="center"/>
    </xf>
    <xf numFmtId="176" fontId="3" fillId="0" borderId="0" xfId="0" applyNumberFormat="1" applyFont="1" applyFill="1" applyAlignment="1" applyProtection="1">
      <alignment horizontal="center" vertical="center"/>
      <protection locked="0"/>
    </xf>
    <xf numFmtId="10" fontId="3" fillId="0"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38" fillId="0" borderId="0" xfId="0" applyFont="1" applyAlignment="1" applyProtection="1">
      <alignment horizontal="left" vertical="center"/>
      <protection locked="0"/>
    </xf>
    <xf numFmtId="0" fontId="39" fillId="4" borderId="8" xfId="0" applyFont="1" applyFill="1" applyBorder="1" applyAlignment="1">
      <alignment vertical="center"/>
    </xf>
    <xf numFmtId="0" fontId="3" fillId="0" borderId="0" xfId="0" applyFont="1" applyFill="1" applyBorder="1" applyProtection="1">
      <alignment vertical="center"/>
      <protection locked="0"/>
    </xf>
    <xf numFmtId="0" fontId="32" fillId="0" borderId="0" xfId="0" applyFont="1" applyFill="1" applyBorder="1" applyAlignment="1">
      <alignment vertical="center"/>
    </xf>
    <xf numFmtId="0" fontId="6" fillId="0" borderId="0" xfId="0" applyFont="1" applyFill="1" applyBorder="1">
      <alignment vertical="center"/>
    </xf>
    <xf numFmtId="0" fontId="26" fillId="0" borderId="0" xfId="0" applyFont="1" applyFill="1" applyBorder="1" applyAlignment="1">
      <alignment vertical="center" wrapText="1"/>
    </xf>
    <xf numFmtId="0" fontId="18" fillId="4" borderId="0" xfId="0" applyFont="1" applyFill="1" applyBorder="1" applyAlignment="1">
      <alignment vertical="center"/>
    </xf>
    <xf numFmtId="0" fontId="3" fillId="4" borderId="0" xfId="0" applyFont="1" applyFill="1" applyBorder="1" applyAlignment="1">
      <alignment vertical="center"/>
    </xf>
    <xf numFmtId="0" fontId="39" fillId="4" borderId="0" xfId="0" applyFont="1" applyFill="1" applyBorder="1" applyAlignment="1">
      <alignment vertical="center"/>
    </xf>
    <xf numFmtId="0" fontId="12" fillId="4" borderId="0" xfId="0" applyFont="1" applyFill="1" applyBorder="1" applyAlignment="1">
      <alignment vertical="center"/>
    </xf>
    <xf numFmtId="0" fontId="2" fillId="4" borderId="0" xfId="0" applyFont="1" applyFill="1" applyBorder="1" applyAlignment="1">
      <alignment vertical="center"/>
    </xf>
    <xf numFmtId="176" fontId="11" fillId="0" borderId="0" xfId="0" applyNumberFormat="1" applyFont="1" applyFill="1" applyBorder="1" applyAlignment="1">
      <alignment vertical="center"/>
    </xf>
    <xf numFmtId="0" fontId="14" fillId="4" borderId="8" xfId="0" applyFont="1" applyFill="1" applyBorder="1" applyAlignment="1">
      <alignment vertical="center"/>
    </xf>
    <xf numFmtId="0" fontId="27" fillId="4" borderId="0" xfId="0" applyFont="1" applyFill="1" applyBorder="1" applyAlignment="1">
      <alignment vertical="center"/>
    </xf>
    <xf numFmtId="0" fontId="6" fillId="4" borderId="27" xfId="0" applyFont="1" applyFill="1" applyBorder="1" applyAlignment="1">
      <alignment vertical="center"/>
    </xf>
    <xf numFmtId="179" fontId="32" fillId="4" borderId="0" xfId="0" applyNumberFormat="1" applyFont="1" applyFill="1" applyBorder="1" applyAlignment="1">
      <alignment vertical="center"/>
    </xf>
    <xf numFmtId="0" fontId="32" fillId="4" borderId="8" xfId="0" applyFont="1" applyFill="1" applyBorder="1" applyAlignment="1">
      <alignment horizontal="left"/>
    </xf>
    <xf numFmtId="0" fontId="0" fillId="0" borderId="4" xfId="0" applyBorder="1" applyAlignment="1">
      <alignment horizontal="center" vertical="center"/>
    </xf>
    <xf numFmtId="0" fontId="3" fillId="0" borderId="0" xfId="0" applyFont="1" applyFill="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0" fillId="0" borderId="0" xfId="0" applyFont="1" applyFill="1" applyAlignment="1" applyProtection="1">
      <alignment horizontal="left" vertical="center" wrapText="1"/>
      <protection locked="0"/>
    </xf>
    <xf numFmtId="49" fontId="44"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6" fillId="0" borderId="20"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0" fillId="0" borderId="0" xfId="4" applyFont="1" applyFill="1" applyAlignment="1" applyProtection="1">
      <alignment horizontal="left" vertical="center" wrapText="1"/>
      <protection locked="0"/>
    </xf>
    <xf numFmtId="0" fontId="6" fillId="0" borderId="20" xfId="0" applyFont="1" applyFill="1" applyBorder="1" applyAlignment="1" applyProtection="1">
      <alignment vertical="center" wrapText="1"/>
    </xf>
    <xf numFmtId="0" fontId="6" fillId="0" borderId="2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protection locked="0"/>
    </xf>
    <xf numFmtId="0" fontId="3" fillId="2" borderId="23" xfId="1"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textRotation="255" wrapText="1"/>
      <protection locked="0"/>
    </xf>
    <xf numFmtId="0" fontId="42" fillId="2" borderId="20" xfId="0" applyFont="1" applyFill="1" applyBorder="1" applyAlignment="1" applyProtection="1">
      <alignment horizontal="center" vertical="center" textRotation="255" wrapText="1"/>
      <protection locked="0"/>
    </xf>
    <xf numFmtId="0" fontId="43" fillId="2" borderId="20" xfId="0" applyFont="1" applyFill="1" applyBorder="1" applyAlignment="1" applyProtection="1">
      <alignment horizontal="center" vertical="center" textRotation="255" wrapText="1"/>
      <protection locked="0"/>
    </xf>
    <xf numFmtId="0" fontId="6" fillId="3" borderId="20" xfId="0" applyFont="1" applyFill="1" applyBorder="1" applyAlignment="1" applyProtection="1">
      <alignment vertical="center" textRotation="255" wrapText="1"/>
      <protection locked="0"/>
    </xf>
    <xf numFmtId="0" fontId="3" fillId="0" borderId="22" xfId="0" applyFont="1" applyBorder="1" applyAlignment="1" applyProtection="1">
      <alignment vertical="center" textRotation="255"/>
      <protection locked="0"/>
    </xf>
    <xf numFmtId="0" fontId="6" fillId="0" borderId="22" xfId="0" applyFont="1" applyBorder="1" applyAlignment="1" applyProtection="1">
      <alignment vertical="center" textRotation="255" wrapText="1"/>
      <protection locked="0"/>
    </xf>
    <xf numFmtId="0" fontId="6" fillId="3" borderId="22" xfId="0" applyFont="1" applyFill="1" applyBorder="1" applyAlignment="1" applyProtection="1">
      <alignment vertical="center" textRotation="255"/>
      <protection locked="0"/>
    </xf>
    <xf numFmtId="0" fontId="6" fillId="0" borderId="22" xfId="0" applyFont="1" applyBorder="1" applyAlignment="1" applyProtection="1">
      <alignment vertical="center" textRotation="255"/>
      <protection locked="0"/>
    </xf>
    <xf numFmtId="0" fontId="6" fillId="3" borderId="22" xfId="0" applyFont="1" applyFill="1" applyBorder="1" applyAlignment="1" applyProtection="1">
      <alignment vertical="center" textRotation="255" wrapText="1"/>
      <protection locked="0"/>
    </xf>
    <xf numFmtId="0" fontId="3" fillId="0" borderId="23" xfId="0" applyFont="1" applyFill="1" applyBorder="1" applyAlignment="1" applyProtection="1">
      <alignment horizontal="center" vertical="center" textRotation="255" wrapText="1"/>
      <protection locked="0"/>
    </xf>
    <xf numFmtId="0" fontId="6" fillId="2" borderId="23"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textRotation="255"/>
      <protection locked="0"/>
    </xf>
    <xf numFmtId="0" fontId="3" fillId="2" borderId="22" xfId="0" applyFont="1" applyFill="1" applyBorder="1" applyAlignment="1" applyProtection="1">
      <alignment horizontal="center" vertical="center" textRotation="255"/>
      <protection locked="0"/>
    </xf>
    <xf numFmtId="0" fontId="3" fillId="2" borderId="22" xfId="0" applyFont="1" applyFill="1" applyBorder="1" applyAlignment="1" applyProtection="1">
      <alignment vertical="center" textRotation="255"/>
      <protection locked="0"/>
    </xf>
    <xf numFmtId="0" fontId="3" fillId="2" borderId="22" xfId="0" applyFont="1" applyFill="1" applyBorder="1" applyAlignment="1" applyProtection="1">
      <alignment vertical="center" textRotation="255" wrapText="1"/>
      <protection locked="0"/>
    </xf>
    <xf numFmtId="0" fontId="3" fillId="2" borderId="20" xfId="0" applyFont="1" applyFill="1" applyBorder="1" applyAlignment="1" applyProtection="1">
      <alignment horizontal="center" vertical="center" wrapText="1"/>
      <protection locked="0"/>
    </xf>
    <xf numFmtId="0" fontId="3" fillId="0" borderId="20" xfId="0" applyFont="1" applyBorder="1" applyAlignment="1" applyProtection="1">
      <alignment vertical="center" textRotation="255"/>
      <protection locked="0"/>
    </xf>
    <xf numFmtId="0" fontId="6" fillId="0" borderId="20" xfId="0" applyFont="1" applyBorder="1" applyAlignment="1" applyProtection="1">
      <alignment vertical="center" textRotation="255" wrapText="1"/>
      <protection locked="0"/>
    </xf>
    <xf numFmtId="0" fontId="6" fillId="3" borderId="20" xfId="0" applyFont="1" applyFill="1" applyBorder="1" applyAlignment="1" applyProtection="1">
      <alignment vertical="center" textRotation="255"/>
      <protection locked="0"/>
    </xf>
    <xf numFmtId="0" fontId="6" fillId="0" borderId="20" xfId="0" applyFont="1" applyBorder="1" applyAlignment="1" applyProtection="1">
      <alignment vertical="center" textRotation="255"/>
      <protection locked="0"/>
    </xf>
    <xf numFmtId="0" fontId="6" fillId="2" borderId="20" xfId="0" applyFont="1" applyFill="1" applyBorder="1" applyAlignment="1" applyProtection="1">
      <alignment horizontal="center" vertical="center" textRotation="255" wrapText="1"/>
      <protection locked="0"/>
    </xf>
    <xf numFmtId="0" fontId="6" fillId="0" borderId="20" xfId="0" applyFont="1" applyFill="1" applyBorder="1" applyAlignment="1" applyProtection="1">
      <alignment horizontal="center" vertical="center" wrapText="1"/>
      <protection locked="0"/>
    </xf>
    <xf numFmtId="176" fontId="3" fillId="2" borderId="20" xfId="0" applyNumberFormat="1" applyFont="1" applyFill="1" applyBorder="1" applyAlignment="1" applyProtection="1">
      <alignment horizontal="center" vertical="center" wrapText="1"/>
      <protection locked="0"/>
    </xf>
    <xf numFmtId="10" fontId="3" fillId="2" borderId="20" xfId="0" applyNumberFormat="1"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textRotation="255"/>
      <protection locked="0"/>
    </xf>
    <xf numFmtId="0" fontId="3" fillId="2" borderId="20" xfId="1" applyFont="1" applyFill="1" applyBorder="1" applyAlignment="1" applyProtection="1">
      <alignment horizontal="center" vertical="center" wrapText="1"/>
      <protection locked="0"/>
    </xf>
    <xf numFmtId="0" fontId="3" fillId="2" borderId="20" xfId="0" applyFont="1" applyFill="1" applyBorder="1" applyAlignment="1" applyProtection="1">
      <alignment vertical="center" textRotation="255"/>
      <protection locked="0"/>
    </xf>
    <xf numFmtId="0" fontId="3" fillId="2" borderId="20" xfId="0" applyFont="1" applyFill="1" applyBorder="1" applyAlignment="1" applyProtection="1">
      <alignment vertical="center" textRotation="255" wrapText="1"/>
      <protection locked="0"/>
    </xf>
    <xf numFmtId="0" fontId="3" fillId="0" borderId="0" xfId="0" applyFont="1" applyBorder="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0"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0" fillId="0" borderId="0" xfId="4" applyFont="1" applyFill="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45" fillId="0" borderId="4" xfId="0" applyFont="1" applyFill="1" applyBorder="1" applyAlignment="1">
      <alignment horizontal="center" vertical="center"/>
    </xf>
    <xf numFmtId="0" fontId="45" fillId="0" borderId="30" xfId="0" applyFont="1" applyFill="1" applyBorder="1" applyAlignment="1">
      <alignment horizontal="center" vertical="center"/>
    </xf>
    <xf numFmtId="0" fontId="45" fillId="0" borderId="29" xfId="0" applyFont="1" applyFill="1" applyBorder="1" applyAlignment="1">
      <alignment vertical="center" wrapText="1"/>
    </xf>
    <xf numFmtId="0" fontId="28" fillId="0" borderId="4" xfId="0" applyFont="1" applyFill="1" applyBorder="1" applyAlignment="1">
      <alignment horizontal="left" vertical="center" wrapText="1"/>
    </xf>
    <xf numFmtId="49" fontId="13" fillId="0" borderId="4" xfId="0" applyNumberFormat="1"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center" vertical="center" wrapText="1"/>
    </xf>
    <xf numFmtId="0" fontId="13" fillId="0" borderId="20" xfId="0" applyNumberFormat="1" applyFont="1" applyFill="1" applyBorder="1" applyAlignment="1" applyProtection="1">
      <alignment horizontal="center" vertical="center" wrapText="1"/>
      <protection locked="0"/>
    </xf>
    <xf numFmtId="177" fontId="13" fillId="0" borderId="4" xfId="0" applyNumberFormat="1" applyFont="1" applyFill="1" applyBorder="1" applyAlignment="1" applyProtection="1">
      <alignment horizontal="center" vertical="center" wrapText="1"/>
      <protection locked="0"/>
    </xf>
    <xf numFmtId="176" fontId="13" fillId="0" borderId="4" xfId="0" applyNumberFormat="1" applyFont="1" applyFill="1" applyBorder="1" applyAlignment="1" applyProtection="1">
      <alignment horizontal="right" vertical="center" wrapText="1"/>
    </xf>
    <xf numFmtId="49" fontId="13" fillId="0" borderId="4" xfId="4" applyNumberFormat="1" applyFont="1" applyFill="1" applyBorder="1" applyAlignment="1" applyProtection="1">
      <alignment horizontal="center" vertical="center" wrapText="1"/>
      <protection locked="0"/>
    </xf>
    <xf numFmtId="0" fontId="13" fillId="0" borderId="4" xfId="4" applyFont="1" applyFill="1" applyBorder="1" applyAlignment="1" applyProtection="1">
      <alignment horizontal="center" vertical="center" wrapText="1"/>
      <protection locked="0"/>
    </xf>
    <xf numFmtId="0" fontId="13" fillId="0" borderId="4" xfId="4" applyNumberFormat="1" applyFont="1" applyFill="1" applyBorder="1" applyAlignment="1" applyProtection="1">
      <alignment horizontal="center" vertical="center" wrapText="1"/>
      <protection locked="0"/>
    </xf>
    <xf numFmtId="0" fontId="13" fillId="0" borderId="4" xfId="4" applyFont="1" applyFill="1" applyBorder="1" applyAlignment="1" applyProtection="1">
      <alignment horizontal="left" vertical="center" wrapText="1"/>
      <protection locked="0"/>
    </xf>
    <xf numFmtId="0" fontId="13" fillId="0" borderId="4" xfId="4" applyFont="1" applyFill="1" applyBorder="1" applyAlignment="1" applyProtection="1">
      <alignment horizontal="center" vertical="center" wrapText="1"/>
    </xf>
    <xf numFmtId="0" fontId="13" fillId="0" borderId="20" xfId="4" applyNumberFormat="1" applyFont="1" applyFill="1" applyBorder="1" applyAlignment="1" applyProtection="1">
      <alignment horizontal="center" vertical="center" wrapText="1"/>
      <protection locked="0"/>
    </xf>
    <xf numFmtId="177" fontId="13" fillId="0" borderId="4" xfId="4" applyNumberFormat="1" applyFont="1" applyFill="1" applyBorder="1" applyAlignment="1" applyProtection="1">
      <alignment horizontal="center" vertical="center" wrapText="1"/>
      <protection locked="0"/>
    </xf>
    <xf numFmtId="176" fontId="13" fillId="0" borderId="4" xfId="4" applyNumberFormat="1" applyFont="1" applyFill="1" applyBorder="1" applyAlignment="1" applyProtection="1">
      <alignment horizontal="right" vertical="center" wrapText="1"/>
    </xf>
    <xf numFmtId="0" fontId="28" fillId="0" borderId="4" xfId="0" applyFont="1" applyFill="1" applyBorder="1" applyAlignment="1" applyProtection="1">
      <alignment horizontal="left" vertical="center" wrapText="1"/>
      <protection locked="0"/>
    </xf>
    <xf numFmtId="0" fontId="46" fillId="0" borderId="4"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center" vertical="center" wrapText="1"/>
    </xf>
    <xf numFmtId="177" fontId="44" fillId="0" borderId="4" xfId="0" applyNumberFormat="1" applyFont="1" applyFill="1" applyBorder="1" applyAlignment="1" applyProtection="1">
      <alignment horizontal="center" vertical="center" wrapText="1"/>
      <protection locked="0"/>
    </xf>
    <xf numFmtId="0" fontId="44"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49" fontId="25" fillId="0" borderId="4" xfId="0" applyNumberFormat="1"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left" vertical="center" wrapText="1"/>
      <protection locked="0"/>
    </xf>
    <xf numFmtId="0" fontId="25" fillId="0" borderId="4"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protection locked="0"/>
    </xf>
    <xf numFmtId="177" fontId="25" fillId="0" borderId="4" xfId="0" applyNumberFormat="1" applyFont="1" applyFill="1" applyBorder="1" applyAlignment="1" applyProtection="1">
      <alignment horizontal="center" vertical="center" wrapText="1"/>
      <protection locked="0"/>
    </xf>
    <xf numFmtId="176" fontId="25" fillId="0" borderId="4"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left" vertical="top" wrapText="1"/>
      <protection locked="0"/>
    </xf>
    <xf numFmtId="0" fontId="6" fillId="0" borderId="4" xfId="0" applyFont="1" applyFill="1" applyBorder="1" applyAlignment="1">
      <alignment horizontal="center" vertical="center" wrapText="1"/>
    </xf>
    <xf numFmtId="176" fontId="6" fillId="0" borderId="22" xfId="0" applyNumberFormat="1" applyFont="1" applyFill="1" applyBorder="1" applyAlignment="1" applyProtection="1">
      <alignment horizontal="right" vertical="center" wrapText="1"/>
    </xf>
    <xf numFmtId="0" fontId="5" fillId="0" borderId="21" xfId="0" applyFont="1" applyFill="1" applyBorder="1" applyProtection="1">
      <alignment vertical="center"/>
      <protection locked="0"/>
    </xf>
    <xf numFmtId="0" fontId="5" fillId="0" borderId="21" xfId="0" applyFont="1" applyFill="1" applyBorder="1" applyAlignment="1" applyProtection="1">
      <alignment horizontal="center" vertical="center"/>
      <protection locked="0"/>
    </xf>
    <xf numFmtId="0" fontId="5" fillId="0" borderId="21" xfId="0" applyFont="1" applyFill="1" applyBorder="1" applyAlignment="1" applyProtection="1">
      <alignment horizontal="right" vertical="center"/>
      <protection locked="0"/>
    </xf>
    <xf numFmtId="0" fontId="6" fillId="0" borderId="21" xfId="0" applyFont="1" applyFill="1" applyBorder="1" applyAlignment="1" applyProtection="1">
      <alignment horizontal="center" vertical="center" wrapText="1"/>
    </xf>
    <xf numFmtId="0" fontId="5" fillId="0" borderId="20" xfId="0" applyFont="1" applyFill="1" applyBorder="1" applyProtection="1">
      <alignment vertical="center"/>
      <protection locked="0"/>
    </xf>
    <xf numFmtId="0" fontId="6" fillId="0" borderId="20" xfId="0" applyFont="1" applyFill="1" applyBorder="1" applyProtection="1">
      <alignment vertical="center"/>
      <protection locked="0"/>
    </xf>
    <xf numFmtId="176" fontId="5" fillId="0" borderId="4" xfId="0" applyNumberFormat="1" applyFont="1" applyFill="1" applyBorder="1" applyAlignment="1" applyProtection="1">
      <alignment horizontal="center" vertical="center"/>
      <protection locked="0"/>
    </xf>
    <xf numFmtId="176" fontId="6" fillId="0" borderId="20" xfId="3" applyNumberFormat="1" applyFont="1" applyFill="1" applyBorder="1" applyAlignment="1" applyProtection="1">
      <alignment horizontal="center" vertical="center" wrapText="1"/>
    </xf>
    <xf numFmtId="0" fontId="44" fillId="0" borderId="4" xfId="0" applyFont="1" applyFill="1" applyBorder="1" applyAlignment="1" applyProtection="1">
      <alignment horizontal="left" vertical="center" wrapText="1"/>
      <protection locked="0"/>
    </xf>
    <xf numFmtId="0" fontId="44" fillId="0" borderId="4" xfId="0"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protection locked="0"/>
    </xf>
    <xf numFmtId="176" fontId="44" fillId="0" borderId="4" xfId="0" applyNumberFormat="1" applyFont="1" applyFill="1" applyBorder="1" applyAlignment="1" applyProtection="1">
      <alignment horizontal="right" vertical="center" wrapText="1"/>
    </xf>
    <xf numFmtId="0" fontId="48" fillId="0" borderId="4" xfId="0" applyFont="1" applyFill="1" applyBorder="1" applyAlignment="1">
      <alignment horizontal="center" vertical="center"/>
    </xf>
    <xf numFmtId="0" fontId="6" fillId="0" borderId="30" xfId="0" applyFont="1" applyFill="1" applyBorder="1" applyAlignment="1" applyProtection="1">
      <alignment horizontal="center" vertical="center" wrapText="1"/>
      <protection locked="0"/>
    </xf>
    <xf numFmtId="0" fontId="6" fillId="0" borderId="30" xfId="0"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lignment horizontal="right" vertical="center" wrapText="1"/>
    </xf>
    <xf numFmtId="0" fontId="13" fillId="0" borderId="4" xfId="0" applyFont="1" applyFill="1" applyBorder="1" applyAlignment="1">
      <alignment vertical="center" wrapText="1"/>
    </xf>
    <xf numFmtId="177" fontId="6" fillId="0" borderId="4"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xf>
    <xf numFmtId="0" fontId="6" fillId="0" borderId="31" xfId="0" applyFont="1" applyFill="1" applyBorder="1" applyAlignment="1" applyProtection="1">
      <alignment horizontal="center" vertical="center"/>
      <protection locked="0"/>
    </xf>
    <xf numFmtId="0" fontId="3" fillId="3" borderId="4" xfId="2"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textRotation="255" wrapText="1"/>
      <protection locked="0"/>
    </xf>
    <xf numFmtId="0" fontId="6" fillId="2" borderId="22"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right" vertical="center"/>
      <protection locked="0"/>
    </xf>
    <xf numFmtId="0" fontId="5" fillId="0" borderId="20" xfId="0" applyFont="1" applyFill="1" applyBorder="1" applyAlignment="1" applyProtection="1">
      <alignment horizontal="right" vertical="center"/>
      <protection locked="0"/>
    </xf>
    <xf numFmtId="177" fontId="5" fillId="0" borderId="24" xfId="0" applyNumberFormat="1" applyFont="1" applyFill="1" applyBorder="1" applyAlignment="1" applyProtection="1">
      <alignment horizontal="center" vertical="center"/>
      <protection locked="0"/>
    </xf>
    <xf numFmtId="177" fontId="5" fillId="0" borderId="20" xfId="0" applyNumberFormat="1" applyFont="1" applyFill="1" applyBorder="1" applyAlignment="1" applyProtection="1">
      <alignment horizontal="center" vertical="center"/>
      <protection locked="0"/>
    </xf>
    <xf numFmtId="177" fontId="5" fillId="0" borderId="24" xfId="0" applyNumberFormat="1" applyFont="1" applyFill="1" applyBorder="1" applyAlignment="1" applyProtection="1">
      <alignment horizontal="right" vertical="center"/>
      <protection locked="0"/>
    </xf>
    <xf numFmtId="177" fontId="5" fillId="0" borderId="20" xfId="0" applyNumberFormat="1" applyFont="1" applyFill="1" applyBorder="1" applyAlignment="1" applyProtection="1">
      <alignment horizontal="right" vertical="center"/>
      <protection locked="0"/>
    </xf>
    <xf numFmtId="176" fontId="5" fillId="0" borderId="24" xfId="0" applyNumberFormat="1" applyFont="1" applyFill="1" applyBorder="1" applyAlignment="1" applyProtection="1">
      <alignment horizontal="right" vertical="center"/>
      <protection locked="0"/>
    </xf>
    <xf numFmtId="176" fontId="5" fillId="0" borderId="20" xfId="0" applyNumberFormat="1" applyFont="1" applyFill="1" applyBorder="1" applyAlignment="1" applyProtection="1">
      <alignment horizontal="right" vertical="center"/>
      <protection locked="0"/>
    </xf>
    <xf numFmtId="0" fontId="5" fillId="0" borderId="2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176" fontId="5" fillId="0" borderId="24" xfId="0" applyNumberFormat="1"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vertical="center"/>
      <protection locked="0"/>
    </xf>
    <xf numFmtId="0" fontId="5" fillId="0" borderId="20" xfId="0" applyFont="1" applyFill="1" applyBorder="1" applyAlignment="1" applyProtection="1">
      <alignment vertical="center"/>
      <protection locked="0"/>
    </xf>
    <xf numFmtId="176" fontId="5" fillId="0" borderId="3" xfId="0" applyNumberFormat="1" applyFont="1" applyFill="1" applyBorder="1" applyAlignment="1" applyProtection="1">
      <alignment horizontal="center" vertical="center"/>
      <protection locked="0"/>
    </xf>
    <xf numFmtId="176" fontId="5" fillId="0" borderId="6"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177" fontId="5" fillId="0" borderId="24" xfId="0" applyNumberFormat="1" applyFont="1" applyFill="1" applyBorder="1" applyAlignment="1" applyProtection="1">
      <alignment vertical="center"/>
      <protection locked="0"/>
    </xf>
    <xf numFmtId="177" fontId="5" fillId="0" borderId="20" xfId="0" applyNumberFormat="1" applyFont="1" applyFill="1" applyBorder="1" applyAlignment="1" applyProtection="1">
      <alignment vertical="center"/>
      <protection locked="0"/>
    </xf>
    <xf numFmtId="176" fontId="5" fillId="0" borderId="24" xfId="0" applyNumberFormat="1" applyFont="1" applyFill="1" applyBorder="1" applyAlignment="1" applyProtection="1">
      <alignment vertical="center"/>
      <protection locked="0"/>
    </xf>
    <xf numFmtId="176" fontId="5" fillId="0" borderId="20" xfId="0" applyNumberFormat="1" applyFont="1" applyFill="1" applyBorder="1" applyAlignment="1" applyProtection="1">
      <alignment vertical="center"/>
      <protection locked="0"/>
    </xf>
    <xf numFmtId="0" fontId="6" fillId="0" borderId="24"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176" fontId="3" fillId="2" borderId="4" xfId="0" applyNumberFormat="1" applyFont="1" applyFill="1" applyBorder="1" applyAlignment="1" applyProtection="1">
      <alignment horizontal="center" vertical="center" wrapText="1"/>
      <protection locked="0"/>
    </xf>
    <xf numFmtId="176" fontId="3" fillId="2" borderId="22" xfId="0" applyNumberFormat="1"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255"/>
      <protection locked="0"/>
    </xf>
    <xf numFmtId="0" fontId="3" fillId="2" borderId="22" xfId="0" applyFont="1" applyFill="1" applyBorder="1" applyAlignment="1" applyProtection="1">
      <alignment horizontal="center" vertical="center" textRotation="255"/>
      <protection locked="0"/>
    </xf>
    <xf numFmtId="0" fontId="6" fillId="2" borderId="2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255" wrapText="1"/>
      <protection locked="0"/>
    </xf>
    <xf numFmtId="0" fontId="3" fillId="2" borderId="22"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2" xfId="1" applyFont="1" applyFill="1" applyBorder="1" applyAlignment="1" applyProtection="1">
      <alignment horizontal="center" vertical="center" wrapText="1"/>
      <protection locked="0"/>
    </xf>
    <xf numFmtId="0" fontId="3" fillId="2" borderId="23" xfId="1" applyFont="1" applyFill="1" applyBorder="1" applyAlignment="1" applyProtection="1">
      <alignment horizontal="center" vertical="center" wrapText="1"/>
      <protection locked="0"/>
    </xf>
    <xf numFmtId="0" fontId="3" fillId="3" borderId="4" xfId="2" applyFont="1" applyFill="1" applyBorder="1" applyAlignment="1" applyProtection="1">
      <alignment horizontal="center" vertical="center"/>
      <protection locked="0"/>
    </xf>
    <xf numFmtId="178" fontId="3" fillId="0" borderId="4" xfId="0" applyNumberFormat="1" applyFont="1" applyBorder="1" applyAlignment="1" applyProtection="1">
      <alignment horizontal="center" vertical="center" shrinkToFit="1"/>
      <protection locked="0"/>
    </xf>
    <xf numFmtId="178" fontId="3" fillId="0" borderId="4" xfId="0" applyNumberFormat="1" applyFont="1" applyBorder="1" applyAlignment="1" applyProtection="1">
      <alignment horizontal="center" vertical="center" wrapText="1" shrinkToFit="1"/>
      <protection locked="0"/>
    </xf>
    <xf numFmtId="10" fontId="3" fillId="2" borderId="4" xfId="0" applyNumberFormat="1" applyFont="1" applyFill="1" applyBorder="1" applyAlignment="1" applyProtection="1">
      <alignment horizontal="center" vertical="center" wrapText="1"/>
      <protection locked="0"/>
    </xf>
    <xf numFmtId="10" fontId="3" fillId="2" borderId="22"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42" fillId="0" borderId="4"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textRotation="255" wrapText="1"/>
      <protection locked="0"/>
    </xf>
    <xf numFmtId="178" fontId="3" fillId="0" borderId="4"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42" fillId="2" borderId="22" xfId="0" applyFont="1" applyFill="1" applyBorder="1" applyAlignment="1" applyProtection="1">
      <alignment horizontal="center" vertical="center" textRotation="255" wrapText="1"/>
      <protection locked="0"/>
    </xf>
    <xf numFmtId="0" fontId="42" fillId="2" borderId="23" xfId="0" applyFont="1" applyFill="1" applyBorder="1" applyAlignment="1" applyProtection="1">
      <alignment horizontal="center" vertical="center" textRotation="255" wrapText="1"/>
      <protection locked="0"/>
    </xf>
    <xf numFmtId="0" fontId="43" fillId="2" borderId="22" xfId="0" applyFont="1" applyFill="1" applyBorder="1" applyAlignment="1" applyProtection="1">
      <alignment horizontal="center" vertical="center" textRotation="255" wrapText="1"/>
      <protection locked="0"/>
    </xf>
    <xf numFmtId="0" fontId="43" fillId="2" borderId="23" xfId="0" applyFont="1" applyFill="1" applyBorder="1" applyAlignment="1" applyProtection="1">
      <alignment horizontal="center" vertical="center" textRotation="255" wrapText="1"/>
      <protection locked="0"/>
    </xf>
    <xf numFmtId="0" fontId="3" fillId="2" borderId="7"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27" fillId="3" borderId="4" xfId="0" applyFont="1" applyFill="1" applyBorder="1" applyAlignment="1">
      <alignment horizontal="center" vertical="center"/>
    </xf>
    <xf numFmtId="176" fontId="33" fillId="3" borderId="11" xfId="0" applyNumberFormat="1" applyFont="1" applyFill="1" applyBorder="1" applyAlignment="1">
      <alignment horizontal="center" vertical="center"/>
    </xf>
    <xf numFmtId="176" fontId="33" fillId="3" borderId="0" xfId="0" applyNumberFormat="1" applyFont="1" applyFill="1" applyBorder="1" applyAlignment="1">
      <alignment horizontal="center" vertical="center"/>
    </xf>
    <xf numFmtId="176" fontId="33" fillId="3" borderId="10" xfId="0" applyNumberFormat="1" applyFont="1" applyFill="1" applyBorder="1" applyAlignment="1">
      <alignment horizontal="center" vertical="center"/>
    </xf>
    <xf numFmtId="176" fontId="33" fillId="3" borderId="9" xfId="0" applyNumberFormat="1" applyFont="1" applyFill="1" applyBorder="1" applyAlignment="1">
      <alignment horizontal="center" vertical="center"/>
    </xf>
    <xf numFmtId="176" fontId="33" fillId="3" borderId="8" xfId="0" applyNumberFormat="1" applyFont="1" applyFill="1" applyBorder="1" applyAlignment="1">
      <alignment horizontal="center" vertical="center"/>
    </xf>
    <xf numFmtId="176" fontId="33" fillId="3" borderId="12" xfId="0" applyNumberFormat="1" applyFont="1" applyFill="1" applyBorder="1" applyAlignment="1">
      <alignment horizontal="center" vertical="center"/>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12" xfId="0" applyFont="1" applyFill="1" applyBorder="1" applyAlignment="1">
      <alignment horizontal="center" vertical="center"/>
    </xf>
    <xf numFmtId="0" fontId="32" fillId="0" borderId="4" xfId="0" applyFont="1" applyFill="1" applyBorder="1" applyAlignment="1">
      <alignment horizontal="center" vertical="center"/>
    </xf>
    <xf numFmtId="0" fontId="32" fillId="3" borderId="4" xfId="0" applyFont="1" applyFill="1" applyBorder="1" applyAlignment="1">
      <alignment horizontal="center" vertical="center"/>
    </xf>
    <xf numFmtId="176" fontId="11" fillId="4" borderId="0"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4" fillId="3" borderId="4" xfId="0" applyFont="1" applyFill="1" applyBorder="1" applyAlignment="1">
      <alignment horizontal="center" vertical="center"/>
    </xf>
    <xf numFmtId="176" fontId="11" fillId="3"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6" fillId="4" borderId="0"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176" fontId="26" fillId="0" borderId="1" xfId="0" applyNumberFormat="1" applyFont="1" applyFill="1" applyBorder="1" applyAlignment="1">
      <alignment horizontal="center" vertical="center"/>
    </xf>
    <xf numFmtId="176" fontId="26" fillId="0" borderId="2" xfId="0" applyNumberFormat="1" applyFont="1" applyFill="1" applyBorder="1" applyAlignment="1">
      <alignment horizontal="center" vertical="center"/>
    </xf>
    <xf numFmtId="176" fontId="26" fillId="0" borderId="7" xfId="0" applyNumberFormat="1" applyFont="1" applyFill="1" applyBorder="1" applyAlignment="1">
      <alignment horizontal="center" vertical="center"/>
    </xf>
    <xf numFmtId="176" fontId="26" fillId="0" borderId="9" xfId="0" applyNumberFormat="1" applyFont="1" applyFill="1" applyBorder="1" applyAlignment="1">
      <alignment horizontal="center" vertical="center"/>
    </xf>
    <xf numFmtId="176" fontId="26" fillId="0" borderId="8"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0" fontId="0" fillId="0" borderId="0" xfId="0" applyFill="1" applyBorder="1" applyAlignment="1">
      <alignment horizontal="center" vertical="center"/>
    </xf>
    <xf numFmtId="0" fontId="6" fillId="4" borderId="0" xfId="0" applyFont="1" applyFill="1" applyBorder="1" applyAlignment="1">
      <alignment horizontal="left" vertical="top" wrapText="1"/>
    </xf>
    <xf numFmtId="0" fontId="26" fillId="3" borderId="4" xfId="0" applyFont="1" applyFill="1" applyBorder="1" applyAlignment="1">
      <alignment horizontal="center" vertical="center"/>
    </xf>
    <xf numFmtId="0" fontId="26" fillId="0" borderId="4" xfId="0" applyNumberFormat="1" applyFont="1" applyFill="1" applyBorder="1" applyAlignment="1">
      <alignment horizontal="center" vertical="center"/>
    </xf>
    <xf numFmtId="176" fontId="26" fillId="0" borderId="4" xfId="0" applyNumberFormat="1"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6" fillId="0" borderId="4" xfId="0" applyFont="1" applyFill="1" applyBorder="1" applyAlignment="1">
      <alignment horizontal="center" vertical="center"/>
    </xf>
    <xf numFmtId="0" fontId="30" fillId="0" borderId="4" xfId="0" applyFont="1" applyFill="1" applyBorder="1" applyAlignment="1">
      <alignment horizontal="left" vertical="center" wrapText="1"/>
    </xf>
    <xf numFmtId="176" fontId="6" fillId="0" borderId="4" xfId="0" applyNumberFormat="1" applyFont="1" applyFill="1" applyBorder="1" applyAlignment="1">
      <alignment horizontal="center" vertical="center"/>
    </xf>
    <xf numFmtId="0" fontId="28" fillId="3" borderId="4" xfId="0" applyFont="1" applyFill="1" applyBorder="1" applyAlignment="1">
      <alignment horizontal="center" vertical="center" wrapText="1"/>
    </xf>
    <xf numFmtId="0" fontId="28" fillId="3" borderId="4" xfId="0" applyFont="1" applyFill="1" applyBorder="1" applyAlignment="1">
      <alignment horizontal="center" vertical="center"/>
    </xf>
    <xf numFmtId="0" fontId="26" fillId="3"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6" fillId="3" borderId="4"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2"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12"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2" xfId="0" applyFont="1" applyBorder="1" applyAlignment="1">
      <alignment horizontal="center" vertical="center" wrapText="1"/>
    </xf>
    <xf numFmtId="176" fontId="26" fillId="0" borderId="4" xfId="3" applyNumberFormat="1" applyFont="1" applyFill="1" applyBorder="1" applyAlignment="1">
      <alignment horizontal="center" vertical="center"/>
    </xf>
    <xf numFmtId="0" fontId="0" fillId="4" borderId="8" xfId="0" applyFill="1" applyBorder="1" applyAlignment="1">
      <alignment horizontal="left" vertical="center"/>
    </xf>
    <xf numFmtId="0" fontId="13" fillId="0" borderId="13" xfId="0" applyFont="1" applyFill="1" applyBorder="1" applyAlignment="1">
      <alignment horizontal="center" vertical="center"/>
    </xf>
    <xf numFmtId="0" fontId="16" fillId="0" borderId="4" xfId="0" applyFont="1" applyFill="1" applyBorder="1" applyAlignment="1">
      <alignment horizontal="center" vertical="center" wrapText="1"/>
    </xf>
    <xf numFmtId="0" fontId="28" fillId="0" borderId="4"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4"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9" fillId="0" borderId="2" xfId="0" applyFont="1" applyFill="1" applyBorder="1" applyAlignment="1">
      <alignment vertical="center"/>
    </xf>
    <xf numFmtId="0" fontId="29" fillId="0" borderId="7" xfId="0" applyFont="1" applyFill="1" applyBorder="1" applyAlignment="1">
      <alignment vertical="center"/>
    </xf>
    <xf numFmtId="0" fontId="29" fillId="0" borderId="8" xfId="0" applyFont="1" applyFill="1" applyBorder="1" applyAlignment="1">
      <alignment vertical="center"/>
    </xf>
    <xf numFmtId="0" fontId="29" fillId="0" borderId="12" xfId="0" applyFont="1" applyFill="1" applyBorder="1" applyAlignment="1">
      <alignment vertical="center"/>
    </xf>
    <xf numFmtId="9" fontId="32" fillId="3" borderId="1" xfId="0" applyNumberFormat="1" applyFont="1" applyFill="1" applyBorder="1" applyAlignment="1">
      <alignment horizontal="center" vertical="center" shrinkToFit="1"/>
    </xf>
    <xf numFmtId="9" fontId="32" fillId="3" borderId="2" xfId="0" applyNumberFormat="1" applyFont="1" applyFill="1" applyBorder="1" applyAlignment="1">
      <alignment horizontal="center" vertical="center" shrinkToFit="1"/>
    </xf>
    <xf numFmtId="9" fontId="32" fillId="3" borderId="7" xfId="0" applyNumberFormat="1" applyFont="1" applyFill="1" applyBorder="1" applyAlignment="1">
      <alignment horizontal="center" vertical="center" shrinkToFit="1"/>
    </xf>
    <xf numFmtId="9" fontId="32" fillId="3" borderId="9" xfId="0" applyNumberFormat="1" applyFont="1" applyFill="1" applyBorder="1" applyAlignment="1">
      <alignment horizontal="center" vertical="center" shrinkToFit="1"/>
    </xf>
    <xf numFmtId="9" fontId="32" fillId="3" borderId="8" xfId="0" applyNumberFormat="1" applyFont="1" applyFill="1" applyBorder="1" applyAlignment="1">
      <alignment horizontal="center" vertical="center" shrinkToFit="1"/>
    </xf>
    <xf numFmtId="9" fontId="32" fillId="3" borderId="12" xfId="0" applyNumberFormat="1" applyFont="1" applyFill="1" applyBorder="1" applyAlignment="1">
      <alignment horizontal="center" vertical="center" shrinkToFit="1"/>
    </xf>
    <xf numFmtId="0" fontId="28" fillId="0" borderId="2" xfId="0" applyFont="1" applyFill="1" applyBorder="1" applyAlignment="1">
      <alignment vertical="center"/>
    </xf>
    <xf numFmtId="0" fontId="28" fillId="0" borderId="7" xfId="0" applyFont="1" applyFill="1" applyBorder="1" applyAlignment="1">
      <alignment vertical="center"/>
    </xf>
    <xf numFmtId="0" fontId="28" fillId="0" borderId="8" xfId="0" applyFont="1" applyFill="1" applyBorder="1" applyAlignment="1">
      <alignment vertical="center"/>
    </xf>
    <xf numFmtId="0" fontId="28" fillId="0" borderId="12" xfId="0" applyFont="1" applyFill="1" applyBorder="1" applyAlignment="1">
      <alignment vertical="center"/>
    </xf>
    <xf numFmtId="0" fontId="32" fillId="0" borderId="28" xfId="0" applyFont="1" applyFill="1" applyBorder="1" applyAlignment="1">
      <alignment horizontal="center" vertical="center"/>
    </xf>
    <xf numFmtId="179" fontId="32" fillId="0" borderId="4" xfId="0" applyNumberFormat="1" applyFont="1" applyFill="1" applyBorder="1" applyAlignment="1">
      <alignment horizontal="center" vertical="center"/>
    </xf>
    <xf numFmtId="0" fontId="33" fillId="0" borderId="4" xfId="0" applyFont="1" applyFill="1" applyBorder="1" applyAlignment="1">
      <alignment horizontal="center" vertical="center" wrapText="1"/>
    </xf>
    <xf numFmtId="0" fontId="33" fillId="4" borderId="0" xfId="0" applyFont="1" applyFill="1" applyBorder="1" applyAlignment="1">
      <alignment horizontal="left"/>
    </xf>
    <xf numFmtId="0" fontId="33" fillId="4" borderId="8" xfId="0" applyFont="1" applyFill="1" applyBorder="1" applyAlignment="1">
      <alignment horizontal="left"/>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2" xfId="0" applyFont="1" applyFill="1" applyBorder="1" applyAlignment="1">
      <alignment horizontal="center" vertical="center"/>
    </xf>
    <xf numFmtId="9" fontId="28" fillId="3" borderId="1" xfId="0" applyNumberFormat="1" applyFont="1" applyFill="1" applyBorder="1" applyAlignment="1">
      <alignment horizontal="center" vertical="center" shrinkToFit="1"/>
    </xf>
    <xf numFmtId="9" fontId="28" fillId="3" borderId="2" xfId="0" applyNumberFormat="1" applyFont="1" applyFill="1" applyBorder="1" applyAlignment="1">
      <alignment horizontal="center" vertical="center" shrinkToFit="1"/>
    </xf>
    <xf numFmtId="9" fontId="28" fillId="3" borderId="7" xfId="0" applyNumberFormat="1" applyFont="1" applyFill="1" applyBorder="1" applyAlignment="1">
      <alignment horizontal="center" vertical="center" shrinkToFit="1"/>
    </xf>
    <xf numFmtId="9" fontId="28" fillId="3" borderId="9" xfId="0" applyNumberFormat="1" applyFont="1" applyFill="1" applyBorder="1" applyAlignment="1">
      <alignment horizontal="center" vertical="center" shrinkToFit="1"/>
    </xf>
    <xf numFmtId="9" fontId="28" fillId="3" borderId="8" xfId="0" applyNumberFormat="1" applyFont="1" applyFill="1" applyBorder="1" applyAlignment="1">
      <alignment horizontal="center" vertical="center" shrinkToFit="1"/>
    </xf>
    <xf numFmtId="9" fontId="28" fillId="3" borderId="12" xfId="0" applyNumberFormat="1" applyFont="1" applyFill="1" applyBorder="1" applyAlignment="1">
      <alignment horizontal="center" vertical="center" shrinkToFit="1"/>
    </xf>
    <xf numFmtId="9" fontId="33" fillId="3" borderId="1" xfId="0" applyNumberFormat="1" applyFont="1" applyFill="1" applyBorder="1" applyAlignment="1">
      <alignment horizontal="center" vertical="center" shrinkToFit="1"/>
    </xf>
    <xf numFmtId="9" fontId="33" fillId="3" borderId="2" xfId="0" applyNumberFormat="1" applyFont="1" applyFill="1" applyBorder="1" applyAlignment="1">
      <alignment horizontal="center" vertical="center" shrinkToFit="1"/>
    </xf>
    <xf numFmtId="9" fontId="33" fillId="3" borderId="7" xfId="0" applyNumberFormat="1" applyFont="1" applyFill="1" applyBorder="1" applyAlignment="1">
      <alignment horizontal="center" vertical="center" shrinkToFit="1"/>
    </xf>
    <xf numFmtId="9" fontId="33" fillId="3" borderId="9" xfId="0" applyNumberFormat="1" applyFont="1" applyFill="1" applyBorder="1" applyAlignment="1">
      <alignment horizontal="center" vertical="center" shrinkToFit="1"/>
    </xf>
    <xf numFmtId="9" fontId="33" fillId="3" borderId="8" xfId="0" applyNumberFormat="1" applyFont="1" applyFill="1" applyBorder="1" applyAlignment="1">
      <alignment horizontal="center" vertical="center" shrinkToFit="1"/>
    </xf>
    <xf numFmtId="9" fontId="33" fillId="3" borderId="12" xfId="0" applyNumberFormat="1" applyFont="1" applyFill="1" applyBorder="1" applyAlignment="1">
      <alignment horizontal="center" vertical="center" shrinkToFit="1"/>
    </xf>
    <xf numFmtId="0" fontId="27" fillId="0" borderId="1" xfId="0" applyFont="1" applyFill="1" applyBorder="1" applyAlignment="1">
      <alignment horizontal="center" vertical="center"/>
    </xf>
    <xf numFmtId="176" fontId="32" fillId="0" borderId="4" xfId="0" applyNumberFormat="1" applyFont="1" applyFill="1" applyBorder="1" applyAlignment="1">
      <alignment horizontal="center" vertical="center"/>
    </xf>
    <xf numFmtId="0" fontId="32" fillId="0" borderId="4" xfId="0" applyNumberFormat="1" applyFont="1" applyFill="1" applyBorder="1" applyAlignment="1">
      <alignment horizontal="center" vertical="center"/>
    </xf>
    <xf numFmtId="176" fontId="32" fillId="3" borderId="4" xfId="0" applyNumberFormat="1" applyFont="1" applyFill="1" applyBorder="1" applyAlignment="1">
      <alignment horizontal="center" vertical="center"/>
    </xf>
    <xf numFmtId="0" fontId="32" fillId="3" borderId="4" xfId="0" applyNumberFormat="1" applyFont="1" applyFill="1" applyBorder="1" applyAlignment="1">
      <alignment horizontal="center" vertical="center"/>
    </xf>
    <xf numFmtId="0" fontId="19" fillId="0" borderId="4" xfId="0" applyFont="1" applyBorder="1" applyAlignment="1">
      <alignment horizontal="center" vertical="center"/>
    </xf>
    <xf numFmtId="49" fontId="19" fillId="3" borderId="1" xfId="0" quotePrefix="1" applyNumberFormat="1" applyFont="1" applyFill="1" applyBorder="1" applyAlignment="1" applyProtection="1">
      <alignment horizontal="center" vertical="center"/>
      <protection locked="0"/>
    </xf>
    <xf numFmtId="49" fontId="19" fillId="3" borderId="2" xfId="0" quotePrefix="1" applyNumberFormat="1" applyFont="1" applyFill="1" applyBorder="1" applyAlignment="1" applyProtection="1">
      <alignment horizontal="center" vertical="center"/>
      <protection locked="0"/>
    </xf>
    <xf numFmtId="49" fontId="19" fillId="3" borderId="7" xfId="0" quotePrefix="1" applyNumberFormat="1" applyFont="1" applyFill="1" applyBorder="1" applyAlignment="1" applyProtection="1">
      <alignment horizontal="center" vertical="center"/>
      <protection locked="0"/>
    </xf>
    <xf numFmtId="49" fontId="19" fillId="3" borderId="11" xfId="0" quotePrefix="1" applyNumberFormat="1" applyFont="1" applyFill="1" applyBorder="1" applyAlignment="1" applyProtection="1">
      <alignment horizontal="center" vertical="center"/>
      <protection locked="0"/>
    </xf>
    <xf numFmtId="49" fontId="19" fillId="3" borderId="0" xfId="0" quotePrefix="1" applyNumberFormat="1" applyFont="1" applyFill="1" applyBorder="1" applyAlignment="1" applyProtection="1">
      <alignment horizontal="center" vertical="center"/>
      <protection locked="0"/>
    </xf>
    <xf numFmtId="49" fontId="19" fillId="3" borderId="10" xfId="0" quotePrefix="1" applyNumberFormat="1" applyFont="1" applyFill="1" applyBorder="1" applyAlignment="1" applyProtection="1">
      <alignment horizontal="center" vertical="center"/>
      <protection locked="0"/>
    </xf>
    <xf numFmtId="49" fontId="19" fillId="3" borderId="9" xfId="0" quotePrefix="1" applyNumberFormat="1" applyFont="1" applyFill="1" applyBorder="1" applyAlignment="1" applyProtection="1">
      <alignment horizontal="center" vertical="center"/>
      <protection locked="0"/>
    </xf>
    <xf numFmtId="49" fontId="19" fillId="3" borderId="8" xfId="0" quotePrefix="1" applyNumberFormat="1" applyFont="1" applyFill="1" applyBorder="1" applyAlignment="1" applyProtection="1">
      <alignment horizontal="center" vertical="center"/>
      <protection locked="0"/>
    </xf>
    <xf numFmtId="49" fontId="19" fillId="3" borderId="12" xfId="0" quotePrefix="1"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33" fillId="4" borderId="0" xfId="0" applyFont="1" applyFill="1" applyBorder="1" applyAlignment="1">
      <alignment horizontal="left" vertical="center" wrapText="1"/>
    </xf>
    <xf numFmtId="0" fontId="14" fillId="4" borderId="8" xfId="0" applyFont="1" applyFill="1" applyBorder="1" applyAlignment="1">
      <alignment horizontal="left" vertical="center"/>
    </xf>
    <xf numFmtId="0" fontId="17" fillId="4" borderId="8" xfId="0" applyFont="1" applyFill="1" applyBorder="1" applyAlignment="1">
      <alignment horizontal="left" vertical="center"/>
    </xf>
    <xf numFmtId="0" fontId="0" fillId="4" borderId="8" xfId="0"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4" xfId="0"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0" fontId="27" fillId="0" borderId="19"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7"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4" xfId="0" applyFont="1" applyFill="1" applyBorder="1" applyAlignment="1">
      <alignment horizontal="center" vertical="center"/>
    </xf>
    <xf numFmtId="0" fontId="31"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30" fillId="0" borderId="4" xfId="0" applyFont="1" applyBorder="1" applyAlignment="1">
      <alignment horizontal="center" vertical="center" wrapText="1"/>
    </xf>
    <xf numFmtId="0" fontId="13" fillId="0" borderId="4" xfId="0" applyFont="1" applyFill="1" applyBorder="1" applyAlignment="1" applyProtection="1">
      <alignment horizontal="center" vertical="center"/>
    </xf>
    <xf numFmtId="0" fontId="13" fillId="0" borderId="4" xfId="0" applyFont="1" applyFill="1" applyBorder="1" applyAlignment="1" applyProtection="1">
      <alignment horizontal="center" vertical="center"/>
      <protection locked="0"/>
    </xf>
    <xf numFmtId="0" fontId="13" fillId="0" borderId="4" xfId="4" applyFont="1" applyFill="1" applyBorder="1" applyAlignment="1" applyProtection="1">
      <alignment horizontal="center" vertical="center"/>
    </xf>
    <xf numFmtId="0" fontId="13" fillId="0" borderId="4" xfId="4" applyFont="1" applyFill="1" applyBorder="1" applyAlignment="1" applyProtection="1">
      <alignment horizontal="center" vertical="center"/>
      <protection locked="0"/>
    </xf>
  </cellXfs>
  <cellStyles count="9">
    <cellStyle name="Normal" xfId="4" xr:uid="{00000000-0005-0000-0000-000000000000}"/>
    <cellStyle name="パーセント" xfId="3" builtinId="5"/>
    <cellStyle name="桁区切り 2" xfId="6" xr:uid="{00000000-0005-0000-0000-000002000000}"/>
    <cellStyle name="標準" xfId="0" builtinId="0"/>
    <cellStyle name="標準 2" xfId="2" xr:uid="{00000000-0005-0000-0000-000004000000}"/>
    <cellStyle name="標準 2 2" xfId="8" xr:uid="{00000000-0005-0000-0000-000005000000}"/>
    <cellStyle name="標準 3" xfId="1" xr:uid="{00000000-0005-0000-0000-000006000000}"/>
    <cellStyle name="標準 3 3" xfId="5" xr:uid="{00000000-0005-0000-0000-000007000000}"/>
    <cellStyle name="標準 4" xfId="7" xr:uid="{00000000-0005-0000-0000-000008000000}"/>
  </cellStyles>
  <dxfs count="15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s>
  <tableStyles count="0" defaultTableStyle="TableStyleMedium2" defaultPivotStyle="PivotStyleLight16"/>
  <colors>
    <mruColors>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102</xdr:col>
      <xdr:colOff>95068</xdr:colOff>
      <xdr:row>18</xdr:row>
      <xdr:rowOff>132080</xdr:rowOff>
    </xdr:from>
    <xdr:to>
      <xdr:col>104</xdr:col>
      <xdr:colOff>67610</xdr:colOff>
      <xdr:row>21</xdr:row>
      <xdr:rowOff>232148</xdr:rowOff>
    </xdr:to>
    <xdr:sp macro="" textlink="">
      <xdr:nvSpPr>
        <xdr:cNvPr id="2" name="右矢印 1">
          <a:extLst>
            <a:ext uri="{FF2B5EF4-FFF2-40B4-BE49-F238E27FC236}">
              <a16:creationId xmlns:a16="http://schemas.microsoft.com/office/drawing/2014/main" id="{7526CF72-E0A0-4F0E-B462-CAE5DFE49125}"/>
            </a:ext>
          </a:extLst>
        </xdr:cNvPr>
        <xdr:cNvSpPr/>
      </xdr:nvSpPr>
      <xdr:spPr>
        <a:xfrm>
          <a:off x="20669068" y="3046730"/>
          <a:ext cx="369417" cy="7414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105</xdr:col>
      <xdr:colOff>49530</xdr:colOff>
      <xdr:row>51</xdr:row>
      <xdr:rowOff>133238</xdr:rowOff>
    </xdr:from>
    <xdr:to>
      <xdr:col>108</xdr:col>
      <xdr:colOff>0</xdr:colOff>
      <xdr:row>54</xdr:row>
      <xdr:rowOff>170778</xdr:rowOff>
    </xdr:to>
    <xdr:sp macro="" textlink="">
      <xdr:nvSpPr>
        <xdr:cNvPr id="3" name="右矢印 2">
          <a:extLst>
            <a:ext uri="{FF2B5EF4-FFF2-40B4-BE49-F238E27FC236}">
              <a16:creationId xmlns:a16="http://schemas.microsoft.com/office/drawing/2014/main" id="{5C5B2293-00A7-4DDA-8A99-D4E0CBA2D3A6}"/>
            </a:ext>
          </a:extLst>
        </xdr:cNvPr>
        <xdr:cNvSpPr/>
      </xdr:nvSpPr>
      <xdr:spPr>
        <a:xfrm>
          <a:off x="20536939" y="10506829"/>
          <a:ext cx="521970" cy="57440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188933</xdr:colOff>
      <xdr:row>14</xdr:row>
      <xdr:rowOff>46804</xdr:rowOff>
    </xdr:from>
    <xdr:to>
      <xdr:col>18</xdr:col>
      <xdr:colOff>139028</xdr:colOff>
      <xdr:row>17</xdr:row>
      <xdr:rowOff>85855</xdr:rowOff>
    </xdr:to>
    <xdr:sp macro="" textlink="">
      <xdr:nvSpPr>
        <xdr:cNvPr id="7" name="角丸四角形 6">
          <a:extLst>
            <a:ext uri="{FF2B5EF4-FFF2-40B4-BE49-F238E27FC236}">
              <a16:creationId xmlns:a16="http://schemas.microsoft.com/office/drawing/2014/main" id="{7E76974E-F0F3-4AAD-875C-0543334EA224}"/>
            </a:ext>
          </a:extLst>
        </xdr:cNvPr>
        <xdr:cNvSpPr/>
      </xdr:nvSpPr>
      <xdr:spPr>
        <a:xfrm>
          <a:off x="388958" y="2316929"/>
          <a:ext cx="3353695" cy="51847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(1)</a:t>
          </a:r>
          <a:r>
            <a:rPr kumimoji="1" lang="ja-JP" altLang="en-US" sz="1800" b="1">
              <a:solidFill>
                <a:sysClr val="windowText" lastClr="000000"/>
              </a:solidFill>
              <a:latin typeface="+mj-ea"/>
              <a:ea typeface="+mj-ea"/>
            </a:rPr>
            <a:t>民間委託</a:t>
          </a:r>
        </a:p>
      </xdr:txBody>
    </xdr:sp>
    <xdr:clientData/>
  </xdr:twoCellAnchor>
  <xdr:twoCellAnchor>
    <xdr:from>
      <xdr:col>83</xdr:col>
      <xdr:colOff>108859</xdr:colOff>
      <xdr:row>22</xdr:row>
      <xdr:rowOff>142241</xdr:rowOff>
    </xdr:from>
    <xdr:to>
      <xdr:col>90</xdr:col>
      <xdr:colOff>44996</xdr:colOff>
      <xdr:row>33</xdr:row>
      <xdr:rowOff>142241</xdr:rowOff>
    </xdr:to>
    <xdr:sp macro="" textlink="">
      <xdr:nvSpPr>
        <xdr:cNvPr id="8" name="屈折矢印 7">
          <a:extLst>
            <a:ext uri="{FF2B5EF4-FFF2-40B4-BE49-F238E27FC236}">
              <a16:creationId xmlns:a16="http://schemas.microsoft.com/office/drawing/2014/main" id="{B70772B8-023D-4BD5-BE26-A227D3CB5359}"/>
            </a:ext>
          </a:extLst>
        </xdr:cNvPr>
        <xdr:cNvSpPr/>
      </xdr:nvSpPr>
      <xdr:spPr>
        <a:xfrm rot="5400000">
          <a:off x="16240852" y="4574723"/>
          <a:ext cx="2619375" cy="1342662"/>
        </a:xfrm>
        <a:prstGeom prst="bentUpArrow">
          <a:avLst>
            <a:gd name="adj1" fmla="val 17929"/>
            <a:gd name="adj2" fmla="val 18434"/>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59738</xdr:colOff>
      <xdr:row>25</xdr:row>
      <xdr:rowOff>19712</xdr:rowOff>
    </xdr:from>
    <xdr:to>
      <xdr:col>119</xdr:col>
      <xdr:colOff>4823</xdr:colOff>
      <xdr:row>26</xdr:row>
      <xdr:rowOff>147237</xdr:rowOff>
    </xdr:to>
    <xdr:sp macro="" textlink="">
      <xdr:nvSpPr>
        <xdr:cNvPr id="9" name="右矢印 8">
          <a:extLst>
            <a:ext uri="{FF2B5EF4-FFF2-40B4-BE49-F238E27FC236}">
              <a16:creationId xmlns:a16="http://schemas.microsoft.com/office/drawing/2014/main" id="{FA088806-14C1-414E-8A3B-282171F39145}"/>
            </a:ext>
          </a:extLst>
        </xdr:cNvPr>
        <xdr:cNvSpPr/>
      </xdr:nvSpPr>
      <xdr:spPr>
        <a:xfrm rot="5400000">
          <a:off x="23427005" y="4332095"/>
          <a:ext cx="362475" cy="748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159</xdr:col>
      <xdr:colOff>17961</xdr:colOff>
      <xdr:row>99</xdr:row>
      <xdr:rowOff>132442</xdr:rowOff>
    </xdr:from>
    <xdr:to>
      <xdr:col>161</xdr:col>
      <xdr:colOff>102416</xdr:colOff>
      <xdr:row>101</xdr:row>
      <xdr:rowOff>182063</xdr:rowOff>
    </xdr:to>
    <xdr:sp macro="" textlink="">
      <xdr:nvSpPr>
        <xdr:cNvPr id="11" name="右矢印 10">
          <a:extLst>
            <a:ext uri="{FF2B5EF4-FFF2-40B4-BE49-F238E27FC236}">
              <a16:creationId xmlns:a16="http://schemas.microsoft.com/office/drawing/2014/main" id="{70658EB1-FF0F-4963-93F3-28EC6ADF4922}"/>
            </a:ext>
          </a:extLst>
        </xdr:cNvPr>
        <xdr:cNvSpPr/>
      </xdr:nvSpPr>
      <xdr:spPr>
        <a:xfrm>
          <a:off x="33507861" y="21811342"/>
          <a:ext cx="503555" cy="50682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191260</xdr:colOff>
      <xdr:row>87</xdr:row>
      <xdr:rowOff>218968</xdr:rowOff>
    </xdr:from>
    <xdr:to>
      <xdr:col>92</xdr:col>
      <xdr:colOff>192785</xdr:colOff>
      <xdr:row>90</xdr:row>
      <xdr:rowOff>29419</xdr:rowOff>
    </xdr:to>
    <xdr:sp macro="" textlink="">
      <xdr:nvSpPr>
        <xdr:cNvPr id="12" name="角丸四角形 11">
          <a:extLst>
            <a:ext uri="{FF2B5EF4-FFF2-40B4-BE49-F238E27FC236}">
              <a16:creationId xmlns:a16="http://schemas.microsoft.com/office/drawing/2014/main" id="{23D21130-B5BA-4AE9-B93F-7155318A69CF}"/>
            </a:ext>
          </a:extLst>
        </xdr:cNvPr>
        <xdr:cNvSpPr/>
      </xdr:nvSpPr>
      <xdr:spPr>
        <a:xfrm>
          <a:off x="16917160" y="19154668"/>
          <a:ext cx="2725675" cy="4962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(7)</a:t>
          </a:r>
          <a:r>
            <a:rPr kumimoji="1" lang="ja-JP" altLang="en-US" sz="1800" b="1">
              <a:solidFill>
                <a:sysClr val="windowText" lastClr="000000"/>
              </a:solidFill>
              <a:latin typeface="+mj-ea"/>
              <a:ea typeface="+mj-ea"/>
            </a:rPr>
            <a:t>地方公会計の整備</a:t>
          </a:r>
        </a:p>
      </xdr:txBody>
    </xdr:sp>
    <xdr:clientData/>
  </xdr:twoCellAnchor>
  <xdr:twoCellAnchor>
    <xdr:from>
      <xdr:col>79</xdr:col>
      <xdr:colOff>161625</xdr:colOff>
      <xdr:row>64</xdr:row>
      <xdr:rowOff>104269</xdr:rowOff>
    </xdr:from>
    <xdr:to>
      <xdr:col>100</xdr:col>
      <xdr:colOff>164165</xdr:colOff>
      <xdr:row>66</xdr:row>
      <xdr:rowOff>145795</xdr:rowOff>
    </xdr:to>
    <xdr:sp macro="" textlink="">
      <xdr:nvSpPr>
        <xdr:cNvPr id="13" name="角丸四角形 12">
          <a:extLst>
            <a:ext uri="{FF2B5EF4-FFF2-40B4-BE49-F238E27FC236}">
              <a16:creationId xmlns:a16="http://schemas.microsoft.com/office/drawing/2014/main" id="{AA2D66B2-A5B4-4F48-8AD2-A8CE8FCE36F8}"/>
            </a:ext>
          </a:extLst>
        </xdr:cNvPr>
        <xdr:cNvSpPr/>
      </xdr:nvSpPr>
      <xdr:spPr>
        <a:xfrm>
          <a:off x="16887525" y="13782169"/>
          <a:ext cx="4403090" cy="49872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(6)</a:t>
          </a:r>
          <a:r>
            <a:rPr kumimoji="1" lang="ja-JP" altLang="en-US" sz="1800" b="1">
              <a:solidFill>
                <a:sysClr val="windowText" lastClr="000000"/>
              </a:solidFill>
              <a:latin typeface="+mj-ea"/>
              <a:ea typeface="+mj-ea"/>
            </a:rPr>
            <a:t>公共施設等総合管理計画</a:t>
          </a:r>
        </a:p>
      </xdr:txBody>
    </xdr:sp>
    <xdr:clientData/>
  </xdr:twoCellAnchor>
  <xdr:twoCellAnchor>
    <xdr:from>
      <xdr:col>80</xdr:col>
      <xdr:colOff>4197</xdr:colOff>
      <xdr:row>44</xdr:row>
      <xdr:rowOff>641</xdr:rowOff>
    </xdr:from>
    <xdr:to>
      <xdr:col>103</xdr:col>
      <xdr:colOff>25367</xdr:colOff>
      <xdr:row>46</xdr:row>
      <xdr:rowOff>39691</xdr:rowOff>
    </xdr:to>
    <xdr:sp macro="" textlink="">
      <xdr:nvSpPr>
        <xdr:cNvPr id="14" name="角丸四角形 13">
          <a:extLst>
            <a:ext uri="{FF2B5EF4-FFF2-40B4-BE49-F238E27FC236}">
              <a16:creationId xmlns:a16="http://schemas.microsoft.com/office/drawing/2014/main" id="{7117032A-7B4C-483E-ACBB-6A05FB66A173}"/>
            </a:ext>
          </a:extLst>
        </xdr:cNvPr>
        <xdr:cNvSpPr/>
      </xdr:nvSpPr>
      <xdr:spPr>
        <a:xfrm>
          <a:off x="16180822" y="9030341"/>
          <a:ext cx="4621745" cy="5153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en-US" altLang="ja-JP" sz="1800" b="1">
              <a:solidFill>
                <a:sysClr val="windowText" lastClr="000000"/>
              </a:solidFill>
              <a:latin typeface="+mj-ea"/>
              <a:ea typeface="+mj-ea"/>
            </a:rPr>
            <a:t>(5)</a:t>
          </a:r>
          <a:r>
            <a:rPr kumimoji="1" lang="ja-JP" altLang="en-US" sz="1800" b="1">
              <a:solidFill>
                <a:sysClr val="windowText" lastClr="000000"/>
              </a:solidFill>
              <a:latin typeface="+mj-ea"/>
              <a:ea typeface="+mj-ea"/>
            </a:rPr>
            <a:t>自治体情報システムのクラウド化</a:t>
          </a:r>
        </a:p>
      </xdr:txBody>
    </xdr:sp>
    <xdr:clientData/>
  </xdr:twoCellAnchor>
  <xdr:twoCellAnchor>
    <xdr:from>
      <xdr:col>80</xdr:col>
      <xdr:colOff>4346</xdr:colOff>
      <xdr:row>14</xdr:row>
      <xdr:rowOff>67922</xdr:rowOff>
    </xdr:from>
    <xdr:to>
      <xdr:col>97</xdr:col>
      <xdr:colOff>134441</xdr:colOff>
      <xdr:row>17</xdr:row>
      <xdr:rowOff>106973</xdr:rowOff>
    </xdr:to>
    <xdr:sp macro="" textlink="">
      <xdr:nvSpPr>
        <xdr:cNvPr id="15" name="角丸四角形 14">
          <a:extLst>
            <a:ext uri="{FF2B5EF4-FFF2-40B4-BE49-F238E27FC236}">
              <a16:creationId xmlns:a16="http://schemas.microsoft.com/office/drawing/2014/main" id="{C3A2E7B3-5601-4216-9259-AB839D5D8DF1}"/>
            </a:ext>
          </a:extLst>
        </xdr:cNvPr>
        <xdr:cNvSpPr/>
      </xdr:nvSpPr>
      <xdr:spPr>
        <a:xfrm>
          <a:off x="16180971" y="2331697"/>
          <a:ext cx="3527345" cy="52482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(4)</a:t>
          </a:r>
          <a:r>
            <a:rPr kumimoji="1" lang="ja-JP" altLang="en-US" sz="1800" b="1">
              <a:solidFill>
                <a:sysClr val="windowText" lastClr="000000"/>
              </a:solidFill>
              <a:latin typeface="+mj-ea"/>
              <a:ea typeface="+mj-ea"/>
            </a:rPr>
            <a:t>庶務業務の集約化</a:t>
          </a:r>
        </a:p>
      </xdr:txBody>
    </xdr:sp>
    <xdr:clientData/>
  </xdr:twoCellAnchor>
  <xdr:twoCellAnchor>
    <xdr:from>
      <xdr:col>2</xdr:col>
      <xdr:colOff>1242</xdr:colOff>
      <xdr:row>52</xdr:row>
      <xdr:rowOff>133304</xdr:rowOff>
    </xdr:from>
    <xdr:to>
      <xdr:col>20</xdr:col>
      <xdr:colOff>52678</xdr:colOff>
      <xdr:row>55</xdr:row>
      <xdr:rowOff>17371</xdr:rowOff>
    </xdr:to>
    <xdr:sp macro="" textlink="">
      <xdr:nvSpPr>
        <xdr:cNvPr id="16" name="角丸四角形 15">
          <a:extLst>
            <a:ext uri="{FF2B5EF4-FFF2-40B4-BE49-F238E27FC236}">
              <a16:creationId xmlns:a16="http://schemas.microsoft.com/office/drawing/2014/main" id="{1CA90511-E383-49B0-95B2-606D317A79FE}"/>
            </a:ext>
          </a:extLst>
        </xdr:cNvPr>
        <xdr:cNvSpPr/>
      </xdr:nvSpPr>
      <xdr:spPr>
        <a:xfrm>
          <a:off x="401292" y="10687004"/>
          <a:ext cx="3648711" cy="503192"/>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２</a:t>
          </a: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指定管理者制度等の導入</a:t>
          </a:r>
        </a:p>
      </xdr:txBody>
    </xdr:sp>
    <xdr:clientData/>
  </xdr:twoCellAnchor>
  <xdr:twoCellAnchor>
    <xdr:from>
      <xdr:col>46</xdr:col>
      <xdr:colOff>30480</xdr:colOff>
      <xdr:row>1</xdr:row>
      <xdr:rowOff>45720</xdr:rowOff>
    </xdr:from>
    <xdr:to>
      <xdr:col>107</xdr:col>
      <xdr:colOff>182880</xdr:colOff>
      <xdr:row>5</xdr:row>
      <xdr:rowOff>121920</xdr:rowOff>
    </xdr:to>
    <xdr:sp macro="" textlink="">
      <xdr:nvSpPr>
        <xdr:cNvPr id="17" name="角丸四角形 16">
          <a:extLst>
            <a:ext uri="{FF2B5EF4-FFF2-40B4-BE49-F238E27FC236}">
              <a16:creationId xmlns:a16="http://schemas.microsoft.com/office/drawing/2014/main" id="{5C674921-9023-4139-B23D-51DC27885987}"/>
            </a:ext>
          </a:extLst>
        </xdr:cNvPr>
        <xdr:cNvSpPr/>
      </xdr:nvSpPr>
      <xdr:spPr>
        <a:xfrm>
          <a:off x="9819005" y="210820"/>
          <a:ext cx="11934825" cy="723900"/>
        </a:xfrm>
        <a:prstGeom prst="roundRect">
          <a:avLst/>
        </a:prstGeom>
        <a:solidFill>
          <a:srgbClr val="CCFF99"/>
        </a:solidFill>
        <a:ln w="44450" cmpd="thickThi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地方行政サービス改革の取組状況等（令和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4</a:t>
          </a:r>
          <a:r>
            <a:rPr kumimoji="1" lang="ja-JP" altLang="en-US" sz="2800" b="1">
              <a:solidFill>
                <a:sysClr val="windowText" lastClr="000000"/>
              </a:solidFill>
            </a:rPr>
            <a:t>月</a:t>
          </a:r>
          <a:r>
            <a:rPr kumimoji="1" lang="en-US" altLang="ja-JP" sz="2800" b="1">
              <a:solidFill>
                <a:sysClr val="windowText" lastClr="000000"/>
              </a:solidFill>
            </a:rPr>
            <a:t>1</a:t>
          </a:r>
          <a:r>
            <a:rPr kumimoji="1" lang="ja-JP" altLang="en-US" sz="2800" b="1">
              <a:solidFill>
                <a:sysClr val="windowText" lastClr="000000"/>
              </a:solidFill>
            </a:rPr>
            <a:t>日現在）</a:t>
          </a:r>
        </a:p>
      </xdr:txBody>
    </xdr:sp>
    <xdr:clientData/>
  </xdr:twoCellAnchor>
  <xdr:twoCellAnchor>
    <xdr:from>
      <xdr:col>102</xdr:col>
      <xdr:colOff>47614</xdr:colOff>
      <xdr:row>37</xdr:row>
      <xdr:rowOff>59507</xdr:rowOff>
    </xdr:from>
    <xdr:to>
      <xdr:col>105</xdr:col>
      <xdr:colOff>6427</xdr:colOff>
      <xdr:row>39</xdr:row>
      <xdr:rowOff>134558</xdr:rowOff>
    </xdr:to>
    <xdr:sp macro="" textlink="">
      <xdr:nvSpPr>
        <xdr:cNvPr id="18" name="右矢印 17">
          <a:extLst>
            <a:ext uri="{FF2B5EF4-FFF2-40B4-BE49-F238E27FC236}">
              <a16:creationId xmlns:a16="http://schemas.microsoft.com/office/drawing/2014/main" id="{9F90B0E2-8881-47EC-819A-CAE6A166AA85}"/>
            </a:ext>
          </a:extLst>
        </xdr:cNvPr>
        <xdr:cNvSpPr/>
      </xdr:nvSpPr>
      <xdr:spPr>
        <a:xfrm>
          <a:off x="20624789" y="7422332"/>
          <a:ext cx="558888" cy="551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126</xdr:col>
      <xdr:colOff>123098</xdr:colOff>
      <xdr:row>69</xdr:row>
      <xdr:rowOff>160655</xdr:rowOff>
    </xdr:from>
    <xdr:to>
      <xdr:col>128</xdr:col>
      <xdr:colOff>144688</xdr:colOff>
      <xdr:row>71</xdr:row>
      <xdr:rowOff>172720</xdr:rowOff>
    </xdr:to>
    <xdr:sp macro="" textlink="">
      <xdr:nvSpPr>
        <xdr:cNvPr id="19" name="右矢印 9">
          <a:extLst>
            <a:ext uri="{FF2B5EF4-FFF2-40B4-BE49-F238E27FC236}">
              <a16:creationId xmlns:a16="http://schemas.microsoft.com/office/drawing/2014/main" id="{AFA92D62-185C-4075-B0CB-F4A02C689DCD}"/>
            </a:ext>
          </a:extLst>
        </xdr:cNvPr>
        <xdr:cNvSpPr/>
      </xdr:nvSpPr>
      <xdr:spPr>
        <a:xfrm>
          <a:off x="26697848" y="14981555"/>
          <a:ext cx="440690" cy="469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126</xdr:col>
      <xdr:colOff>94161</xdr:colOff>
      <xdr:row>92</xdr:row>
      <xdr:rowOff>189592</xdr:rowOff>
    </xdr:from>
    <xdr:to>
      <xdr:col>128</xdr:col>
      <xdr:colOff>178616</xdr:colOff>
      <xdr:row>95</xdr:row>
      <xdr:rowOff>10613</xdr:rowOff>
    </xdr:to>
    <xdr:sp macro="" textlink="">
      <xdr:nvSpPr>
        <xdr:cNvPr id="20" name="右矢印 10">
          <a:extLst>
            <a:ext uri="{FF2B5EF4-FFF2-40B4-BE49-F238E27FC236}">
              <a16:creationId xmlns:a16="http://schemas.microsoft.com/office/drawing/2014/main" id="{4A4CA52A-F879-43EB-84EC-A514D5C9F17E}"/>
            </a:ext>
          </a:extLst>
        </xdr:cNvPr>
        <xdr:cNvSpPr/>
      </xdr:nvSpPr>
      <xdr:spPr>
        <a:xfrm>
          <a:off x="26668911" y="20268292"/>
          <a:ext cx="503555" cy="50682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J73"/>
  <sheetViews>
    <sheetView view="pageBreakPreview" zoomScale="25" zoomScaleNormal="60" zoomScaleSheetLayoutView="25" zoomScalePageLayoutView="13" workbookViewId="0">
      <pane xSplit="2" ySplit="9" topLeftCell="C10" activePane="bottomRight" state="frozen"/>
      <selection pane="topRight" activeCell="C1" sqref="C1"/>
      <selection pane="bottomLeft" activeCell="A10" sqref="A10"/>
      <selection pane="bottomRight" activeCell="II56" sqref="A10:II56"/>
    </sheetView>
  </sheetViews>
  <sheetFormatPr defaultColWidth="8.88671875" defaultRowHeight="13.2"/>
  <cols>
    <col min="1" max="1" width="13.6640625" style="1" customWidth="1"/>
    <col min="2" max="2" width="13.77734375" style="1" customWidth="1"/>
    <col min="3" max="3" width="10.33203125" style="1" customWidth="1"/>
    <col min="4" max="4" width="6" style="3" customWidth="1"/>
    <col min="5" max="5" width="28.77734375" style="1" customWidth="1"/>
    <col min="6" max="6" width="10.44140625" style="1" customWidth="1"/>
    <col min="7" max="7" width="6" style="3" customWidth="1"/>
    <col min="8" max="8" width="28.77734375" style="1" customWidth="1"/>
    <col min="9" max="9" width="12" style="1" customWidth="1"/>
    <col min="10" max="10" width="6" style="3" customWidth="1"/>
    <col min="11" max="11" width="28.6640625" style="1" customWidth="1"/>
    <col min="12" max="12" width="11.109375" style="1" customWidth="1"/>
    <col min="13" max="13" width="6" style="3" customWidth="1"/>
    <col min="14" max="14" width="28.6640625" style="1" customWidth="1"/>
    <col min="15" max="15" width="9.109375" style="1" customWidth="1"/>
    <col min="16" max="16" width="6" style="3" customWidth="1"/>
    <col min="17" max="17" width="28.6640625" style="1" customWidth="1"/>
    <col min="18" max="18" width="11.77734375" style="1" customWidth="1"/>
    <col min="19" max="19" width="6" style="3" customWidth="1"/>
    <col min="20" max="20" width="28.6640625" style="1" customWidth="1"/>
    <col min="21" max="21" width="10.44140625" style="1" customWidth="1"/>
    <col min="22" max="22" width="6" style="3" customWidth="1"/>
    <col min="23" max="23" width="28.6640625" style="1" customWidth="1"/>
    <col min="24" max="26" width="7.88671875" style="1" customWidth="1"/>
    <col min="27" max="27" width="10.44140625" style="1" customWidth="1"/>
    <col min="28" max="29" width="7.88671875" style="1" customWidth="1"/>
    <col min="30" max="30" width="10.5546875" style="1" customWidth="1"/>
    <col min="31" max="31" width="7.6640625" style="1" customWidth="1"/>
    <col min="32" max="32" width="28.77734375" style="1" customWidth="1"/>
    <col min="33" max="33" width="19" style="1" customWidth="1"/>
    <col min="34" max="34" width="9.33203125" style="1" customWidth="1"/>
    <col min="35" max="35" width="6" style="3" customWidth="1"/>
    <col min="36" max="36" width="28.6640625" style="1" customWidth="1"/>
    <col min="37" max="37" width="10.109375" style="1" customWidth="1"/>
    <col min="38" max="38" width="6" style="3" customWidth="1"/>
    <col min="39" max="39" width="28.6640625" style="1" customWidth="1"/>
    <col min="40" max="40" width="10.88671875" style="1" customWidth="1"/>
    <col min="41" max="41" width="6" style="3" customWidth="1"/>
    <col min="42" max="42" width="28.6640625" style="1" customWidth="1"/>
    <col min="43" max="43" width="10" style="1" customWidth="1"/>
    <col min="44" max="44" width="6" style="3" customWidth="1"/>
    <col min="45" max="45" width="28.6640625" style="1" customWidth="1"/>
    <col min="46" max="46" width="11.44140625" style="1" customWidth="1"/>
    <col min="47" max="47" width="6" style="3" customWidth="1"/>
    <col min="48" max="48" width="28.6640625" style="1" customWidth="1"/>
    <col min="49" max="50" width="8.77734375" style="1" customWidth="1"/>
    <col min="51" max="51" width="9.21875" style="2" customWidth="1"/>
    <col min="52" max="52" width="29.44140625" style="1" customWidth="1"/>
    <col min="53" max="53" width="9" style="1" customWidth="1"/>
    <col min="54" max="54" width="27.88671875" style="1" customWidth="1"/>
    <col min="55" max="56" width="8.77734375" style="1" customWidth="1"/>
    <col min="57" max="57" width="9.21875" style="2" customWidth="1"/>
    <col min="58" max="58" width="29.33203125" style="1" customWidth="1"/>
    <col min="59" max="59" width="8" style="1" customWidth="1"/>
    <col min="60" max="60" width="27.88671875" style="1" customWidth="1"/>
    <col min="61" max="62" width="8.77734375" style="1" customWidth="1"/>
    <col min="63" max="63" width="9.21875" style="2" customWidth="1"/>
    <col min="64" max="64" width="27.6640625" style="1" customWidth="1"/>
    <col min="65" max="65" width="8.77734375" style="1" customWidth="1"/>
    <col min="66" max="66" width="27.88671875" style="1" customWidth="1"/>
    <col min="67" max="68" width="8.77734375" style="1" customWidth="1"/>
    <col min="69" max="69" width="9.21875" style="3" customWidth="1"/>
    <col min="70" max="70" width="27.6640625" style="1" customWidth="1"/>
    <col min="71" max="71" width="8.77734375" style="1" customWidth="1"/>
    <col min="72" max="72" width="27.88671875" style="1" customWidth="1"/>
    <col min="73" max="74" width="8.77734375" style="1" customWidth="1"/>
    <col min="75" max="75" width="9" style="2" customWidth="1"/>
    <col min="76" max="76" width="27.77734375" style="1" customWidth="1"/>
    <col min="77" max="77" width="8.77734375" style="1" customWidth="1"/>
    <col min="78" max="78" width="27.88671875" style="1" customWidth="1"/>
    <col min="79" max="80" width="8.77734375" style="1" customWidth="1"/>
    <col min="81" max="81" width="9.21875" style="5" customWidth="1"/>
    <col min="82" max="82" width="27" style="1" customWidth="1"/>
    <col min="83" max="83" width="8.77734375" style="1" customWidth="1"/>
    <col min="84" max="84" width="27.88671875" style="1" customWidth="1"/>
    <col min="85" max="86" width="8.77734375" style="1" customWidth="1"/>
    <col min="87" max="87" width="9" style="2" customWidth="1"/>
    <col min="88" max="88" width="27.44140625" style="1" customWidth="1"/>
    <col min="89" max="89" width="8.77734375" style="1" customWidth="1"/>
    <col min="90" max="90" width="27.88671875" style="1" customWidth="1"/>
    <col min="91" max="92" width="8.77734375" style="1" customWidth="1"/>
    <col min="93" max="93" width="9.21875" style="2" customWidth="1"/>
    <col min="94" max="94" width="27.77734375" style="1" customWidth="1"/>
    <col min="95" max="95" width="8.77734375" style="1" customWidth="1"/>
    <col min="96" max="96" width="27.88671875" style="1" customWidth="1"/>
    <col min="97" max="98" width="8.77734375" style="1" customWidth="1"/>
    <col min="99" max="99" width="9" style="2" customWidth="1"/>
    <col min="100" max="100" width="27.44140625" style="1" customWidth="1"/>
    <col min="101" max="101" width="8.77734375" style="1" customWidth="1"/>
    <col min="102" max="102" width="27.88671875" style="1" customWidth="1"/>
    <col min="103" max="104" width="8.77734375" style="1" customWidth="1"/>
    <col min="105" max="105" width="9.21875" style="2" customWidth="1"/>
    <col min="106" max="106" width="27.44140625" style="1" customWidth="1"/>
    <col min="107" max="107" width="8.88671875" style="1" customWidth="1"/>
    <col min="108" max="108" width="27.88671875" style="1" customWidth="1"/>
    <col min="109" max="110" width="8.77734375" style="1" customWidth="1"/>
    <col min="111" max="111" width="9" style="2" customWidth="1"/>
    <col min="112" max="112" width="27.44140625" style="1" customWidth="1"/>
    <col min="113" max="113" width="8.77734375" style="4" customWidth="1"/>
    <col min="114" max="114" width="27.88671875" style="1" customWidth="1"/>
    <col min="115" max="115" width="8.77734375" style="1" customWidth="1"/>
    <col min="116" max="116" width="9.33203125" style="1" customWidth="1"/>
    <col min="117" max="117" width="9.21875" style="2" customWidth="1"/>
    <col min="118" max="118" width="27.44140625" style="1" customWidth="1"/>
    <col min="119" max="119" width="8.77734375" style="1" customWidth="1"/>
    <col min="120" max="120" width="27.88671875" style="1" customWidth="1"/>
    <col min="121" max="122" width="8.77734375" style="1" customWidth="1"/>
    <col min="123" max="123" width="9.21875" style="2" customWidth="1"/>
    <col min="124" max="124" width="27.44140625" style="1" customWidth="1"/>
    <col min="125" max="125" width="8.77734375" style="1" customWidth="1"/>
    <col min="126" max="126" width="27.88671875" style="1" customWidth="1"/>
    <col min="127" max="128" width="8.77734375" style="1" customWidth="1"/>
    <col min="129" max="129" width="9.44140625" style="2" customWidth="1"/>
    <col min="130" max="130" width="30.109375" style="1" customWidth="1"/>
    <col min="131" max="131" width="8.88671875" style="1" customWidth="1"/>
    <col min="132" max="132" width="28.109375" style="1" customWidth="1"/>
    <col min="133" max="134" width="8.77734375" style="1" customWidth="1"/>
    <col min="135" max="135" width="9" style="2" customWidth="1"/>
    <col min="136" max="136" width="27.21875" style="1" customWidth="1"/>
    <col min="137" max="137" width="8.77734375" style="1" customWidth="1"/>
    <col min="138" max="138" width="27.88671875" style="1" customWidth="1"/>
    <col min="139" max="140" width="8.77734375" style="1" customWidth="1"/>
    <col min="141" max="141" width="9.21875" style="2" customWidth="1"/>
    <col min="142" max="142" width="27.44140625" style="1" customWidth="1"/>
    <col min="143" max="143" width="8.77734375" style="1" customWidth="1"/>
    <col min="144" max="144" width="27.88671875" style="1" customWidth="1"/>
    <col min="145" max="145" width="9" style="1" customWidth="1"/>
    <col min="146" max="146" width="8.77734375" style="1" customWidth="1"/>
    <col min="147" max="147" width="9.21875" style="2" customWidth="1"/>
    <col min="148" max="148" width="27.109375" style="1" customWidth="1"/>
    <col min="149" max="149" width="8.77734375" style="1" customWidth="1"/>
    <col min="150" max="150" width="27.6640625" style="1" customWidth="1"/>
    <col min="151" max="152" width="8.77734375" style="1" customWidth="1"/>
    <col min="153" max="153" width="9" style="2" customWidth="1"/>
    <col min="154" max="154" width="27.44140625" style="1" customWidth="1"/>
    <col min="155" max="155" width="8.77734375" style="1" customWidth="1"/>
    <col min="156" max="156" width="27.88671875" style="1" customWidth="1"/>
    <col min="157" max="158" width="8.77734375" style="1" customWidth="1"/>
    <col min="159" max="159" width="9" style="2" customWidth="1"/>
    <col min="160" max="160" width="27.6640625" style="1" customWidth="1"/>
    <col min="161" max="161" width="8.6640625" style="1" customWidth="1"/>
    <col min="162" max="162" width="27.88671875" style="1" customWidth="1"/>
    <col min="163" max="164" width="8.77734375" style="1" customWidth="1"/>
    <col min="165" max="165" width="9" style="3" customWidth="1"/>
    <col min="166" max="166" width="27.6640625" style="1" customWidth="1"/>
    <col min="167" max="167" width="8.6640625" style="1" customWidth="1"/>
    <col min="168" max="168" width="27.88671875" style="1" customWidth="1"/>
    <col min="169" max="170" width="8.77734375" style="1" customWidth="1"/>
    <col min="171" max="171" width="9.21875" style="2" customWidth="1"/>
    <col min="172" max="172" width="26.88671875" style="1" customWidth="1"/>
    <col min="173" max="173" width="8.6640625" style="1" customWidth="1"/>
    <col min="174" max="174" width="27.88671875" style="1" customWidth="1"/>
    <col min="175" max="176" width="8.77734375" style="1" customWidth="1"/>
    <col min="177" max="177" width="9" style="2" customWidth="1"/>
    <col min="178" max="178" width="27.33203125" style="1" customWidth="1"/>
    <col min="179" max="179" width="8.6640625" style="1" customWidth="1"/>
    <col min="180" max="180" width="27.88671875" style="1" customWidth="1"/>
    <col min="181" max="182" width="8.77734375" style="1" customWidth="1"/>
    <col min="183" max="183" width="9" style="2" customWidth="1"/>
    <col min="184" max="184" width="27.21875" style="1" customWidth="1"/>
    <col min="185" max="185" width="8.6640625" style="1" customWidth="1"/>
    <col min="186" max="186" width="27.88671875" style="1" customWidth="1"/>
    <col min="187" max="187" width="17" style="1" customWidth="1"/>
    <col min="188" max="188" width="17.44140625" style="1" customWidth="1"/>
    <col min="189" max="192" width="5.77734375" style="1" customWidth="1"/>
    <col min="193" max="193" width="76" style="1" customWidth="1"/>
    <col min="194" max="196" width="5.88671875" style="1" customWidth="1"/>
    <col min="197" max="197" width="6.88671875" style="1" customWidth="1"/>
    <col min="198" max="198" width="12.21875" style="1" customWidth="1"/>
    <col min="199" max="199" width="13.21875" style="1" customWidth="1"/>
    <col min="200" max="201" width="17" style="1" customWidth="1"/>
    <col min="202" max="203" width="12.6640625" style="1" customWidth="1"/>
    <col min="204" max="204" width="24.21875" style="1" customWidth="1"/>
    <col min="205" max="206" width="12.6640625" style="1" customWidth="1"/>
    <col min="207" max="207" width="24.21875" style="1" customWidth="1"/>
    <col min="208" max="213" width="5.44140625" style="1" customWidth="1"/>
    <col min="214" max="214" width="15.6640625" style="1" customWidth="1"/>
    <col min="215" max="220" width="5.44140625" style="1" customWidth="1"/>
    <col min="221" max="221" width="15.6640625" style="1" customWidth="1"/>
    <col min="222" max="227" width="5.44140625" style="1" customWidth="1"/>
    <col min="228" max="228" width="15.6640625" style="1" customWidth="1"/>
    <col min="229" max="232" width="5.44140625" style="1" customWidth="1"/>
    <col min="233" max="233" width="15.6640625" style="1" customWidth="1"/>
    <col min="234" max="237" width="5.44140625" style="1" customWidth="1"/>
    <col min="238" max="238" width="15.6640625" style="1" customWidth="1"/>
    <col min="239" max="242" width="5.44140625" style="1" customWidth="1"/>
    <col min="243" max="243" width="15.6640625" style="1" customWidth="1"/>
    <col min="244" max="244" width="5.77734375" style="50" customWidth="1"/>
    <col min="245" max="16384" width="8.88671875" style="1"/>
  </cols>
  <sheetData>
    <row r="1" spans="1:244" ht="40.799999999999997" customHeight="1">
      <c r="A1" s="44" t="s">
        <v>145</v>
      </c>
    </row>
    <row r="2" spans="1:244" ht="18.600000000000001" customHeight="1">
      <c r="A2" s="212" t="s">
        <v>64</v>
      </c>
      <c r="B2" s="212" t="s">
        <v>63</v>
      </c>
      <c r="C2" s="283" t="s">
        <v>62</v>
      </c>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t="s">
        <v>61</v>
      </c>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c r="BX2" s="283"/>
      <c r="BY2" s="283"/>
      <c r="BZ2" s="283"/>
      <c r="CA2" s="283"/>
      <c r="CB2" s="283"/>
      <c r="CC2" s="283"/>
      <c r="CD2" s="283"/>
      <c r="CE2" s="283"/>
      <c r="CF2" s="283"/>
      <c r="CG2" s="283"/>
      <c r="CH2" s="283"/>
      <c r="CI2" s="283"/>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3"/>
      <c r="DP2" s="283"/>
      <c r="DQ2" s="283"/>
      <c r="DR2" s="283"/>
      <c r="DS2" s="283"/>
      <c r="DT2" s="283"/>
      <c r="DU2" s="283"/>
      <c r="DV2" s="283"/>
      <c r="DW2" s="283"/>
      <c r="DX2" s="283"/>
      <c r="DY2" s="283"/>
      <c r="DZ2" s="283"/>
      <c r="EA2" s="283"/>
      <c r="EB2" s="283"/>
      <c r="EC2" s="283"/>
      <c r="ED2" s="283"/>
      <c r="EE2" s="283"/>
      <c r="EF2" s="283"/>
      <c r="EG2" s="283"/>
      <c r="EH2" s="283"/>
      <c r="EI2" s="283"/>
      <c r="EJ2" s="283"/>
      <c r="EK2" s="283"/>
      <c r="EL2" s="283"/>
      <c r="EM2" s="283"/>
      <c r="EN2" s="283"/>
      <c r="EO2" s="283"/>
      <c r="EP2" s="283"/>
      <c r="EQ2" s="283"/>
      <c r="ER2" s="283"/>
      <c r="ES2" s="283"/>
      <c r="ET2" s="283"/>
      <c r="EU2" s="283"/>
      <c r="EV2" s="283"/>
      <c r="EW2" s="283"/>
      <c r="EX2" s="283"/>
      <c r="EY2" s="283"/>
      <c r="EZ2" s="283"/>
      <c r="FA2" s="283"/>
      <c r="FB2" s="283"/>
      <c r="FC2" s="283"/>
      <c r="FD2" s="283"/>
      <c r="FE2" s="283"/>
      <c r="FF2" s="283"/>
      <c r="FG2" s="283"/>
      <c r="FH2" s="283"/>
      <c r="FI2" s="283"/>
      <c r="FJ2" s="283"/>
      <c r="FK2" s="283"/>
      <c r="FL2" s="283"/>
      <c r="FM2" s="283"/>
      <c r="FN2" s="283"/>
      <c r="FO2" s="283"/>
      <c r="FP2" s="283"/>
      <c r="FQ2" s="283"/>
      <c r="FR2" s="283"/>
      <c r="FS2" s="283"/>
      <c r="FT2" s="283"/>
      <c r="FU2" s="283"/>
      <c r="FV2" s="283"/>
      <c r="FW2" s="283"/>
      <c r="FX2" s="283"/>
      <c r="FY2" s="283"/>
      <c r="FZ2" s="283"/>
      <c r="GA2" s="283"/>
      <c r="GB2" s="283"/>
      <c r="GC2" s="283"/>
      <c r="GD2" s="283"/>
      <c r="GE2" s="250" t="s">
        <v>549</v>
      </c>
      <c r="GF2" s="250"/>
      <c r="GG2" s="250"/>
      <c r="GH2" s="250"/>
      <c r="GI2" s="250"/>
      <c r="GJ2" s="250"/>
      <c r="GK2" s="250"/>
      <c r="GL2" s="250"/>
      <c r="GM2" s="250"/>
      <c r="GN2" s="250"/>
      <c r="GO2" s="250"/>
      <c r="GP2" s="250"/>
      <c r="GQ2" s="250"/>
      <c r="GR2" s="266" t="s">
        <v>550</v>
      </c>
      <c r="GS2" s="266"/>
      <c r="GT2" s="263" t="s">
        <v>551</v>
      </c>
      <c r="GU2" s="263"/>
      <c r="GV2" s="264"/>
      <c r="GW2" s="265" t="s">
        <v>552</v>
      </c>
      <c r="GX2" s="263"/>
      <c r="GY2" s="264"/>
      <c r="GZ2" s="283" t="s">
        <v>646</v>
      </c>
      <c r="HA2" s="283"/>
      <c r="HB2" s="283"/>
      <c r="HC2" s="283"/>
      <c r="HD2" s="283"/>
      <c r="HE2" s="283"/>
      <c r="HF2" s="283"/>
      <c r="HG2" s="283"/>
      <c r="HH2" s="283"/>
      <c r="HI2" s="283"/>
      <c r="HJ2" s="283"/>
      <c r="HK2" s="283"/>
      <c r="HL2" s="283"/>
      <c r="HM2" s="283"/>
      <c r="HN2" s="283"/>
      <c r="HO2" s="283"/>
      <c r="HP2" s="283"/>
      <c r="HQ2" s="283"/>
      <c r="HR2" s="283"/>
      <c r="HS2" s="283"/>
      <c r="HT2" s="283"/>
      <c r="HU2" s="283"/>
      <c r="HV2" s="283"/>
      <c r="HW2" s="283"/>
      <c r="HX2" s="283"/>
      <c r="HY2" s="283"/>
      <c r="HZ2" s="283"/>
      <c r="IA2" s="283"/>
      <c r="IB2" s="283"/>
      <c r="IC2" s="283"/>
      <c r="ID2" s="283"/>
      <c r="IE2" s="283"/>
      <c r="IF2" s="283"/>
      <c r="IG2" s="283"/>
      <c r="IH2" s="283"/>
      <c r="II2" s="283"/>
    </row>
    <row r="3" spans="1:244" ht="21.6" customHeight="1">
      <c r="A3" s="212"/>
      <c r="B3" s="212"/>
      <c r="C3" s="258" t="s">
        <v>60</v>
      </c>
      <c r="D3" s="258"/>
      <c r="E3" s="258"/>
      <c r="F3" s="258" t="s">
        <v>59</v>
      </c>
      <c r="G3" s="258"/>
      <c r="H3" s="258"/>
      <c r="I3" s="258" t="s">
        <v>58</v>
      </c>
      <c r="J3" s="258"/>
      <c r="K3" s="258"/>
      <c r="L3" s="258" t="s">
        <v>57</v>
      </c>
      <c r="M3" s="258"/>
      <c r="N3" s="258"/>
      <c r="O3" s="258" t="s">
        <v>56</v>
      </c>
      <c r="P3" s="258"/>
      <c r="Q3" s="258"/>
      <c r="R3" s="258" t="s">
        <v>55</v>
      </c>
      <c r="S3" s="258"/>
      <c r="T3" s="258"/>
      <c r="U3" s="207" t="s">
        <v>54</v>
      </c>
      <c r="V3" s="207"/>
      <c r="W3" s="207"/>
      <c r="X3" s="207" t="s">
        <v>147</v>
      </c>
      <c r="Y3" s="207"/>
      <c r="Z3" s="207"/>
      <c r="AA3" s="207"/>
      <c r="AB3" s="207"/>
      <c r="AC3" s="207"/>
      <c r="AD3" s="207"/>
      <c r="AE3" s="207"/>
      <c r="AF3" s="207"/>
      <c r="AG3" s="207"/>
      <c r="AH3" s="258" t="s">
        <v>53</v>
      </c>
      <c r="AI3" s="258"/>
      <c r="AJ3" s="258"/>
      <c r="AK3" s="258" t="s">
        <v>52</v>
      </c>
      <c r="AL3" s="258"/>
      <c r="AM3" s="258"/>
      <c r="AN3" s="258" t="s">
        <v>51</v>
      </c>
      <c r="AO3" s="258"/>
      <c r="AP3" s="258"/>
      <c r="AQ3" s="258" t="s">
        <v>50</v>
      </c>
      <c r="AR3" s="258"/>
      <c r="AS3" s="258"/>
      <c r="AT3" s="258" t="s">
        <v>49</v>
      </c>
      <c r="AU3" s="258"/>
      <c r="AV3" s="258"/>
      <c r="AW3" s="259" t="s">
        <v>48</v>
      </c>
      <c r="AX3" s="259"/>
      <c r="AY3" s="259"/>
      <c r="AZ3" s="259"/>
      <c r="BA3" s="259"/>
      <c r="BB3" s="259"/>
      <c r="BC3" s="259" t="s">
        <v>47</v>
      </c>
      <c r="BD3" s="259"/>
      <c r="BE3" s="259"/>
      <c r="BF3" s="259"/>
      <c r="BG3" s="259"/>
      <c r="BH3" s="259"/>
      <c r="BI3" s="259" t="s">
        <v>46</v>
      </c>
      <c r="BJ3" s="259"/>
      <c r="BK3" s="259"/>
      <c r="BL3" s="259"/>
      <c r="BM3" s="259"/>
      <c r="BN3" s="259"/>
      <c r="BO3" s="259" t="s">
        <v>45</v>
      </c>
      <c r="BP3" s="259"/>
      <c r="BQ3" s="259"/>
      <c r="BR3" s="259"/>
      <c r="BS3" s="259"/>
      <c r="BT3" s="259"/>
      <c r="BU3" s="259" t="s">
        <v>44</v>
      </c>
      <c r="BV3" s="259"/>
      <c r="BW3" s="259"/>
      <c r="BX3" s="259"/>
      <c r="BY3" s="259"/>
      <c r="BZ3" s="259"/>
      <c r="CA3" s="259" t="s">
        <v>43</v>
      </c>
      <c r="CB3" s="259"/>
      <c r="CC3" s="259"/>
      <c r="CD3" s="259"/>
      <c r="CE3" s="259"/>
      <c r="CF3" s="259"/>
      <c r="CG3" s="259" t="s">
        <v>42</v>
      </c>
      <c r="CH3" s="259"/>
      <c r="CI3" s="259"/>
      <c r="CJ3" s="259"/>
      <c r="CK3" s="259"/>
      <c r="CL3" s="259"/>
      <c r="CM3" s="259" t="s">
        <v>41</v>
      </c>
      <c r="CN3" s="259"/>
      <c r="CO3" s="259"/>
      <c r="CP3" s="259"/>
      <c r="CQ3" s="259"/>
      <c r="CR3" s="259"/>
      <c r="CS3" s="259" t="s">
        <v>40</v>
      </c>
      <c r="CT3" s="259"/>
      <c r="CU3" s="259"/>
      <c r="CV3" s="259"/>
      <c r="CW3" s="259"/>
      <c r="CX3" s="259"/>
      <c r="CY3" s="259" t="s">
        <v>39</v>
      </c>
      <c r="CZ3" s="259"/>
      <c r="DA3" s="259"/>
      <c r="DB3" s="259"/>
      <c r="DC3" s="259"/>
      <c r="DD3" s="259"/>
      <c r="DE3" s="259" t="s">
        <v>38</v>
      </c>
      <c r="DF3" s="259"/>
      <c r="DG3" s="259"/>
      <c r="DH3" s="259"/>
      <c r="DI3" s="259"/>
      <c r="DJ3" s="259"/>
      <c r="DK3" s="260" t="s">
        <v>37</v>
      </c>
      <c r="DL3" s="260"/>
      <c r="DM3" s="260"/>
      <c r="DN3" s="260"/>
      <c r="DO3" s="260"/>
      <c r="DP3" s="260"/>
      <c r="DQ3" s="259" t="s">
        <v>36</v>
      </c>
      <c r="DR3" s="259"/>
      <c r="DS3" s="259"/>
      <c r="DT3" s="259"/>
      <c r="DU3" s="259"/>
      <c r="DV3" s="259"/>
      <c r="DW3" s="259" t="s">
        <v>35</v>
      </c>
      <c r="DX3" s="259"/>
      <c r="DY3" s="259"/>
      <c r="DZ3" s="259"/>
      <c r="EA3" s="259"/>
      <c r="EB3" s="259"/>
      <c r="EC3" s="259" t="s">
        <v>34</v>
      </c>
      <c r="ED3" s="259"/>
      <c r="EE3" s="259"/>
      <c r="EF3" s="259"/>
      <c r="EG3" s="259"/>
      <c r="EH3" s="259"/>
      <c r="EI3" s="259" t="s">
        <v>33</v>
      </c>
      <c r="EJ3" s="259"/>
      <c r="EK3" s="259"/>
      <c r="EL3" s="259"/>
      <c r="EM3" s="259"/>
      <c r="EN3" s="259"/>
      <c r="EO3" s="259" t="s">
        <v>446</v>
      </c>
      <c r="EP3" s="259"/>
      <c r="EQ3" s="259"/>
      <c r="ER3" s="259"/>
      <c r="ES3" s="259"/>
      <c r="ET3" s="259"/>
      <c r="EU3" s="259" t="s">
        <v>32</v>
      </c>
      <c r="EV3" s="259"/>
      <c r="EW3" s="259"/>
      <c r="EX3" s="259"/>
      <c r="EY3" s="259"/>
      <c r="EZ3" s="259"/>
      <c r="FA3" s="259" t="s">
        <v>31</v>
      </c>
      <c r="FB3" s="259"/>
      <c r="FC3" s="259"/>
      <c r="FD3" s="259"/>
      <c r="FE3" s="259"/>
      <c r="FF3" s="259"/>
      <c r="FG3" s="259" t="s">
        <v>30</v>
      </c>
      <c r="FH3" s="259"/>
      <c r="FI3" s="259"/>
      <c r="FJ3" s="259"/>
      <c r="FK3" s="259"/>
      <c r="FL3" s="259"/>
      <c r="FM3" s="259" t="s">
        <v>405</v>
      </c>
      <c r="FN3" s="259"/>
      <c r="FO3" s="259"/>
      <c r="FP3" s="259"/>
      <c r="FQ3" s="259"/>
      <c r="FR3" s="259"/>
      <c r="FS3" s="259" t="s">
        <v>29</v>
      </c>
      <c r="FT3" s="259"/>
      <c r="FU3" s="259"/>
      <c r="FV3" s="259"/>
      <c r="FW3" s="259"/>
      <c r="FX3" s="259"/>
      <c r="FY3" s="273" t="s">
        <v>28</v>
      </c>
      <c r="FZ3" s="273"/>
      <c r="GA3" s="273"/>
      <c r="GB3" s="273"/>
      <c r="GC3" s="273"/>
      <c r="GD3" s="273"/>
      <c r="GE3" s="253" t="s">
        <v>27</v>
      </c>
      <c r="GF3" s="253" t="s">
        <v>26</v>
      </c>
      <c r="GG3" s="274" t="s">
        <v>25</v>
      </c>
      <c r="GH3" s="275"/>
      <c r="GI3" s="275"/>
      <c r="GJ3" s="275"/>
      <c r="GK3" s="276"/>
      <c r="GL3" s="212" t="s">
        <v>24</v>
      </c>
      <c r="GM3" s="212"/>
      <c r="GN3" s="212"/>
      <c r="GO3" s="212"/>
      <c r="GP3" s="255" t="s">
        <v>23</v>
      </c>
      <c r="GQ3" s="256" t="s">
        <v>615</v>
      </c>
      <c r="GR3" s="267" t="s">
        <v>22</v>
      </c>
      <c r="GS3" s="268"/>
      <c r="GT3" s="208" t="s">
        <v>21</v>
      </c>
      <c r="GU3" s="208"/>
      <c r="GV3" s="208"/>
      <c r="GW3" s="208" t="s">
        <v>547</v>
      </c>
      <c r="GX3" s="208"/>
      <c r="GY3" s="208"/>
      <c r="GZ3" s="253" t="s">
        <v>647</v>
      </c>
      <c r="HA3" s="253"/>
      <c r="HB3" s="253"/>
      <c r="HC3" s="253"/>
      <c r="HD3" s="253"/>
      <c r="HE3" s="253"/>
      <c r="HF3" s="253"/>
      <c r="HG3" s="253"/>
      <c r="HH3" s="253"/>
      <c r="HI3" s="253"/>
      <c r="HJ3" s="253"/>
      <c r="HK3" s="253"/>
      <c r="HL3" s="253"/>
      <c r="HM3" s="253"/>
      <c r="HN3" s="253"/>
      <c r="HO3" s="253"/>
      <c r="HP3" s="253"/>
      <c r="HQ3" s="253"/>
      <c r="HR3" s="253"/>
      <c r="HS3" s="253"/>
      <c r="HT3" s="253"/>
      <c r="HU3" s="253" t="s">
        <v>648</v>
      </c>
      <c r="HV3" s="253"/>
      <c r="HW3" s="253"/>
      <c r="HX3" s="253"/>
      <c r="HY3" s="253"/>
      <c r="HZ3" s="253"/>
      <c r="IA3" s="253"/>
      <c r="IB3" s="253"/>
      <c r="IC3" s="253"/>
      <c r="ID3" s="253"/>
      <c r="IE3" s="253"/>
      <c r="IF3" s="253"/>
      <c r="IG3" s="253"/>
      <c r="IH3" s="253"/>
      <c r="II3" s="253"/>
    </row>
    <row r="4" spans="1:244" ht="9" customHeight="1">
      <c r="A4" s="212"/>
      <c r="B4" s="212"/>
      <c r="C4" s="258"/>
      <c r="D4" s="258"/>
      <c r="E4" s="258"/>
      <c r="F4" s="258"/>
      <c r="G4" s="258"/>
      <c r="H4" s="258"/>
      <c r="I4" s="258"/>
      <c r="J4" s="258"/>
      <c r="K4" s="258"/>
      <c r="L4" s="258"/>
      <c r="M4" s="258"/>
      <c r="N4" s="258"/>
      <c r="O4" s="258"/>
      <c r="P4" s="258"/>
      <c r="Q4" s="258"/>
      <c r="R4" s="258"/>
      <c r="S4" s="258"/>
      <c r="T4" s="258"/>
      <c r="U4" s="207"/>
      <c r="V4" s="207"/>
      <c r="W4" s="207"/>
      <c r="X4" s="207"/>
      <c r="Y4" s="207"/>
      <c r="Z4" s="207"/>
      <c r="AA4" s="207"/>
      <c r="AB4" s="207"/>
      <c r="AC4" s="207"/>
      <c r="AD4" s="207"/>
      <c r="AE4" s="207"/>
      <c r="AF4" s="207"/>
      <c r="AG4" s="207"/>
      <c r="AH4" s="258"/>
      <c r="AI4" s="258"/>
      <c r="AJ4" s="258"/>
      <c r="AK4" s="258"/>
      <c r="AL4" s="258"/>
      <c r="AM4" s="258"/>
      <c r="AN4" s="258"/>
      <c r="AO4" s="258"/>
      <c r="AP4" s="258"/>
      <c r="AQ4" s="258"/>
      <c r="AR4" s="258"/>
      <c r="AS4" s="258"/>
      <c r="AT4" s="258"/>
      <c r="AU4" s="258"/>
      <c r="AV4" s="258"/>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60"/>
      <c r="DL4" s="260"/>
      <c r="DM4" s="260"/>
      <c r="DN4" s="260"/>
      <c r="DO4" s="260"/>
      <c r="DP4" s="260"/>
      <c r="DQ4" s="259"/>
      <c r="DR4" s="259"/>
      <c r="DS4" s="259"/>
      <c r="DT4" s="259"/>
      <c r="DU4" s="259"/>
      <c r="DV4" s="259"/>
      <c r="DW4" s="259"/>
      <c r="DX4" s="259"/>
      <c r="DY4" s="259"/>
      <c r="DZ4" s="259"/>
      <c r="EA4" s="259"/>
      <c r="EB4" s="259"/>
      <c r="EC4" s="259"/>
      <c r="ED4" s="259"/>
      <c r="EE4" s="259"/>
      <c r="EF4" s="259"/>
      <c r="EG4" s="259"/>
      <c r="EH4" s="259"/>
      <c r="EI4" s="259"/>
      <c r="EJ4" s="259"/>
      <c r="EK4" s="259"/>
      <c r="EL4" s="259"/>
      <c r="EM4" s="259"/>
      <c r="EN4" s="259"/>
      <c r="EO4" s="259"/>
      <c r="EP4" s="259"/>
      <c r="EQ4" s="259"/>
      <c r="ER4" s="259"/>
      <c r="ES4" s="259"/>
      <c r="ET4" s="259"/>
      <c r="EU4" s="259"/>
      <c r="EV4" s="259"/>
      <c r="EW4" s="259"/>
      <c r="EX4" s="259"/>
      <c r="EY4" s="259"/>
      <c r="EZ4" s="259"/>
      <c r="FA4" s="259"/>
      <c r="FB4" s="259"/>
      <c r="FC4" s="259"/>
      <c r="FD4" s="259"/>
      <c r="FE4" s="259"/>
      <c r="FF4" s="259"/>
      <c r="FG4" s="259"/>
      <c r="FH4" s="259"/>
      <c r="FI4" s="259"/>
      <c r="FJ4" s="259"/>
      <c r="FK4" s="259"/>
      <c r="FL4" s="259"/>
      <c r="FM4" s="259"/>
      <c r="FN4" s="259"/>
      <c r="FO4" s="259"/>
      <c r="FP4" s="259"/>
      <c r="FQ4" s="259"/>
      <c r="FR4" s="259"/>
      <c r="FS4" s="259"/>
      <c r="FT4" s="259"/>
      <c r="FU4" s="259"/>
      <c r="FV4" s="259"/>
      <c r="FW4" s="259"/>
      <c r="FX4" s="259"/>
      <c r="FY4" s="273"/>
      <c r="FZ4" s="273"/>
      <c r="GA4" s="273"/>
      <c r="GB4" s="273"/>
      <c r="GC4" s="273"/>
      <c r="GD4" s="273"/>
      <c r="GE4" s="253"/>
      <c r="GF4" s="253"/>
      <c r="GG4" s="277"/>
      <c r="GH4" s="278"/>
      <c r="GI4" s="278"/>
      <c r="GJ4" s="278"/>
      <c r="GK4" s="279"/>
      <c r="GL4" s="212"/>
      <c r="GM4" s="212"/>
      <c r="GN4" s="212"/>
      <c r="GO4" s="212"/>
      <c r="GP4" s="255"/>
      <c r="GQ4" s="257"/>
      <c r="GR4" s="269"/>
      <c r="GS4" s="270"/>
      <c r="GT4" s="208"/>
      <c r="GU4" s="208"/>
      <c r="GV4" s="208"/>
      <c r="GW4" s="208"/>
      <c r="GX4" s="208"/>
      <c r="GY4" s="208"/>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row>
    <row r="5" spans="1:244" ht="12.6" customHeight="1">
      <c r="A5" s="212"/>
      <c r="B5" s="212"/>
      <c r="C5" s="250" t="s">
        <v>20</v>
      </c>
      <c r="D5" s="251" t="s">
        <v>19</v>
      </c>
      <c r="E5" s="212" t="s">
        <v>441</v>
      </c>
      <c r="F5" s="250" t="s">
        <v>20</v>
      </c>
      <c r="G5" s="251" t="s">
        <v>19</v>
      </c>
      <c r="H5" s="212" t="s">
        <v>441</v>
      </c>
      <c r="I5" s="250" t="s">
        <v>20</v>
      </c>
      <c r="J5" s="251" t="s">
        <v>19</v>
      </c>
      <c r="K5" s="212" t="s">
        <v>441</v>
      </c>
      <c r="L5" s="250" t="s">
        <v>20</v>
      </c>
      <c r="M5" s="251" t="s">
        <v>19</v>
      </c>
      <c r="N5" s="212" t="s">
        <v>441</v>
      </c>
      <c r="O5" s="250" t="s">
        <v>20</v>
      </c>
      <c r="P5" s="251" t="s">
        <v>19</v>
      </c>
      <c r="Q5" s="212" t="s">
        <v>441</v>
      </c>
      <c r="R5" s="250" t="s">
        <v>20</v>
      </c>
      <c r="S5" s="251" t="s">
        <v>19</v>
      </c>
      <c r="T5" s="212" t="s">
        <v>441</v>
      </c>
      <c r="U5" s="250" t="s">
        <v>20</v>
      </c>
      <c r="V5" s="251" t="s">
        <v>19</v>
      </c>
      <c r="W5" s="212" t="s">
        <v>441</v>
      </c>
      <c r="X5" s="208" t="s">
        <v>20</v>
      </c>
      <c r="Y5" s="208"/>
      <c r="Z5" s="208"/>
      <c r="AA5" s="208"/>
      <c r="AB5" s="209" t="s">
        <v>73</v>
      </c>
      <c r="AC5" s="209"/>
      <c r="AD5" s="210" t="s">
        <v>148</v>
      </c>
      <c r="AE5" s="45"/>
      <c r="AF5" s="212" t="s">
        <v>441</v>
      </c>
      <c r="AG5" s="214" t="s">
        <v>72</v>
      </c>
      <c r="AH5" s="250" t="s">
        <v>20</v>
      </c>
      <c r="AI5" s="251" t="s">
        <v>19</v>
      </c>
      <c r="AJ5" s="212" t="s">
        <v>441</v>
      </c>
      <c r="AK5" s="250" t="s">
        <v>20</v>
      </c>
      <c r="AL5" s="251" t="s">
        <v>19</v>
      </c>
      <c r="AM5" s="212" t="s">
        <v>441</v>
      </c>
      <c r="AN5" s="250" t="s">
        <v>20</v>
      </c>
      <c r="AO5" s="251" t="s">
        <v>19</v>
      </c>
      <c r="AP5" s="212" t="s">
        <v>441</v>
      </c>
      <c r="AQ5" s="250" t="s">
        <v>20</v>
      </c>
      <c r="AR5" s="251" t="s">
        <v>19</v>
      </c>
      <c r="AS5" s="212" t="s">
        <v>441</v>
      </c>
      <c r="AT5" s="250" t="s">
        <v>20</v>
      </c>
      <c r="AU5" s="251" t="s">
        <v>19</v>
      </c>
      <c r="AV5" s="212" t="s">
        <v>441</v>
      </c>
      <c r="AW5" s="212" t="s">
        <v>18</v>
      </c>
      <c r="AX5" s="212" t="s">
        <v>17</v>
      </c>
      <c r="AY5" s="239" t="s">
        <v>16</v>
      </c>
      <c r="AZ5" s="213" t="s">
        <v>442</v>
      </c>
      <c r="BA5" s="212" t="s">
        <v>15</v>
      </c>
      <c r="BB5" s="213" t="s">
        <v>443</v>
      </c>
      <c r="BC5" s="212" t="s">
        <v>18</v>
      </c>
      <c r="BD5" s="212" t="s">
        <v>17</v>
      </c>
      <c r="BE5" s="239" t="s">
        <v>16</v>
      </c>
      <c r="BF5" s="213" t="s">
        <v>442</v>
      </c>
      <c r="BG5" s="212" t="s">
        <v>15</v>
      </c>
      <c r="BH5" s="213" t="s">
        <v>443</v>
      </c>
      <c r="BI5" s="212" t="s">
        <v>18</v>
      </c>
      <c r="BJ5" s="212" t="s">
        <v>17</v>
      </c>
      <c r="BK5" s="239" t="s">
        <v>16</v>
      </c>
      <c r="BL5" s="213" t="s">
        <v>442</v>
      </c>
      <c r="BM5" s="212" t="s">
        <v>15</v>
      </c>
      <c r="BN5" s="213" t="s">
        <v>443</v>
      </c>
      <c r="BO5" s="212" t="s">
        <v>18</v>
      </c>
      <c r="BP5" s="212" t="s">
        <v>17</v>
      </c>
      <c r="BQ5" s="212" t="s">
        <v>16</v>
      </c>
      <c r="BR5" s="213" t="s">
        <v>442</v>
      </c>
      <c r="BS5" s="212" t="s">
        <v>15</v>
      </c>
      <c r="BT5" s="213" t="s">
        <v>443</v>
      </c>
      <c r="BU5" s="212" t="s">
        <v>18</v>
      </c>
      <c r="BV5" s="212" t="s">
        <v>17</v>
      </c>
      <c r="BW5" s="239" t="s">
        <v>16</v>
      </c>
      <c r="BX5" s="213" t="s">
        <v>442</v>
      </c>
      <c r="BY5" s="212" t="s">
        <v>15</v>
      </c>
      <c r="BZ5" s="213" t="s">
        <v>443</v>
      </c>
      <c r="CA5" s="212" t="s">
        <v>18</v>
      </c>
      <c r="CB5" s="212" t="s">
        <v>17</v>
      </c>
      <c r="CC5" s="261" t="s">
        <v>16</v>
      </c>
      <c r="CD5" s="213" t="s">
        <v>442</v>
      </c>
      <c r="CE5" s="212" t="s">
        <v>15</v>
      </c>
      <c r="CF5" s="213" t="s">
        <v>443</v>
      </c>
      <c r="CG5" s="212" t="s">
        <v>18</v>
      </c>
      <c r="CH5" s="212" t="s">
        <v>17</v>
      </c>
      <c r="CI5" s="239" t="s">
        <v>16</v>
      </c>
      <c r="CJ5" s="213" t="s">
        <v>442</v>
      </c>
      <c r="CK5" s="212" t="s">
        <v>15</v>
      </c>
      <c r="CL5" s="213" t="s">
        <v>443</v>
      </c>
      <c r="CM5" s="212" t="s">
        <v>18</v>
      </c>
      <c r="CN5" s="212" t="s">
        <v>17</v>
      </c>
      <c r="CO5" s="239" t="s">
        <v>16</v>
      </c>
      <c r="CP5" s="213" t="s">
        <v>442</v>
      </c>
      <c r="CQ5" s="212" t="s">
        <v>15</v>
      </c>
      <c r="CR5" s="213" t="s">
        <v>443</v>
      </c>
      <c r="CS5" s="212" t="s">
        <v>18</v>
      </c>
      <c r="CT5" s="212" t="s">
        <v>17</v>
      </c>
      <c r="CU5" s="239" t="s">
        <v>16</v>
      </c>
      <c r="CV5" s="213" t="s">
        <v>442</v>
      </c>
      <c r="CW5" s="212" t="s">
        <v>15</v>
      </c>
      <c r="CX5" s="213" t="s">
        <v>443</v>
      </c>
      <c r="CY5" s="212" t="s">
        <v>18</v>
      </c>
      <c r="CZ5" s="212" t="s">
        <v>17</v>
      </c>
      <c r="DA5" s="239" t="s">
        <v>16</v>
      </c>
      <c r="DB5" s="213" t="s">
        <v>442</v>
      </c>
      <c r="DC5" s="212" t="s">
        <v>15</v>
      </c>
      <c r="DD5" s="213" t="s">
        <v>443</v>
      </c>
      <c r="DE5" s="212" t="s">
        <v>18</v>
      </c>
      <c r="DF5" s="212" t="s">
        <v>17</v>
      </c>
      <c r="DG5" s="239" t="s">
        <v>16</v>
      </c>
      <c r="DH5" s="213" t="s">
        <v>442</v>
      </c>
      <c r="DI5" s="212" t="s">
        <v>15</v>
      </c>
      <c r="DJ5" s="213" t="s">
        <v>443</v>
      </c>
      <c r="DK5" s="212" t="s">
        <v>18</v>
      </c>
      <c r="DL5" s="212" t="s">
        <v>17</v>
      </c>
      <c r="DM5" s="239" t="s">
        <v>16</v>
      </c>
      <c r="DN5" s="213" t="s">
        <v>442</v>
      </c>
      <c r="DO5" s="212" t="s">
        <v>15</v>
      </c>
      <c r="DP5" s="213" t="s">
        <v>443</v>
      </c>
      <c r="DQ5" s="212" t="s">
        <v>18</v>
      </c>
      <c r="DR5" s="212" t="s">
        <v>17</v>
      </c>
      <c r="DS5" s="239" t="s">
        <v>16</v>
      </c>
      <c r="DT5" s="213" t="s">
        <v>442</v>
      </c>
      <c r="DU5" s="212" t="s">
        <v>15</v>
      </c>
      <c r="DV5" s="213" t="s">
        <v>443</v>
      </c>
      <c r="DW5" s="212" t="s">
        <v>18</v>
      </c>
      <c r="DX5" s="212" t="s">
        <v>17</v>
      </c>
      <c r="DY5" s="239" t="s">
        <v>16</v>
      </c>
      <c r="DZ5" s="213" t="s">
        <v>442</v>
      </c>
      <c r="EA5" s="212" t="s">
        <v>15</v>
      </c>
      <c r="EB5" s="213" t="s">
        <v>443</v>
      </c>
      <c r="EC5" s="212" t="s">
        <v>18</v>
      </c>
      <c r="ED5" s="212" t="s">
        <v>17</v>
      </c>
      <c r="EE5" s="239" t="s">
        <v>16</v>
      </c>
      <c r="EF5" s="213" t="s">
        <v>442</v>
      </c>
      <c r="EG5" s="212" t="s">
        <v>15</v>
      </c>
      <c r="EH5" s="213" t="s">
        <v>443</v>
      </c>
      <c r="EI5" s="212" t="s">
        <v>18</v>
      </c>
      <c r="EJ5" s="212" t="s">
        <v>17</v>
      </c>
      <c r="EK5" s="239" t="s">
        <v>16</v>
      </c>
      <c r="EL5" s="213" t="s">
        <v>442</v>
      </c>
      <c r="EM5" s="212" t="s">
        <v>15</v>
      </c>
      <c r="EN5" s="213" t="s">
        <v>443</v>
      </c>
      <c r="EO5" s="212" t="s">
        <v>18</v>
      </c>
      <c r="EP5" s="212" t="s">
        <v>17</v>
      </c>
      <c r="EQ5" s="239" t="s">
        <v>16</v>
      </c>
      <c r="ER5" s="213" t="s">
        <v>442</v>
      </c>
      <c r="ES5" s="212" t="s">
        <v>15</v>
      </c>
      <c r="ET5" s="213" t="s">
        <v>443</v>
      </c>
      <c r="EU5" s="212" t="s">
        <v>18</v>
      </c>
      <c r="EV5" s="212" t="s">
        <v>17</v>
      </c>
      <c r="EW5" s="239" t="s">
        <v>16</v>
      </c>
      <c r="EX5" s="213" t="s">
        <v>442</v>
      </c>
      <c r="EY5" s="212" t="s">
        <v>15</v>
      </c>
      <c r="EZ5" s="213" t="s">
        <v>443</v>
      </c>
      <c r="FA5" s="212" t="s">
        <v>18</v>
      </c>
      <c r="FB5" s="212" t="s">
        <v>17</v>
      </c>
      <c r="FC5" s="239" t="s">
        <v>16</v>
      </c>
      <c r="FD5" s="213" t="s">
        <v>442</v>
      </c>
      <c r="FE5" s="212" t="s">
        <v>15</v>
      </c>
      <c r="FF5" s="213" t="s">
        <v>443</v>
      </c>
      <c r="FG5" s="212" t="s">
        <v>18</v>
      </c>
      <c r="FH5" s="212" t="s">
        <v>17</v>
      </c>
      <c r="FI5" s="212" t="s">
        <v>16</v>
      </c>
      <c r="FJ5" s="213" t="s">
        <v>442</v>
      </c>
      <c r="FK5" s="212" t="s">
        <v>15</v>
      </c>
      <c r="FL5" s="213" t="s">
        <v>443</v>
      </c>
      <c r="FM5" s="212" t="s">
        <v>18</v>
      </c>
      <c r="FN5" s="212" t="s">
        <v>17</v>
      </c>
      <c r="FO5" s="239" t="s">
        <v>16</v>
      </c>
      <c r="FP5" s="213" t="s">
        <v>442</v>
      </c>
      <c r="FQ5" s="212" t="s">
        <v>15</v>
      </c>
      <c r="FR5" s="213" t="s">
        <v>443</v>
      </c>
      <c r="FS5" s="212" t="s">
        <v>18</v>
      </c>
      <c r="FT5" s="212" t="s">
        <v>17</v>
      </c>
      <c r="FU5" s="239" t="s">
        <v>16</v>
      </c>
      <c r="FV5" s="213" t="s">
        <v>442</v>
      </c>
      <c r="FW5" s="212" t="s">
        <v>15</v>
      </c>
      <c r="FX5" s="213" t="s">
        <v>443</v>
      </c>
      <c r="FY5" s="212" t="s">
        <v>18</v>
      </c>
      <c r="FZ5" s="212" t="s">
        <v>17</v>
      </c>
      <c r="GA5" s="239" t="s">
        <v>16</v>
      </c>
      <c r="GB5" s="213" t="s">
        <v>442</v>
      </c>
      <c r="GC5" s="212" t="s">
        <v>15</v>
      </c>
      <c r="GD5" s="213" t="s">
        <v>443</v>
      </c>
      <c r="GE5" s="253"/>
      <c r="GF5" s="253"/>
      <c r="GG5" s="280"/>
      <c r="GH5" s="281"/>
      <c r="GI5" s="281"/>
      <c r="GJ5" s="281"/>
      <c r="GK5" s="282"/>
      <c r="GL5" s="212"/>
      <c r="GM5" s="212"/>
      <c r="GN5" s="212"/>
      <c r="GO5" s="212"/>
      <c r="GP5" s="255"/>
      <c r="GQ5" s="257"/>
      <c r="GR5" s="269"/>
      <c r="GS5" s="270"/>
      <c r="GT5" s="208"/>
      <c r="GU5" s="208"/>
      <c r="GV5" s="208"/>
      <c r="GW5" s="208"/>
      <c r="GX5" s="208"/>
      <c r="GY5" s="208"/>
      <c r="GZ5" s="274" t="s">
        <v>649</v>
      </c>
      <c r="HA5" s="275"/>
      <c r="HB5" s="275"/>
      <c r="HC5" s="275"/>
      <c r="HD5" s="275"/>
      <c r="HE5" s="275"/>
      <c r="HF5" s="276"/>
      <c r="HG5" s="274" t="s">
        <v>650</v>
      </c>
      <c r="HH5" s="275"/>
      <c r="HI5" s="275"/>
      <c r="HJ5" s="275"/>
      <c r="HK5" s="275"/>
      <c r="HL5" s="275"/>
      <c r="HM5" s="276"/>
      <c r="HN5" s="267" t="s">
        <v>651</v>
      </c>
      <c r="HO5" s="268"/>
      <c r="HP5" s="268"/>
      <c r="HQ5" s="268"/>
      <c r="HR5" s="268"/>
      <c r="HS5" s="268"/>
      <c r="HT5" s="288"/>
      <c r="HU5" s="267" t="s">
        <v>649</v>
      </c>
      <c r="HV5" s="268"/>
      <c r="HW5" s="268"/>
      <c r="HX5" s="268"/>
      <c r="HY5" s="288"/>
      <c r="HZ5" s="253" t="s">
        <v>650</v>
      </c>
      <c r="IA5" s="253"/>
      <c r="IB5" s="253"/>
      <c r="IC5" s="253"/>
      <c r="ID5" s="253"/>
      <c r="IE5" s="253" t="s">
        <v>651</v>
      </c>
      <c r="IF5" s="253"/>
      <c r="IG5" s="253"/>
      <c r="IH5" s="253"/>
      <c r="II5" s="253"/>
    </row>
    <row r="6" spans="1:244" ht="83.55" customHeight="1">
      <c r="A6" s="212"/>
      <c r="B6" s="212"/>
      <c r="C6" s="250"/>
      <c r="D6" s="251"/>
      <c r="E6" s="212"/>
      <c r="F6" s="250"/>
      <c r="G6" s="251"/>
      <c r="H6" s="212"/>
      <c r="I6" s="250"/>
      <c r="J6" s="251"/>
      <c r="K6" s="212"/>
      <c r="L6" s="250"/>
      <c r="M6" s="251"/>
      <c r="N6" s="212"/>
      <c r="O6" s="250"/>
      <c r="P6" s="251"/>
      <c r="Q6" s="212"/>
      <c r="R6" s="250"/>
      <c r="S6" s="251"/>
      <c r="T6" s="212"/>
      <c r="U6" s="250"/>
      <c r="V6" s="251"/>
      <c r="W6" s="212"/>
      <c r="X6" s="208"/>
      <c r="Y6" s="208"/>
      <c r="Z6" s="208"/>
      <c r="AA6" s="208"/>
      <c r="AB6" s="209"/>
      <c r="AC6" s="209"/>
      <c r="AD6" s="210"/>
      <c r="AE6" s="46"/>
      <c r="AF6" s="212"/>
      <c r="AG6" s="214"/>
      <c r="AH6" s="250"/>
      <c r="AI6" s="251"/>
      <c r="AJ6" s="212"/>
      <c r="AK6" s="250"/>
      <c r="AL6" s="251"/>
      <c r="AM6" s="212"/>
      <c r="AN6" s="250"/>
      <c r="AO6" s="251"/>
      <c r="AP6" s="212"/>
      <c r="AQ6" s="250"/>
      <c r="AR6" s="251"/>
      <c r="AS6" s="212"/>
      <c r="AT6" s="250"/>
      <c r="AU6" s="251"/>
      <c r="AV6" s="212"/>
      <c r="AW6" s="212"/>
      <c r="AX6" s="212"/>
      <c r="AY6" s="239"/>
      <c r="AZ6" s="241"/>
      <c r="BA6" s="212"/>
      <c r="BB6" s="241"/>
      <c r="BC6" s="212"/>
      <c r="BD6" s="212"/>
      <c r="BE6" s="239"/>
      <c r="BF6" s="241"/>
      <c r="BG6" s="212"/>
      <c r="BH6" s="241"/>
      <c r="BI6" s="212"/>
      <c r="BJ6" s="212"/>
      <c r="BK6" s="239"/>
      <c r="BL6" s="241"/>
      <c r="BM6" s="212"/>
      <c r="BN6" s="241"/>
      <c r="BO6" s="212"/>
      <c r="BP6" s="212"/>
      <c r="BQ6" s="212"/>
      <c r="BR6" s="241"/>
      <c r="BS6" s="212"/>
      <c r="BT6" s="241"/>
      <c r="BU6" s="212"/>
      <c r="BV6" s="212"/>
      <c r="BW6" s="239"/>
      <c r="BX6" s="241"/>
      <c r="BY6" s="212"/>
      <c r="BZ6" s="241"/>
      <c r="CA6" s="212"/>
      <c r="CB6" s="212"/>
      <c r="CC6" s="261"/>
      <c r="CD6" s="241"/>
      <c r="CE6" s="212"/>
      <c r="CF6" s="241"/>
      <c r="CG6" s="212"/>
      <c r="CH6" s="212"/>
      <c r="CI6" s="239"/>
      <c r="CJ6" s="241"/>
      <c r="CK6" s="212"/>
      <c r="CL6" s="241"/>
      <c r="CM6" s="212"/>
      <c r="CN6" s="212"/>
      <c r="CO6" s="239"/>
      <c r="CP6" s="241"/>
      <c r="CQ6" s="212"/>
      <c r="CR6" s="241"/>
      <c r="CS6" s="212"/>
      <c r="CT6" s="212"/>
      <c r="CU6" s="239"/>
      <c r="CV6" s="241"/>
      <c r="CW6" s="212"/>
      <c r="CX6" s="241"/>
      <c r="CY6" s="212"/>
      <c r="CZ6" s="212"/>
      <c r="DA6" s="239"/>
      <c r="DB6" s="241"/>
      <c r="DC6" s="212"/>
      <c r="DD6" s="241"/>
      <c r="DE6" s="212"/>
      <c r="DF6" s="212"/>
      <c r="DG6" s="239"/>
      <c r="DH6" s="241"/>
      <c r="DI6" s="212"/>
      <c r="DJ6" s="241"/>
      <c r="DK6" s="212"/>
      <c r="DL6" s="212"/>
      <c r="DM6" s="239"/>
      <c r="DN6" s="241"/>
      <c r="DO6" s="212"/>
      <c r="DP6" s="241"/>
      <c r="DQ6" s="212"/>
      <c r="DR6" s="212"/>
      <c r="DS6" s="239"/>
      <c r="DT6" s="241"/>
      <c r="DU6" s="212"/>
      <c r="DV6" s="241"/>
      <c r="DW6" s="212"/>
      <c r="DX6" s="212"/>
      <c r="DY6" s="239"/>
      <c r="DZ6" s="241"/>
      <c r="EA6" s="212"/>
      <c r="EB6" s="241"/>
      <c r="EC6" s="212"/>
      <c r="ED6" s="212"/>
      <c r="EE6" s="239"/>
      <c r="EF6" s="241"/>
      <c r="EG6" s="212"/>
      <c r="EH6" s="241"/>
      <c r="EI6" s="212"/>
      <c r="EJ6" s="212"/>
      <c r="EK6" s="239"/>
      <c r="EL6" s="241"/>
      <c r="EM6" s="212"/>
      <c r="EN6" s="241"/>
      <c r="EO6" s="212"/>
      <c r="EP6" s="212"/>
      <c r="EQ6" s="239"/>
      <c r="ER6" s="241"/>
      <c r="ES6" s="212"/>
      <c r="ET6" s="241"/>
      <c r="EU6" s="212"/>
      <c r="EV6" s="212"/>
      <c r="EW6" s="239"/>
      <c r="EX6" s="241"/>
      <c r="EY6" s="212"/>
      <c r="EZ6" s="241"/>
      <c r="FA6" s="212"/>
      <c r="FB6" s="212"/>
      <c r="FC6" s="239"/>
      <c r="FD6" s="241"/>
      <c r="FE6" s="212"/>
      <c r="FF6" s="241"/>
      <c r="FG6" s="212"/>
      <c r="FH6" s="212"/>
      <c r="FI6" s="212"/>
      <c r="FJ6" s="241"/>
      <c r="FK6" s="212"/>
      <c r="FL6" s="241"/>
      <c r="FM6" s="212"/>
      <c r="FN6" s="212"/>
      <c r="FO6" s="239"/>
      <c r="FP6" s="241"/>
      <c r="FQ6" s="212"/>
      <c r="FR6" s="241"/>
      <c r="FS6" s="212"/>
      <c r="FT6" s="212"/>
      <c r="FU6" s="239"/>
      <c r="FV6" s="241"/>
      <c r="FW6" s="212"/>
      <c r="FX6" s="241"/>
      <c r="FY6" s="212"/>
      <c r="FZ6" s="212"/>
      <c r="GA6" s="239"/>
      <c r="GB6" s="241"/>
      <c r="GC6" s="212"/>
      <c r="GD6" s="241"/>
      <c r="GE6" s="253"/>
      <c r="GF6" s="253"/>
      <c r="GG6" s="242" t="s">
        <v>14</v>
      </c>
      <c r="GH6" s="242" t="s">
        <v>13</v>
      </c>
      <c r="GI6" s="242" t="s">
        <v>12</v>
      </c>
      <c r="GJ6" s="242" t="s">
        <v>11</v>
      </c>
      <c r="GK6" s="212" t="s">
        <v>444</v>
      </c>
      <c r="GL6" s="242" t="s">
        <v>10</v>
      </c>
      <c r="GM6" s="242" t="s">
        <v>9</v>
      </c>
      <c r="GN6" s="242" t="s">
        <v>8</v>
      </c>
      <c r="GO6" s="242" t="s">
        <v>7</v>
      </c>
      <c r="GP6" s="255"/>
      <c r="GQ6" s="257"/>
      <c r="GR6" s="269"/>
      <c r="GS6" s="271"/>
      <c r="GT6" s="208"/>
      <c r="GU6" s="208"/>
      <c r="GV6" s="208"/>
      <c r="GW6" s="208"/>
      <c r="GX6" s="208"/>
      <c r="GY6" s="208"/>
      <c r="GZ6" s="280"/>
      <c r="HA6" s="281"/>
      <c r="HB6" s="281"/>
      <c r="HC6" s="281"/>
      <c r="HD6" s="281"/>
      <c r="HE6" s="281"/>
      <c r="HF6" s="282"/>
      <c r="HG6" s="280"/>
      <c r="HH6" s="281"/>
      <c r="HI6" s="281"/>
      <c r="HJ6" s="281"/>
      <c r="HK6" s="281"/>
      <c r="HL6" s="281"/>
      <c r="HM6" s="282"/>
      <c r="HN6" s="269"/>
      <c r="HO6" s="270"/>
      <c r="HP6" s="270"/>
      <c r="HQ6" s="270"/>
      <c r="HR6" s="270"/>
      <c r="HS6" s="270"/>
      <c r="HT6" s="289"/>
      <c r="HU6" s="269"/>
      <c r="HV6" s="270"/>
      <c r="HW6" s="270"/>
      <c r="HX6" s="270"/>
      <c r="HY6" s="289"/>
      <c r="HZ6" s="253"/>
      <c r="IA6" s="253"/>
      <c r="IB6" s="253"/>
      <c r="IC6" s="253"/>
      <c r="ID6" s="253"/>
      <c r="IE6" s="253"/>
      <c r="IF6" s="253"/>
      <c r="IG6" s="253"/>
      <c r="IH6" s="253"/>
      <c r="II6" s="253"/>
    </row>
    <row r="7" spans="1:244" ht="41.1" customHeight="1">
      <c r="A7" s="212"/>
      <c r="B7" s="212"/>
      <c r="C7" s="250"/>
      <c r="D7" s="251"/>
      <c r="E7" s="212"/>
      <c r="F7" s="250"/>
      <c r="G7" s="251"/>
      <c r="H7" s="212"/>
      <c r="I7" s="250"/>
      <c r="J7" s="251"/>
      <c r="K7" s="212"/>
      <c r="L7" s="250"/>
      <c r="M7" s="251"/>
      <c r="N7" s="212"/>
      <c r="O7" s="250"/>
      <c r="P7" s="251"/>
      <c r="Q7" s="212"/>
      <c r="R7" s="250"/>
      <c r="S7" s="251"/>
      <c r="T7" s="212"/>
      <c r="U7" s="250"/>
      <c r="V7" s="251"/>
      <c r="W7" s="212"/>
      <c r="X7" s="208"/>
      <c r="Y7" s="208"/>
      <c r="Z7" s="208"/>
      <c r="AA7" s="208"/>
      <c r="AB7" s="209"/>
      <c r="AC7" s="209"/>
      <c r="AD7" s="210"/>
      <c r="AE7" s="47"/>
      <c r="AF7" s="212"/>
      <c r="AG7" s="214"/>
      <c r="AH7" s="250"/>
      <c r="AI7" s="251"/>
      <c r="AJ7" s="212"/>
      <c r="AK7" s="250"/>
      <c r="AL7" s="251"/>
      <c r="AM7" s="212"/>
      <c r="AN7" s="250"/>
      <c r="AO7" s="251"/>
      <c r="AP7" s="212"/>
      <c r="AQ7" s="250"/>
      <c r="AR7" s="251"/>
      <c r="AS7" s="212"/>
      <c r="AT7" s="250"/>
      <c r="AU7" s="251"/>
      <c r="AV7" s="212"/>
      <c r="AW7" s="212"/>
      <c r="AX7" s="212"/>
      <c r="AY7" s="239"/>
      <c r="AZ7" s="241"/>
      <c r="BA7" s="212"/>
      <c r="BB7" s="241"/>
      <c r="BC7" s="212"/>
      <c r="BD7" s="212"/>
      <c r="BE7" s="239"/>
      <c r="BF7" s="241"/>
      <c r="BG7" s="212"/>
      <c r="BH7" s="241"/>
      <c r="BI7" s="212"/>
      <c r="BJ7" s="212"/>
      <c r="BK7" s="239"/>
      <c r="BL7" s="241"/>
      <c r="BM7" s="212"/>
      <c r="BN7" s="241"/>
      <c r="BO7" s="212"/>
      <c r="BP7" s="212"/>
      <c r="BQ7" s="212"/>
      <c r="BR7" s="241"/>
      <c r="BS7" s="212"/>
      <c r="BT7" s="241"/>
      <c r="BU7" s="212"/>
      <c r="BV7" s="212"/>
      <c r="BW7" s="239"/>
      <c r="BX7" s="241"/>
      <c r="BY7" s="212"/>
      <c r="BZ7" s="241"/>
      <c r="CA7" s="212"/>
      <c r="CB7" s="212"/>
      <c r="CC7" s="261"/>
      <c r="CD7" s="241"/>
      <c r="CE7" s="212"/>
      <c r="CF7" s="241"/>
      <c r="CG7" s="212"/>
      <c r="CH7" s="212"/>
      <c r="CI7" s="239"/>
      <c r="CJ7" s="241"/>
      <c r="CK7" s="212"/>
      <c r="CL7" s="241"/>
      <c r="CM7" s="212"/>
      <c r="CN7" s="212"/>
      <c r="CO7" s="239"/>
      <c r="CP7" s="241"/>
      <c r="CQ7" s="212"/>
      <c r="CR7" s="241"/>
      <c r="CS7" s="212"/>
      <c r="CT7" s="212"/>
      <c r="CU7" s="239"/>
      <c r="CV7" s="241"/>
      <c r="CW7" s="212"/>
      <c r="CX7" s="241"/>
      <c r="CY7" s="212"/>
      <c r="CZ7" s="212"/>
      <c r="DA7" s="239"/>
      <c r="DB7" s="241"/>
      <c r="DC7" s="212"/>
      <c r="DD7" s="241"/>
      <c r="DE7" s="212"/>
      <c r="DF7" s="212"/>
      <c r="DG7" s="239"/>
      <c r="DH7" s="241"/>
      <c r="DI7" s="212"/>
      <c r="DJ7" s="241"/>
      <c r="DK7" s="212"/>
      <c r="DL7" s="212"/>
      <c r="DM7" s="239"/>
      <c r="DN7" s="241"/>
      <c r="DO7" s="212"/>
      <c r="DP7" s="241"/>
      <c r="DQ7" s="212"/>
      <c r="DR7" s="212"/>
      <c r="DS7" s="239"/>
      <c r="DT7" s="241"/>
      <c r="DU7" s="212"/>
      <c r="DV7" s="241"/>
      <c r="DW7" s="212"/>
      <c r="DX7" s="212"/>
      <c r="DY7" s="239"/>
      <c r="DZ7" s="241"/>
      <c r="EA7" s="212"/>
      <c r="EB7" s="241"/>
      <c r="EC7" s="212"/>
      <c r="ED7" s="212"/>
      <c r="EE7" s="239"/>
      <c r="EF7" s="241"/>
      <c r="EG7" s="212"/>
      <c r="EH7" s="241"/>
      <c r="EI7" s="212"/>
      <c r="EJ7" s="212"/>
      <c r="EK7" s="239"/>
      <c r="EL7" s="241"/>
      <c r="EM7" s="212"/>
      <c r="EN7" s="241"/>
      <c r="EO7" s="212"/>
      <c r="EP7" s="212"/>
      <c r="EQ7" s="239"/>
      <c r="ER7" s="241"/>
      <c r="ES7" s="212"/>
      <c r="ET7" s="241"/>
      <c r="EU7" s="212"/>
      <c r="EV7" s="212"/>
      <c r="EW7" s="239"/>
      <c r="EX7" s="241"/>
      <c r="EY7" s="212"/>
      <c r="EZ7" s="241"/>
      <c r="FA7" s="212"/>
      <c r="FB7" s="212"/>
      <c r="FC7" s="239"/>
      <c r="FD7" s="241"/>
      <c r="FE7" s="212"/>
      <c r="FF7" s="241"/>
      <c r="FG7" s="212"/>
      <c r="FH7" s="212"/>
      <c r="FI7" s="212"/>
      <c r="FJ7" s="241"/>
      <c r="FK7" s="212"/>
      <c r="FL7" s="241"/>
      <c r="FM7" s="212"/>
      <c r="FN7" s="212"/>
      <c r="FO7" s="239"/>
      <c r="FP7" s="241"/>
      <c r="FQ7" s="212"/>
      <c r="FR7" s="241"/>
      <c r="FS7" s="212"/>
      <c r="FT7" s="212"/>
      <c r="FU7" s="239"/>
      <c r="FV7" s="241"/>
      <c r="FW7" s="212"/>
      <c r="FX7" s="241"/>
      <c r="FY7" s="212"/>
      <c r="FZ7" s="212"/>
      <c r="GA7" s="239"/>
      <c r="GB7" s="241"/>
      <c r="GC7" s="212"/>
      <c r="GD7" s="241"/>
      <c r="GE7" s="253"/>
      <c r="GF7" s="253"/>
      <c r="GG7" s="242"/>
      <c r="GH7" s="242"/>
      <c r="GI7" s="242"/>
      <c r="GJ7" s="242"/>
      <c r="GK7" s="212"/>
      <c r="GL7" s="242"/>
      <c r="GM7" s="242"/>
      <c r="GN7" s="242"/>
      <c r="GO7" s="242"/>
      <c r="GP7" s="255"/>
      <c r="GQ7" s="257"/>
      <c r="GR7" s="272" t="s">
        <v>2</v>
      </c>
      <c r="GS7" s="54"/>
      <c r="GT7" s="58" t="s">
        <v>6</v>
      </c>
      <c r="GU7" s="244" t="s">
        <v>5</v>
      </c>
      <c r="GV7" s="245"/>
      <c r="GW7" s="58" t="s">
        <v>4</v>
      </c>
      <c r="GX7" s="244" t="s">
        <v>501</v>
      </c>
      <c r="GY7" s="245"/>
      <c r="GZ7" s="94" t="s">
        <v>664</v>
      </c>
      <c r="HA7" s="94" t="s">
        <v>665</v>
      </c>
      <c r="HB7" s="94" t="s">
        <v>666</v>
      </c>
      <c r="HC7" s="94" t="s">
        <v>667</v>
      </c>
      <c r="HD7" s="94" t="s">
        <v>668</v>
      </c>
      <c r="HE7" s="94" t="s">
        <v>669</v>
      </c>
      <c r="HF7" s="284" t="s">
        <v>670</v>
      </c>
      <c r="HG7" s="94" t="s">
        <v>664</v>
      </c>
      <c r="HH7" s="94" t="s">
        <v>665</v>
      </c>
      <c r="HI7" s="94" t="s">
        <v>666</v>
      </c>
      <c r="HJ7" s="94" t="s">
        <v>667</v>
      </c>
      <c r="HK7" s="94" t="s">
        <v>668</v>
      </c>
      <c r="HL7" s="94" t="s">
        <v>669</v>
      </c>
      <c r="HM7" s="284" t="s">
        <v>670</v>
      </c>
      <c r="HN7" s="94" t="s">
        <v>664</v>
      </c>
      <c r="HO7" s="94" t="s">
        <v>665</v>
      </c>
      <c r="HP7" s="94" t="s">
        <v>666</v>
      </c>
      <c r="HQ7" s="94" t="s">
        <v>667</v>
      </c>
      <c r="HR7" s="94" t="s">
        <v>668</v>
      </c>
      <c r="HS7" s="94" t="s">
        <v>669</v>
      </c>
      <c r="HT7" s="284" t="s">
        <v>670</v>
      </c>
      <c r="HU7" s="95" t="s">
        <v>664</v>
      </c>
      <c r="HV7" s="95" t="s">
        <v>665</v>
      </c>
      <c r="HW7" s="95" t="s">
        <v>666</v>
      </c>
      <c r="HX7" s="95" t="s">
        <v>667</v>
      </c>
      <c r="HY7" s="286" t="s">
        <v>671</v>
      </c>
      <c r="HZ7" s="95" t="s">
        <v>664</v>
      </c>
      <c r="IA7" s="95" t="s">
        <v>665</v>
      </c>
      <c r="IB7" s="95" t="s">
        <v>666</v>
      </c>
      <c r="IC7" s="95" t="s">
        <v>667</v>
      </c>
      <c r="ID7" s="286" t="s">
        <v>671</v>
      </c>
      <c r="IE7" s="95" t="s">
        <v>664</v>
      </c>
      <c r="IF7" s="95" t="s">
        <v>665</v>
      </c>
      <c r="IG7" s="95" t="s">
        <v>666</v>
      </c>
      <c r="IH7" s="95" t="s">
        <v>667</v>
      </c>
      <c r="II7" s="286" t="s">
        <v>671</v>
      </c>
    </row>
    <row r="8" spans="1:244" ht="159" customHeight="1">
      <c r="A8" s="213"/>
      <c r="B8" s="213"/>
      <c r="C8" s="114" t="s">
        <v>3</v>
      </c>
      <c r="D8" s="252"/>
      <c r="E8" s="213"/>
      <c r="F8" s="114" t="s">
        <v>3</v>
      </c>
      <c r="G8" s="252"/>
      <c r="H8" s="213"/>
      <c r="I8" s="114" t="s">
        <v>3</v>
      </c>
      <c r="J8" s="252"/>
      <c r="K8" s="213"/>
      <c r="L8" s="114" t="s">
        <v>3</v>
      </c>
      <c r="M8" s="252"/>
      <c r="N8" s="213"/>
      <c r="O8" s="114" t="s">
        <v>3</v>
      </c>
      <c r="P8" s="252"/>
      <c r="Q8" s="213"/>
      <c r="R8" s="114" t="s">
        <v>3</v>
      </c>
      <c r="S8" s="252"/>
      <c r="T8" s="213"/>
      <c r="U8" s="114" t="s">
        <v>3</v>
      </c>
      <c r="V8" s="252"/>
      <c r="W8" s="213"/>
      <c r="X8" s="115" t="s">
        <v>70</v>
      </c>
      <c r="Y8" s="115" t="s">
        <v>69</v>
      </c>
      <c r="Z8" s="115" t="s">
        <v>68</v>
      </c>
      <c r="AA8" s="116" t="s">
        <v>3</v>
      </c>
      <c r="AB8" s="117" t="s">
        <v>67</v>
      </c>
      <c r="AC8" s="117" t="s">
        <v>66</v>
      </c>
      <c r="AD8" s="211"/>
      <c r="AE8" s="118" t="s">
        <v>71</v>
      </c>
      <c r="AF8" s="213"/>
      <c r="AG8" s="215"/>
      <c r="AH8" s="114" t="s">
        <v>3</v>
      </c>
      <c r="AI8" s="252"/>
      <c r="AJ8" s="213"/>
      <c r="AK8" s="114" t="s">
        <v>3</v>
      </c>
      <c r="AL8" s="252"/>
      <c r="AM8" s="213"/>
      <c r="AN8" s="114" t="s">
        <v>3</v>
      </c>
      <c r="AO8" s="252"/>
      <c r="AP8" s="213"/>
      <c r="AQ8" s="114" t="s">
        <v>3</v>
      </c>
      <c r="AR8" s="252"/>
      <c r="AS8" s="213"/>
      <c r="AT8" s="114" t="s">
        <v>3</v>
      </c>
      <c r="AU8" s="252"/>
      <c r="AV8" s="213"/>
      <c r="AW8" s="213"/>
      <c r="AX8" s="213"/>
      <c r="AY8" s="240"/>
      <c r="AZ8" s="241"/>
      <c r="BA8" s="213"/>
      <c r="BB8" s="241"/>
      <c r="BC8" s="213"/>
      <c r="BD8" s="213"/>
      <c r="BE8" s="240"/>
      <c r="BF8" s="241"/>
      <c r="BG8" s="213"/>
      <c r="BH8" s="241"/>
      <c r="BI8" s="213"/>
      <c r="BJ8" s="213"/>
      <c r="BK8" s="240"/>
      <c r="BL8" s="241"/>
      <c r="BM8" s="213"/>
      <c r="BN8" s="241"/>
      <c r="BO8" s="213"/>
      <c r="BP8" s="213"/>
      <c r="BQ8" s="213"/>
      <c r="BR8" s="241"/>
      <c r="BS8" s="213"/>
      <c r="BT8" s="241"/>
      <c r="BU8" s="213"/>
      <c r="BV8" s="213"/>
      <c r="BW8" s="240"/>
      <c r="BX8" s="241"/>
      <c r="BY8" s="213"/>
      <c r="BZ8" s="241"/>
      <c r="CA8" s="213"/>
      <c r="CB8" s="213"/>
      <c r="CC8" s="262"/>
      <c r="CD8" s="241"/>
      <c r="CE8" s="213"/>
      <c r="CF8" s="241"/>
      <c r="CG8" s="213"/>
      <c r="CH8" s="213"/>
      <c r="CI8" s="240"/>
      <c r="CJ8" s="241"/>
      <c r="CK8" s="213"/>
      <c r="CL8" s="241"/>
      <c r="CM8" s="213"/>
      <c r="CN8" s="213"/>
      <c r="CO8" s="240"/>
      <c r="CP8" s="241"/>
      <c r="CQ8" s="213"/>
      <c r="CR8" s="241"/>
      <c r="CS8" s="213"/>
      <c r="CT8" s="213"/>
      <c r="CU8" s="240"/>
      <c r="CV8" s="241"/>
      <c r="CW8" s="213"/>
      <c r="CX8" s="241"/>
      <c r="CY8" s="213"/>
      <c r="CZ8" s="213"/>
      <c r="DA8" s="240"/>
      <c r="DB8" s="241"/>
      <c r="DC8" s="213"/>
      <c r="DD8" s="241"/>
      <c r="DE8" s="213"/>
      <c r="DF8" s="213"/>
      <c r="DG8" s="240"/>
      <c r="DH8" s="241"/>
      <c r="DI8" s="213"/>
      <c r="DJ8" s="241"/>
      <c r="DK8" s="213"/>
      <c r="DL8" s="213"/>
      <c r="DM8" s="240"/>
      <c r="DN8" s="241"/>
      <c r="DO8" s="213"/>
      <c r="DP8" s="241"/>
      <c r="DQ8" s="213"/>
      <c r="DR8" s="213"/>
      <c r="DS8" s="240"/>
      <c r="DT8" s="241"/>
      <c r="DU8" s="213"/>
      <c r="DV8" s="241"/>
      <c r="DW8" s="213"/>
      <c r="DX8" s="213"/>
      <c r="DY8" s="240"/>
      <c r="DZ8" s="241"/>
      <c r="EA8" s="213"/>
      <c r="EB8" s="241"/>
      <c r="EC8" s="213"/>
      <c r="ED8" s="213"/>
      <c r="EE8" s="240"/>
      <c r="EF8" s="241"/>
      <c r="EG8" s="213"/>
      <c r="EH8" s="241"/>
      <c r="EI8" s="213"/>
      <c r="EJ8" s="213"/>
      <c r="EK8" s="240"/>
      <c r="EL8" s="241"/>
      <c r="EM8" s="213"/>
      <c r="EN8" s="241"/>
      <c r="EO8" s="213"/>
      <c r="EP8" s="213"/>
      <c r="EQ8" s="240"/>
      <c r="ER8" s="241"/>
      <c r="ES8" s="213"/>
      <c r="ET8" s="241"/>
      <c r="EU8" s="213"/>
      <c r="EV8" s="213"/>
      <c r="EW8" s="240"/>
      <c r="EX8" s="241"/>
      <c r="EY8" s="213"/>
      <c r="EZ8" s="241"/>
      <c r="FA8" s="213"/>
      <c r="FB8" s="213"/>
      <c r="FC8" s="240"/>
      <c r="FD8" s="241"/>
      <c r="FE8" s="213"/>
      <c r="FF8" s="241"/>
      <c r="FG8" s="213"/>
      <c r="FH8" s="213"/>
      <c r="FI8" s="213"/>
      <c r="FJ8" s="241"/>
      <c r="FK8" s="213"/>
      <c r="FL8" s="241"/>
      <c r="FM8" s="213"/>
      <c r="FN8" s="213"/>
      <c r="FO8" s="240"/>
      <c r="FP8" s="241"/>
      <c r="FQ8" s="213"/>
      <c r="FR8" s="241"/>
      <c r="FS8" s="213"/>
      <c r="FT8" s="213"/>
      <c r="FU8" s="240"/>
      <c r="FV8" s="241"/>
      <c r="FW8" s="213"/>
      <c r="FX8" s="241"/>
      <c r="FY8" s="213"/>
      <c r="FZ8" s="213"/>
      <c r="GA8" s="240"/>
      <c r="GB8" s="241"/>
      <c r="GC8" s="213"/>
      <c r="GD8" s="241"/>
      <c r="GE8" s="254"/>
      <c r="GF8" s="254"/>
      <c r="GG8" s="243"/>
      <c r="GH8" s="243"/>
      <c r="GI8" s="243"/>
      <c r="GJ8" s="243"/>
      <c r="GK8" s="213"/>
      <c r="GL8" s="243"/>
      <c r="GM8" s="243"/>
      <c r="GN8" s="243"/>
      <c r="GO8" s="243"/>
      <c r="GP8" s="256"/>
      <c r="GQ8" s="257"/>
      <c r="GR8" s="272"/>
      <c r="GS8" s="119" t="s">
        <v>150</v>
      </c>
      <c r="GT8" s="120"/>
      <c r="GU8" s="121"/>
      <c r="GV8" s="108" t="s">
        <v>1</v>
      </c>
      <c r="GW8" s="121"/>
      <c r="GX8" s="121"/>
      <c r="GY8" s="108" t="s">
        <v>502</v>
      </c>
      <c r="GZ8" s="122" t="s">
        <v>652</v>
      </c>
      <c r="HA8" s="123" t="s">
        <v>653</v>
      </c>
      <c r="HB8" s="124" t="s">
        <v>654</v>
      </c>
      <c r="HC8" s="124" t="s">
        <v>655</v>
      </c>
      <c r="HD8" s="124" t="s">
        <v>656</v>
      </c>
      <c r="HE8" s="124" t="s">
        <v>657</v>
      </c>
      <c r="HF8" s="285"/>
      <c r="HG8" s="123" t="s">
        <v>652</v>
      </c>
      <c r="HH8" s="123" t="s">
        <v>653</v>
      </c>
      <c r="HI8" s="124" t="s">
        <v>654</v>
      </c>
      <c r="HJ8" s="124" t="s">
        <v>655</v>
      </c>
      <c r="HK8" s="124" t="s">
        <v>656</v>
      </c>
      <c r="HL8" s="124" t="s">
        <v>657</v>
      </c>
      <c r="HM8" s="285"/>
      <c r="HN8" s="123" t="s">
        <v>652</v>
      </c>
      <c r="HO8" s="123" t="s">
        <v>653</v>
      </c>
      <c r="HP8" s="124" t="s">
        <v>654</v>
      </c>
      <c r="HQ8" s="124" t="s">
        <v>655</v>
      </c>
      <c r="HR8" s="124" t="s">
        <v>656</v>
      </c>
      <c r="HS8" s="124" t="s">
        <v>657</v>
      </c>
      <c r="HT8" s="285"/>
      <c r="HU8" s="123" t="s">
        <v>658</v>
      </c>
      <c r="HV8" s="123" t="s">
        <v>659</v>
      </c>
      <c r="HW8" s="123" t="s">
        <v>660</v>
      </c>
      <c r="HX8" s="124" t="s">
        <v>661</v>
      </c>
      <c r="HY8" s="287"/>
      <c r="HZ8" s="123" t="s">
        <v>662</v>
      </c>
      <c r="IA8" s="123" t="s">
        <v>663</v>
      </c>
      <c r="IB8" s="123" t="s">
        <v>660</v>
      </c>
      <c r="IC8" s="124" t="s">
        <v>661</v>
      </c>
      <c r="ID8" s="287"/>
      <c r="IE8" s="123" t="s">
        <v>658</v>
      </c>
      <c r="IF8" s="123" t="s">
        <v>659</v>
      </c>
      <c r="IG8" s="123" t="s">
        <v>660</v>
      </c>
      <c r="IH8" s="124" t="s">
        <v>661</v>
      </c>
      <c r="II8" s="287"/>
    </row>
    <row r="9" spans="1:244" ht="21" customHeight="1">
      <c r="A9" s="125"/>
      <c r="B9" s="125"/>
      <c r="C9" s="126"/>
      <c r="D9" s="110"/>
      <c r="E9" s="107"/>
      <c r="F9" s="126"/>
      <c r="G9" s="110"/>
      <c r="H9" s="107"/>
      <c r="I9" s="126"/>
      <c r="J9" s="110"/>
      <c r="K9" s="107"/>
      <c r="L9" s="126"/>
      <c r="M9" s="110"/>
      <c r="N9" s="107"/>
      <c r="O9" s="126"/>
      <c r="P9" s="110"/>
      <c r="Q9" s="107"/>
      <c r="R9" s="126"/>
      <c r="S9" s="110"/>
      <c r="T9" s="107"/>
      <c r="U9" s="126"/>
      <c r="V9" s="110"/>
      <c r="W9" s="107"/>
      <c r="X9" s="127"/>
      <c r="Y9" s="127"/>
      <c r="Z9" s="127"/>
      <c r="AA9" s="128"/>
      <c r="AB9" s="129"/>
      <c r="AC9" s="129"/>
      <c r="AD9" s="130"/>
      <c r="AE9" s="113"/>
      <c r="AF9" s="107"/>
      <c r="AG9" s="131"/>
      <c r="AH9" s="126"/>
      <c r="AI9" s="110"/>
      <c r="AJ9" s="107"/>
      <c r="AK9" s="126"/>
      <c r="AL9" s="110"/>
      <c r="AM9" s="107"/>
      <c r="AN9" s="126"/>
      <c r="AO9" s="110"/>
      <c r="AP9" s="107"/>
      <c r="AQ9" s="126"/>
      <c r="AR9" s="110"/>
      <c r="AS9" s="107"/>
      <c r="AT9" s="126"/>
      <c r="AU9" s="110"/>
      <c r="AV9" s="107"/>
      <c r="AW9" s="125"/>
      <c r="AX9" s="125"/>
      <c r="AY9" s="132"/>
      <c r="AZ9" s="107"/>
      <c r="BA9" s="125"/>
      <c r="BB9" s="107"/>
      <c r="BC9" s="125"/>
      <c r="BD9" s="125"/>
      <c r="BE9" s="132"/>
      <c r="BF9" s="107"/>
      <c r="BG9" s="125"/>
      <c r="BH9" s="107"/>
      <c r="BI9" s="125"/>
      <c r="BJ9" s="125"/>
      <c r="BK9" s="132"/>
      <c r="BL9" s="107"/>
      <c r="BM9" s="125"/>
      <c r="BN9" s="107"/>
      <c r="BO9" s="125"/>
      <c r="BP9" s="125"/>
      <c r="BQ9" s="125"/>
      <c r="BR9" s="107"/>
      <c r="BS9" s="125"/>
      <c r="BT9" s="107"/>
      <c r="BU9" s="125"/>
      <c r="BV9" s="125"/>
      <c r="BW9" s="132"/>
      <c r="BX9" s="107"/>
      <c r="BY9" s="125"/>
      <c r="BZ9" s="107"/>
      <c r="CA9" s="125"/>
      <c r="CB9" s="125"/>
      <c r="CC9" s="133"/>
      <c r="CD9" s="107"/>
      <c r="CE9" s="125"/>
      <c r="CF9" s="107"/>
      <c r="CG9" s="125"/>
      <c r="CH9" s="125"/>
      <c r="CI9" s="132"/>
      <c r="CJ9" s="107"/>
      <c r="CK9" s="125"/>
      <c r="CL9" s="107"/>
      <c r="CM9" s="125"/>
      <c r="CN9" s="125"/>
      <c r="CO9" s="132"/>
      <c r="CP9" s="107"/>
      <c r="CQ9" s="125"/>
      <c r="CR9" s="107"/>
      <c r="CS9" s="125"/>
      <c r="CT9" s="125"/>
      <c r="CU9" s="132"/>
      <c r="CV9" s="107"/>
      <c r="CW9" s="125"/>
      <c r="CX9" s="107"/>
      <c r="CY9" s="125"/>
      <c r="CZ9" s="125"/>
      <c r="DA9" s="132"/>
      <c r="DB9" s="107"/>
      <c r="DC9" s="125"/>
      <c r="DD9" s="107"/>
      <c r="DE9" s="125"/>
      <c r="DF9" s="125"/>
      <c r="DG9" s="132"/>
      <c r="DH9" s="107"/>
      <c r="DI9" s="125"/>
      <c r="DJ9" s="107"/>
      <c r="DK9" s="125"/>
      <c r="DL9" s="125"/>
      <c r="DM9" s="132"/>
      <c r="DN9" s="107"/>
      <c r="DO9" s="125"/>
      <c r="DP9" s="107"/>
      <c r="DQ9" s="125"/>
      <c r="DR9" s="125"/>
      <c r="DS9" s="132"/>
      <c r="DT9" s="107"/>
      <c r="DU9" s="125"/>
      <c r="DV9" s="107"/>
      <c r="DW9" s="125"/>
      <c r="DX9" s="125"/>
      <c r="DY9" s="132"/>
      <c r="DZ9" s="107"/>
      <c r="EA9" s="125"/>
      <c r="EB9" s="107"/>
      <c r="EC9" s="125"/>
      <c r="ED9" s="125"/>
      <c r="EE9" s="132"/>
      <c r="EF9" s="107"/>
      <c r="EG9" s="125"/>
      <c r="EH9" s="107"/>
      <c r="EI9" s="125"/>
      <c r="EJ9" s="125"/>
      <c r="EK9" s="132"/>
      <c r="EL9" s="107"/>
      <c r="EM9" s="125"/>
      <c r="EN9" s="107"/>
      <c r="EO9" s="125"/>
      <c r="EP9" s="125"/>
      <c r="EQ9" s="132"/>
      <c r="ER9" s="107"/>
      <c r="ES9" s="125"/>
      <c r="ET9" s="107"/>
      <c r="EU9" s="125"/>
      <c r="EV9" s="125"/>
      <c r="EW9" s="132"/>
      <c r="EX9" s="107"/>
      <c r="EY9" s="125"/>
      <c r="EZ9" s="107"/>
      <c r="FA9" s="125"/>
      <c r="FB9" s="125"/>
      <c r="FC9" s="132"/>
      <c r="FD9" s="107"/>
      <c r="FE9" s="125"/>
      <c r="FF9" s="107"/>
      <c r="FG9" s="125"/>
      <c r="FH9" s="125"/>
      <c r="FI9" s="125"/>
      <c r="FJ9" s="107"/>
      <c r="FK9" s="125"/>
      <c r="FL9" s="107"/>
      <c r="FM9" s="125"/>
      <c r="FN9" s="125"/>
      <c r="FO9" s="132"/>
      <c r="FP9" s="107"/>
      <c r="FQ9" s="125"/>
      <c r="FR9" s="107"/>
      <c r="FS9" s="125"/>
      <c r="FT9" s="125"/>
      <c r="FU9" s="132"/>
      <c r="FV9" s="107"/>
      <c r="FW9" s="125"/>
      <c r="FX9" s="107"/>
      <c r="FY9" s="125"/>
      <c r="FZ9" s="125"/>
      <c r="GA9" s="132"/>
      <c r="GB9" s="107"/>
      <c r="GC9" s="125"/>
      <c r="GD9" s="107"/>
      <c r="GE9" s="134"/>
      <c r="GF9" s="134"/>
      <c r="GG9" s="135"/>
      <c r="GH9" s="135"/>
      <c r="GI9" s="135"/>
      <c r="GJ9" s="135"/>
      <c r="GK9" s="107"/>
      <c r="GL9" s="135"/>
      <c r="GM9" s="135"/>
      <c r="GN9" s="135"/>
      <c r="GO9" s="135"/>
      <c r="GP9" s="136"/>
      <c r="GQ9" s="109"/>
      <c r="GR9" s="110"/>
      <c r="GS9" s="55"/>
      <c r="GT9" s="56"/>
      <c r="GU9" s="57"/>
      <c r="GV9" s="56"/>
      <c r="GW9" s="57"/>
      <c r="GX9" s="57"/>
      <c r="GY9" s="56"/>
      <c r="GZ9" s="135"/>
      <c r="HA9" s="137"/>
      <c r="HB9" s="138"/>
      <c r="HC9" s="138"/>
      <c r="HD9" s="138"/>
      <c r="HE9" s="138"/>
      <c r="HF9" s="111"/>
      <c r="HG9" s="137"/>
      <c r="HH9" s="137"/>
      <c r="HI9" s="138"/>
      <c r="HJ9" s="138"/>
      <c r="HK9" s="138"/>
      <c r="HL9" s="138"/>
      <c r="HM9" s="111"/>
      <c r="HN9" s="137"/>
      <c r="HO9" s="137"/>
      <c r="HP9" s="138"/>
      <c r="HQ9" s="138"/>
      <c r="HR9" s="138"/>
      <c r="HS9" s="138"/>
      <c r="HT9" s="111"/>
      <c r="HU9" s="137"/>
      <c r="HV9" s="137"/>
      <c r="HW9" s="137"/>
      <c r="HX9" s="138"/>
      <c r="HY9" s="112"/>
      <c r="HZ9" s="137"/>
      <c r="IA9" s="137"/>
      <c r="IB9" s="137"/>
      <c r="IC9" s="138"/>
      <c r="ID9" s="112"/>
      <c r="IE9" s="137"/>
      <c r="IF9" s="137"/>
      <c r="IG9" s="137"/>
      <c r="IH9" s="138"/>
      <c r="II9" s="112"/>
      <c r="IJ9" s="139"/>
    </row>
    <row r="10" spans="1:244" s="93" customFormat="1" ht="92.4">
      <c r="A10" s="97" t="s">
        <v>445</v>
      </c>
      <c r="B10" s="204" t="s">
        <v>153</v>
      </c>
      <c r="C10" s="198" t="s">
        <v>152</v>
      </c>
      <c r="D10" s="198"/>
      <c r="E10" s="203" t="s">
        <v>151</v>
      </c>
      <c r="F10" s="198" t="s">
        <v>152</v>
      </c>
      <c r="G10" s="198" t="s">
        <v>151</v>
      </c>
      <c r="H10" s="203" t="s">
        <v>151</v>
      </c>
      <c r="I10" s="198" t="s">
        <v>152</v>
      </c>
      <c r="J10" s="198" t="s">
        <v>151</v>
      </c>
      <c r="K10" s="203" t="s">
        <v>151</v>
      </c>
      <c r="L10" s="198" t="s">
        <v>152</v>
      </c>
      <c r="M10" s="198" t="s">
        <v>151</v>
      </c>
      <c r="N10" s="203" t="s">
        <v>151</v>
      </c>
      <c r="O10" s="198" t="s">
        <v>152</v>
      </c>
      <c r="P10" s="198" t="s">
        <v>151</v>
      </c>
      <c r="Q10" s="203" t="s">
        <v>151</v>
      </c>
      <c r="R10" s="198" t="s">
        <v>152</v>
      </c>
      <c r="S10" s="198" t="s">
        <v>151</v>
      </c>
      <c r="T10" s="203" t="s">
        <v>151</v>
      </c>
      <c r="U10" s="198" t="s">
        <v>152</v>
      </c>
      <c r="V10" s="198" t="s">
        <v>151</v>
      </c>
      <c r="W10" s="203" t="s">
        <v>151</v>
      </c>
      <c r="X10" s="204"/>
      <c r="Y10" s="204" t="s">
        <v>152</v>
      </c>
      <c r="Z10" s="204"/>
      <c r="AA10" s="98" t="str">
        <f>IF(OR(X10="○",Y10="○"),"○","")</f>
        <v>○</v>
      </c>
      <c r="AB10" s="204" t="s">
        <v>152</v>
      </c>
      <c r="AC10" s="204"/>
      <c r="AD10" s="98" t="str">
        <f>IF(AND(Z10="○",AB10="○"),"○","")</f>
        <v/>
      </c>
      <c r="AE10" s="99"/>
      <c r="AF10" s="203"/>
      <c r="AG10" s="203"/>
      <c r="AH10" s="198" t="s">
        <v>160</v>
      </c>
      <c r="AI10" s="198" t="s">
        <v>151</v>
      </c>
      <c r="AJ10" s="203" t="s">
        <v>151</v>
      </c>
      <c r="AK10" s="198" t="s">
        <v>152</v>
      </c>
      <c r="AL10" s="198" t="s">
        <v>151</v>
      </c>
      <c r="AM10" s="203" t="s">
        <v>151</v>
      </c>
      <c r="AN10" s="198" t="s">
        <v>152</v>
      </c>
      <c r="AO10" s="198" t="s">
        <v>151</v>
      </c>
      <c r="AP10" s="203" t="s">
        <v>151</v>
      </c>
      <c r="AQ10" s="198" t="s">
        <v>152</v>
      </c>
      <c r="AR10" s="198" t="s">
        <v>151</v>
      </c>
      <c r="AS10" s="203" t="s">
        <v>151</v>
      </c>
      <c r="AT10" s="198" t="s">
        <v>152</v>
      </c>
      <c r="AU10" s="198" t="s">
        <v>151</v>
      </c>
      <c r="AV10" s="203" t="s">
        <v>151</v>
      </c>
      <c r="AW10" s="201">
        <v>2</v>
      </c>
      <c r="AX10" s="201">
        <v>2</v>
      </c>
      <c r="AY10" s="202">
        <f>IF(ISERROR(AX10/AW10),"",AX10/AW10)</f>
        <v>1</v>
      </c>
      <c r="AZ10" s="203" t="s">
        <v>151</v>
      </c>
      <c r="BA10" s="204">
        <v>0</v>
      </c>
      <c r="BB10" s="203" t="s">
        <v>151</v>
      </c>
      <c r="BC10" s="201">
        <v>0</v>
      </c>
      <c r="BD10" s="201">
        <v>0</v>
      </c>
      <c r="BE10" s="202" t="str">
        <f>IF(ISERROR(BD10/BC10),"",BD10/BC10)</f>
        <v/>
      </c>
      <c r="BF10" s="203" t="s">
        <v>151</v>
      </c>
      <c r="BG10" s="204">
        <v>0</v>
      </c>
      <c r="BH10" s="203" t="s">
        <v>151</v>
      </c>
      <c r="BI10" s="201">
        <v>0</v>
      </c>
      <c r="BJ10" s="201">
        <v>0</v>
      </c>
      <c r="BK10" s="202" t="str">
        <f>IF(ISERROR(BJ10/BI10),"",BJ10/BI10)</f>
        <v/>
      </c>
      <c r="BL10" s="203" t="s">
        <v>151</v>
      </c>
      <c r="BM10" s="204">
        <v>0</v>
      </c>
      <c r="BN10" s="203" t="s">
        <v>151</v>
      </c>
      <c r="BO10" s="201">
        <v>0</v>
      </c>
      <c r="BP10" s="201">
        <v>0</v>
      </c>
      <c r="BQ10" s="202" t="str">
        <f>IF(ISERROR(BP10/BO10),"",BP10/BO10)</f>
        <v/>
      </c>
      <c r="BR10" s="203" t="s">
        <v>151</v>
      </c>
      <c r="BS10" s="204">
        <v>0</v>
      </c>
      <c r="BT10" s="203" t="s">
        <v>151</v>
      </c>
      <c r="BU10" s="201">
        <v>0</v>
      </c>
      <c r="BV10" s="201">
        <v>0</v>
      </c>
      <c r="BW10" s="202" t="str">
        <f>IF(ISERROR(BV10/BU10),"",BV10/BU10)</f>
        <v/>
      </c>
      <c r="BX10" s="203" t="s">
        <v>151</v>
      </c>
      <c r="BY10" s="204">
        <v>0</v>
      </c>
      <c r="BZ10" s="203" t="s">
        <v>151</v>
      </c>
      <c r="CA10" s="201">
        <v>0</v>
      </c>
      <c r="CB10" s="201">
        <v>0</v>
      </c>
      <c r="CC10" s="202" t="str">
        <f>IF(ISERROR(CB10/CA10),"",CB10/CA10)</f>
        <v/>
      </c>
      <c r="CD10" s="203" t="s">
        <v>151</v>
      </c>
      <c r="CE10" s="204">
        <v>0</v>
      </c>
      <c r="CF10" s="203" t="s">
        <v>151</v>
      </c>
      <c r="CG10" s="201">
        <v>0</v>
      </c>
      <c r="CH10" s="201">
        <v>0</v>
      </c>
      <c r="CI10" s="202" t="str">
        <f>IF(ISERROR(CH10/CG10),"",CH10/CG10)</f>
        <v/>
      </c>
      <c r="CJ10" s="203" t="s">
        <v>151</v>
      </c>
      <c r="CK10" s="204">
        <v>0</v>
      </c>
      <c r="CL10" s="203" t="s">
        <v>151</v>
      </c>
      <c r="CM10" s="201">
        <v>1</v>
      </c>
      <c r="CN10" s="201">
        <v>1</v>
      </c>
      <c r="CO10" s="202">
        <f>IF(ISERROR(CN10/CM10),"",CN10/CM10)</f>
        <v>1</v>
      </c>
      <c r="CP10" s="203" t="s">
        <v>151</v>
      </c>
      <c r="CQ10" s="204">
        <v>0</v>
      </c>
      <c r="CR10" s="203" t="s">
        <v>151</v>
      </c>
      <c r="CS10" s="201">
        <v>0</v>
      </c>
      <c r="CT10" s="201">
        <v>0</v>
      </c>
      <c r="CU10" s="202" t="str">
        <f>IF(ISERROR(CT10/CS10),"",CT10/CS10)</f>
        <v/>
      </c>
      <c r="CV10" s="203" t="s">
        <v>151</v>
      </c>
      <c r="CW10" s="204">
        <v>0</v>
      </c>
      <c r="CX10" s="203" t="s">
        <v>151</v>
      </c>
      <c r="CY10" s="201">
        <v>4</v>
      </c>
      <c r="CZ10" s="201">
        <v>3</v>
      </c>
      <c r="DA10" s="202">
        <f>IF(ISERROR(CZ10/CY10),"",CZ10/CY10)</f>
        <v>0.75</v>
      </c>
      <c r="DB10" s="203" t="s">
        <v>255</v>
      </c>
      <c r="DC10" s="204">
        <v>1</v>
      </c>
      <c r="DD10" s="203" t="s">
        <v>672</v>
      </c>
      <c r="DE10" s="201">
        <v>12</v>
      </c>
      <c r="DF10" s="201">
        <v>12</v>
      </c>
      <c r="DG10" s="202">
        <f>IF(ISERROR(DF10/DE10),"",DF10/DE10)</f>
        <v>1</v>
      </c>
      <c r="DH10" s="203" t="s">
        <v>151</v>
      </c>
      <c r="DI10" s="204">
        <v>0</v>
      </c>
      <c r="DJ10" s="203" t="s">
        <v>151</v>
      </c>
      <c r="DK10" s="201">
        <v>52</v>
      </c>
      <c r="DL10" s="201">
        <v>51</v>
      </c>
      <c r="DM10" s="202">
        <f>IF(ISERROR(DL10/DK10),"",DL10/DK10)</f>
        <v>0.98076923076923073</v>
      </c>
      <c r="DN10" s="203" t="s">
        <v>779</v>
      </c>
      <c r="DO10" s="204">
        <v>0</v>
      </c>
      <c r="DP10" s="203" t="s">
        <v>151</v>
      </c>
      <c r="DQ10" s="201">
        <v>0</v>
      </c>
      <c r="DR10" s="201">
        <v>0</v>
      </c>
      <c r="DS10" s="202" t="s">
        <v>149</v>
      </c>
      <c r="DT10" s="203" t="s">
        <v>151</v>
      </c>
      <c r="DU10" s="203">
        <v>0</v>
      </c>
      <c r="DV10" s="203" t="s">
        <v>151</v>
      </c>
      <c r="DW10" s="201">
        <v>0</v>
      </c>
      <c r="DX10" s="201">
        <v>0</v>
      </c>
      <c r="DY10" s="202" t="s">
        <v>149</v>
      </c>
      <c r="DZ10" s="203" t="s">
        <v>151</v>
      </c>
      <c r="EA10" s="204">
        <v>0</v>
      </c>
      <c r="EB10" s="203" t="s">
        <v>151</v>
      </c>
      <c r="EC10" s="201">
        <v>1</v>
      </c>
      <c r="ED10" s="201">
        <v>0</v>
      </c>
      <c r="EE10" s="202">
        <v>0</v>
      </c>
      <c r="EF10" s="203" t="s">
        <v>300</v>
      </c>
      <c r="EG10" s="204">
        <v>1</v>
      </c>
      <c r="EH10" s="203" t="s">
        <v>780</v>
      </c>
      <c r="EI10" s="201">
        <v>7</v>
      </c>
      <c r="EJ10" s="201">
        <v>3</v>
      </c>
      <c r="EK10" s="202">
        <v>0.42857142857142855</v>
      </c>
      <c r="EL10" s="203" t="s">
        <v>781</v>
      </c>
      <c r="EM10" s="204">
        <v>4</v>
      </c>
      <c r="EN10" s="203" t="s">
        <v>503</v>
      </c>
      <c r="EO10" s="201">
        <v>0</v>
      </c>
      <c r="EP10" s="201">
        <v>0</v>
      </c>
      <c r="EQ10" s="202" t="str">
        <f>IF(ISERROR(EP10/EO10),"",EP10/EO10)</f>
        <v/>
      </c>
      <c r="ER10" s="203" t="s">
        <v>151</v>
      </c>
      <c r="ES10" s="204">
        <v>0</v>
      </c>
      <c r="ET10" s="203" t="s">
        <v>151</v>
      </c>
      <c r="EU10" s="201">
        <v>0</v>
      </c>
      <c r="EV10" s="201">
        <v>0</v>
      </c>
      <c r="EW10" s="202" t="str">
        <f>IF(ISERROR(EV10/EU10),"",EV10/EU10)</f>
        <v/>
      </c>
      <c r="EX10" s="203" t="s">
        <v>151</v>
      </c>
      <c r="EY10" s="204">
        <v>0</v>
      </c>
      <c r="EZ10" s="203" t="s">
        <v>151</v>
      </c>
      <c r="FA10" s="201">
        <v>6</v>
      </c>
      <c r="FB10" s="201">
        <v>6</v>
      </c>
      <c r="FC10" s="202">
        <f>IF(ISERROR(FB10/FA10),"",FB10/FA10)</f>
        <v>1</v>
      </c>
      <c r="FD10" s="203" t="s">
        <v>151</v>
      </c>
      <c r="FE10" s="204">
        <v>0</v>
      </c>
      <c r="FF10" s="203" t="s">
        <v>151</v>
      </c>
      <c r="FG10" s="201">
        <v>0</v>
      </c>
      <c r="FH10" s="201">
        <v>0</v>
      </c>
      <c r="FI10" s="202" t="str">
        <f>IF(ISERROR(FH10/FG10),"",FH10/FG10)</f>
        <v/>
      </c>
      <c r="FJ10" s="203" t="s">
        <v>151</v>
      </c>
      <c r="FK10" s="204">
        <v>0</v>
      </c>
      <c r="FL10" s="203" t="s">
        <v>151</v>
      </c>
      <c r="FM10" s="201">
        <v>0</v>
      </c>
      <c r="FN10" s="201">
        <v>0</v>
      </c>
      <c r="FO10" s="202" t="str">
        <f>IF(ISERROR(FN10/FM10),"",FN10/FM10)</f>
        <v/>
      </c>
      <c r="FP10" s="203" t="s">
        <v>151</v>
      </c>
      <c r="FQ10" s="204">
        <v>0</v>
      </c>
      <c r="FR10" s="203" t="s">
        <v>151</v>
      </c>
      <c r="FS10" s="201">
        <v>0</v>
      </c>
      <c r="FT10" s="201">
        <v>0</v>
      </c>
      <c r="FU10" s="202" t="str">
        <f>IF(ISERROR(FT10/FS10),"",FT10/FS10)</f>
        <v/>
      </c>
      <c r="FV10" s="203" t="s">
        <v>151</v>
      </c>
      <c r="FW10" s="204">
        <v>0</v>
      </c>
      <c r="FX10" s="203" t="s">
        <v>151</v>
      </c>
      <c r="FY10" s="201">
        <v>0</v>
      </c>
      <c r="FZ10" s="201">
        <v>0</v>
      </c>
      <c r="GA10" s="202" t="str">
        <f>IF(ISERROR(FZ10/FY10),"",FZ10/FY10)</f>
        <v/>
      </c>
      <c r="GB10" s="203" t="s">
        <v>151</v>
      </c>
      <c r="GC10" s="204">
        <v>0</v>
      </c>
      <c r="GD10" s="203" t="s">
        <v>151</v>
      </c>
      <c r="GE10" s="203" t="s">
        <v>437</v>
      </c>
      <c r="GF10" s="203" t="s">
        <v>438</v>
      </c>
      <c r="GG10" s="204" t="s">
        <v>152</v>
      </c>
      <c r="GH10" s="204" t="s">
        <v>152</v>
      </c>
      <c r="GI10" s="204" t="s">
        <v>152</v>
      </c>
      <c r="GJ10" s="204" t="s">
        <v>152</v>
      </c>
      <c r="GK10" s="203" t="s">
        <v>151</v>
      </c>
      <c r="GL10" s="204" t="s">
        <v>152</v>
      </c>
      <c r="GM10" s="204" t="s">
        <v>152</v>
      </c>
      <c r="GN10" s="204" t="s">
        <v>152</v>
      </c>
      <c r="GO10" s="204" t="s">
        <v>152</v>
      </c>
      <c r="GP10" s="204" t="s">
        <v>152</v>
      </c>
      <c r="GQ10" s="204" t="s">
        <v>152</v>
      </c>
      <c r="GR10" s="100" t="s">
        <v>152</v>
      </c>
      <c r="GS10" s="101"/>
      <c r="GT10" s="204" t="s">
        <v>152</v>
      </c>
      <c r="GU10" s="204"/>
      <c r="GV10" s="204"/>
      <c r="GW10" s="145" t="s">
        <v>152</v>
      </c>
      <c r="GX10" s="145" t="s">
        <v>149</v>
      </c>
      <c r="GY10" s="204" t="s">
        <v>149</v>
      </c>
      <c r="GZ10" s="204" t="s">
        <v>457</v>
      </c>
      <c r="HA10" s="203"/>
      <c r="HB10" s="203"/>
      <c r="HC10" s="203"/>
      <c r="HD10" s="203"/>
      <c r="HE10" s="203"/>
      <c r="HF10" s="203"/>
      <c r="HG10" s="204" t="s">
        <v>457</v>
      </c>
      <c r="HH10" s="203"/>
      <c r="HI10" s="203"/>
      <c r="HJ10" s="203"/>
      <c r="HK10" s="203"/>
      <c r="HL10" s="203"/>
      <c r="HM10" s="203"/>
      <c r="HN10" s="204" t="s">
        <v>457</v>
      </c>
      <c r="HO10" s="203"/>
      <c r="HP10" s="203"/>
      <c r="HQ10" s="203"/>
      <c r="HR10" s="203"/>
      <c r="HS10" s="203"/>
      <c r="HT10" s="203"/>
      <c r="HU10" s="204" t="s">
        <v>457</v>
      </c>
      <c r="HV10" s="203"/>
      <c r="HW10" s="203"/>
      <c r="HX10" s="203"/>
      <c r="HY10" s="203"/>
      <c r="HZ10" s="204" t="s">
        <v>457</v>
      </c>
      <c r="IA10" s="203"/>
      <c r="IB10" s="203"/>
      <c r="IC10" s="203"/>
      <c r="ID10" s="203"/>
      <c r="IE10" s="204" t="s">
        <v>457</v>
      </c>
      <c r="IF10" s="203"/>
      <c r="IG10" s="203"/>
      <c r="IH10" s="203"/>
      <c r="II10" s="203"/>
      <c r="IJ10" s="140" t="str">
        <f>IF(OR(GZ10="○",HG10="○",HN10="○"),"○","")</f>
        <v>○</v>
      </c>
    </row>
    <row r="11" spans="1:244" s="93" customFormat="1" ht="66">
      <c r="A11" s="97" t="s">
        <v>154</v>
      </c>
      <c r="B11" s="204" t="s">
        <v>155</v>
      </c>
      <c r="C11" s="198" t="s">
        <v>152</v>
      </c>
      <c r="D11" s="198" t="s">
        <v>151</v>
      </c>
      <c r="E11" s="203" t="s">
        <v>151</v>
      </c>
      <c r="F11" s="198" t="s">
        <v>152</v>
      </c>
      <c r="G11" s="198" t="s">
        <v>151</v>
      </c>
      <c r="H11" s="203" t="s">
        <v>151</v>
      </c>
      <c r="I11" s="198" t="s">
        <v>152</v>
      </c>
      <c r="J11" s="198" t="s">
        <v>151</v>
      </c>
      <c r="K11" s="203" t="s">
        <v>151</v>
      </c>
      <c r="L11" s="198" t="s">
        <v>152</v>
      </c>
      <c r="M11" s="198" t="s">
        <v>151</v>
      </c>
      <c r="N11" s="203" t="s">
        <v>151</v>
      </c>
      <c r="O11" s="198" t="s">
        <v>152</v>
      </c>
      <c r="P11" s="198" t="s">
        <v>151</v>
      </c>
      <c r="Q11" s="203" t="s">
        <v>151</v>
      </c>
      <c r="R11" s="198" t="s">
        <v>152</v>
      </c>
      <c r="S11" s="198" t="s">
        <v>151</v>
      </c>
      <c r="T11" s="203" t="s">
        <v>151</v>
      </c>
      <c r="U11" s="198" t="s">
        <v>152</v>
      </c>
      <c r="V11" s="198" t="s">
        <v>151</v>
      </c>
      <c r="W11" s="203" t="s">
        <v>151</v>
      </c>
      <c r="X11" s="204"/>
      <c r="Y11" s="204"/>
      <c r="Z11" s="204" t="s">
        <v>152</v>
      </c>
      <c r="AA11" s="98" t="str">
        <f>IF(OR(X11="○",Y11="○"),"○","")</f>
        <v/>
      </c>
      <c r="AB11" s="204" t="s">
        <v>152</v>
      </c>
      <c r="AC11" s="204"/>
      <c r="AD11" s="98" t="str">
        <f t="shared" ref="AD11:AD17" si="0">IF(AND(Z11="○",AB11="○"),"○","")</f>
        <v>○</v>
      </c>
      <c r="AE11" s="99"/>
      <c r="AF11" s="203" t="s">
        <v>228</v>
      </c>
      <c r="AG11" s="203"/>
      <c r="AH11" s="198" t="s">
        <v>160</v>
      </c>
      <c r="AI11" s="198" t="s">
        <v>151</v>
      </c>
      <c r="AJ11" s="203" t="s">
        <v>151</v>
      </c>
      <c r="AK11" s="198" t="s">
        <v>152</v>
      </c>
      <c r="AL11" s="198" t="s">
        <v>151</v>
      </c>
      <c r="AM11" s="203" t="s">
        <v>151</v>
      </c>
      <c r="AN11" s="198" t="s">
        <v>152</v>
      </c>
      <c r="AO11" s="198" t="s">
        <v>151</v>
      </c>
      <c r="AP11" s="203" t="s">
        <v>151</v>
      </c>
      <c r="AQ11" s="198" t="s">
        <v>152</v>
      </c>
      <c r="AR11" s="198" t="s">
        <v>151</v>
      </c>
      <c r="AS11" s="203" t="s">
        <v>151</v>
      </c>
      <c r="AT11" s="198" t="s">
        <v>152</v>
      </c>
      <c r="AU11" s="198" t="s">
        <v>151</v>
      </c>
      <c r="AV11" s="203" t="s">
        <v>151</v>
      </c>
      <c r="AW11" s="201">
        <v>1</v>
      </c>
      <c r="AX11" s="201">
        <v>1</v>
      </c>
      <c r="AY11" s="202">
        <f t="shared" ref="AY11:AY17" si="1">IF(ISERROR(AX11/AW11),"",AX11/AW11)</f>
        <v>1</v>
      </c>
      <c r="AZ11" s="203" t="s">
        <v>151</v>
      </c>
      <c r="BA11" s="204">
        <v>0</v>
      </c>
      <c r="BB11" s="203" t="s">
        <v>151</v>
      </c>
      <c r="BC11" s="201">
        <v>4</v>
      </c>
      <c r="BD11" s="201">
        <v>4</v>
      </c>
      <c r="BE11" s="202">
        <f>IF(ISERROR(BD11/BC11),"",BD11/BC11)</f>
        <v>1</v>
      </c>
      <c r="BF11" s="203" t="s">
        <v>151</v>
      </c>
      <c r="BG11" s="204">
        <v>0</v>
      </c>
      <c r="BH11" s="203" t="s">
        <v>151</v>
      </c>
      <c r="BI11" s="201">
        <v>2</v>
      </c>
      <c r="BJ11" s="201">
        <v>2</v>
      </c>
      <c r="BK11" s="202">
        <f>IF(ISERROR(BJ11/BI11),"",BJ11/BI11)</f>
        <v>1</v>
      </c>
      <c r="BL11" s="203" t="s">
        <v>151</v>
      </c>
      <c r="BM11" s="204">
        <v>0</v>
      </c>
      <c r="BN11" s="203" t="s">
        <v>151</v>
      </c>
      <c r="BO11" s="201">
        <v>0</v>
      </c>
      <c r="BP11" s="201">
        <v>0</v>
      </c>
      <c r="BQ11" s="202" t="str">
        <f>IF(ISERROR(BP11/BO11),"",BP11/BO11)</f>
        <v/>
      </c>
      <c r="BR11" s="203" t="s">
        <v>151</v>
      </c>
      <c r="BS11" s="204">
        <v>0</v>
      </c>
      <c r="BT11" s="203" t="s">
        <v>151</v>
      </c>
      <c r="BU11" s="201">
        <v>0</v>
      </c>
      <c r="BV11" s="201">
        <v>0</v>
      </c>
      <c r="BW11" s="202" t="str">
        <f>IF(ISERROR(BV11/BU11),"",BV11/BU11)</f>
        <v/>
      </c>
      <c r="BX11" s="203" t="s">
        <v>151</v>
      </c>
      <c r="BY11" s="204">
        <v>0</v>
      </c>
      <c r="BZ11" s="203" t="s">
        <v>151</v>
      </c>
      <c r="CA11" s="201">
        <v>0</v>
      </c>
      <c r="CB11" s="201">
        <v>0</v>
      </c>
      <c r="CC11" s="202" t="str">
        <f>IF(ISERROR(CB11/CA11),"",CB11/CA11)</f>
        <v/>
      </c>
      <c r="CD11" s="203" t="s">
        <v>151</v>
      </c>
      <c r="CE11" s="204">
        <v>0</v>
      </c>
      <c r="CF11" s="203" t="s">
        <v>151</v>
      </c>
      <c r="CG11" s="201">
        <v>0</v>
      </c>
      <c r="CH11" s="201">
        <v>0</v>
      </c>
      <c r="CI11" s="202" t="str">
        <f>IF(ISERROR(CH11/CG11),"",CH11/CG11)</f>
        <v/>
      </c>
      <c r="CJ11" s="203" t="s">
        <v>151</v>
      </c>
      <c r="CK11" s="204">
        <v>0</v>
      </c>
      <c r="CL11" s="203" t="s">
        <v>151</v>
      </c>
      <c r="CM11" s="201">
        <v>0</v>
      </c>
      <c r="CN11" s="201">
        <v>0</v>
      </c>
      <c r="CO11" s="202" t="str">
        <f>IF(ISERROR(CN11/CM11),"",CN11/CM11)</f>
        <v/>
      </c>
      <c r="CP11" s="203" t="s">
        <v>151</v>
      </c>
      <c r="CQ11" s="204">
        <v>0</v>
      </c>
      <c r="CR11" s="203" t="s">
        <v>151</v>
      </c>
      <c r="CS11" s="201">
        <v>0</v>
      </c>
      <c r="CT11" s="201">
        <v>0</v>
      </c>
      <c r="CU11" s="202" t="str">
        <f>IF(ISERROR(CT11/CS11),"",CT11/CS11)</f>
        <v/>
      </c>
      <c r="CV11" s="203" t="s">
        <v>151</v>
      </c>
      <c r="CW11" s="204">
        <v>0</v>
      </c>
      <c r="CX11" s="203" t="s">
        <v>151</v>
      </c>
      <c r="CY11" s="201">
        <v>1</v>
      </c>
      <c r="CZ11" s="201">
        <v>1</v>
      </c>
      <c r="DA11" s="202">
        <f>IF(ISERROR(CZ11/CY11),"",CZ11/CY11)</f>
        <v>1</v>
      </c>
      <c r="DB11" s="203" t="s">
        <v>151</v>
      </c>
      <c r="DC11" s="204">
        <v>0</v>
      </c>
      <c r="DD11" s="203" t="s">
        <v>151</v>
      </c>
      <c r="DE11" s="201">
        <v>2</v>
      </c>
      <c r="DF11" s="201">
        <v>0</v>
      </c>
      <c r="DG11" s="202">
        <f>IF(ISERROR(DF11/DE11),"",DF11/DE11)</f>
        <v>0</v>
      </c>
      <c r="DH11" s="203" t="s">
        <v>281</v>
      </c>
      <c r="DI11" s="204">
        <v>0</v>
      </c>
      <c r="DJ11" s="203" t="s">
        <v>151</v>
      </c>
      <c r="DK11" s="201">
        <v>37</v>
      </c>
      <c r="DL11" s="201">
        <v>35</v>
      </c>
      <c r="DM11" s="202">
        <f>IF(ISERROR(DL11/DK11),"",DL11/DK11)</f>
        <v>0.94594594594594594</v>
      </c>
      <c r="DN11" s="203" t="s">
        <v>459</v>
      </c>
      <c r="DO11" s="204">
        <v>0</v>
      </c>
      <c r="DP11" s="203" t="s">
        <v>151</v>
      </c>
      <c r="DQ11" s="201">
        <v>2</v>
      </c>
      <c r="DR11" s="201">
        <v>2</v>
      </c>
      <c r="DS11" s="202">
        <f>IF(ISERROR(DR11/DQ11),"",DR11/DQ11)</f>
        <v>1</v>
      </c>
      <c r="DT11" s="203" t="s">
        <v>151</v>
      </c>
      <c r="DU11" s="203">
        <v>0</v>
      </c>
      <c r="DV11" s="203" t="s">
        <v>151</v>
      </c>
      <c r="DW11" s="201">
        <v>0</v>
      </c>
      <c r="DX11" s="201">
        <v>0</v>
      </c>
      <c r="DY11" s="202" t="str">
        <f>IF(ISERROR(DX11/DW11),"",DX11/DW11)</f>
        <v/>
      </c>
      <c r="DZ11" s="203" t="s">
        <v>151</v>
      </c>
      <c r="EA11" s="204">
        <v>0</v>
      </c>
      <c r="EB11" s="203" t="s">
        <v>151</v>
      </c>
      <c r="EC11" s="201">
        <v>1</v>
      </c>
      <c r="ED11" s="201">
        <v>0</v>
      </c>
      <c r="EE11" s="202">
        <f>IF(ISERROR(ED11/EC11),"",ED11/EC11)</f>
        <v>0</v>
      </c>
      <c r="EF11" s="203" t="s">
        <v>596</v>
      </c>
      <c r="EG11" s="204">
        <v>1</v>
      </c>
      <c r="EH11" s="203" t="s">
        <v>597</v>
      </c>
      <c r="EI11" s="201">
        <v>6</v>
      </c>
      <c r="EJ11" s="201">
        <v>3</v>
      </c>
      <c r="EK11" s="202">
        <f>IF(ISERROR(EJ11/EI11),"",EJ11/EI11)</f>
        <v>0.5</v>
      </c>
      <c r="EL11" s="203" t="s">
        <v>674</v>
      </c>
      <c r="EM11" s="204">
        <v>3</v>
      </c>
      <c r="EN11" s="203" t="s">
        <v>598</v>
      </c>
      <c r="EO11" s="201">
        <v>0</v>
      </c>
      <c r="EP11" s="201">
        <v>0</v>
      </c>
      <c r="EQ11" s="202" t="str">
        <f>IF(ISERROR(EP11/EO11),"",EP11/EO11)</f>
        <v/>
      </c>
      <c r="ER11" s="203" t="s">
        <v>151</v>
      </c>
      <c r="ES11" s="204">
        <v>0</v>
      </c>
      <c r="ET11" s="203" t="s">
        <v>151</v>
      </c>
      <c r="EU11" s="201">
        <v>0</v>
      </c>
      <c r="EV11" s="201">
        <v>0</v>
      </c>
      <c r="EW11" s="202" t="str">
        <f>IF(ISERROR(EV11/EU11),"",EV11/EU11)</f>
        <v/>
      </c>
      <c r="EX11" s="203" t="s">
        <v>151</v>
      </c>
      <c r="EY11" s="204">
        <v>0</v>
      </c>
      <c r="EZ11" s="203" t="s">
        <v>151</v>
      </c>
      <c r="FA11" s="201">
        <v>3</v>
      </c>
      <c r="FB11" s="201">
        <v>2</v>
      </c>
      <c r="FC11" s="202">
        <f>IF(ISERROR(FB11/FA11),"",FB11/FA11)</f>
        <v>0.66666666666666663</v>
      </c>
      <c r="FD11" s="203" t="s">
        <v>599</v>
      </c>
      <c r="FE11" s="204">
        <v>1</v>
      </c>
      <c r="FF11" s="203" t="s">
        <v>600</v>
      </c>
      <c r="FG11" s="201">
        <v>0</v>
      </c>
      <c r="FH11" s="201">
        <v>0</v>
      </c>
      <c r="FI11" s="202" t="str">
        <f>IF(ISERROR(FH11/FG11),"",FH11/FG11)</f>
        <v/>
      </c>
      <c r="FJ11" s="203" t="s">
        <v>151</v>
      </c>
      <c r="FK11" s="204">
        <v>0</v>
      </c>
      <c r="FL11" s="203" t="s">
        <v>151</v>
      </c>
      <c r="FM11" s="201">
        <v>0</v>
      </c>
      <c r="FN11" s="201">
        <v>0</v>
      </c>
      <c r="FO11" s="202" t="str">
        <f>IF(ISERROR(FN11/FM11),"",FN11/FM11)</f>
        <v/>
      </c>
      <c r="FP11" s="203" t="s">
        <v>151</v>
      </c>
      <c r="FQ11" s="204">
        <v>0</v>
      </c>
      <c r="FR11" s="203" t="s">
        <v>151</v>
      </c>
      <c r="FS11" s="201">
        <v>8</v>
      </c>
      <c r="FT11" s="201">
        <v>6</v>
      </c>
      <c r="FU11" s="202">
        <f>IF(ISERROR(FT11/FS11),"",FT11/FS11)</f>
        <v>0.75</v>
      </c>
      <c r="FV11" s="203" t="s">
        <v>406</v>
      </c>
      <c r="FW11" s="204">
        <v>2</v>
      </c>
      <c r="FX11" s="203" t="s">
        <v>407</v>
      </c>
      <c r="FY11" s="201">
        <v>0</v>
      </c>
      <c r="FZ11" s="201">
        <v>0</v>
      </c>
      <c r="GA11" s="202" t="str">
        <f>IF(ISERROR(FZ11/FY11),"",FZ11/FY11)</f>
        <v/>
      </c>
      <c r="GB11" s="203" t="s">
        <v>151</v>
      </c>
      <c r="GC11" s="204">
        <v>0</v>
      </c>
      <c r="GD11" s="203" t="s">
        <v>151</v>
      </c>
      <c r="GE11" s="203" t="s">
        <v>437</v>
      </c>
      <c r="GF11" s="203" t="s">
        <v>439</v>
      </c>
      <c r="GG11" s="204" t="s">
        <v>152</v>
      </c>
      <c r="GH11" s="204" t="s">
        <v>152</v>
      </c>
      <c r="GI11" s="204" t="s">
        <v>152</v>
      </c>
      <c r="GJ11" s="204" t="s">
        <v>152</v>
      </c>
      <c r="GK11" s="203" t="s">
        <v>151</v>
      </c>
      <c r="GL11" s="204" t="s">
        <v>152</v>
      </c>
      <c r="GM11" s="204" t="s">
        <v>152</v>
      </c>
      <c r="GN11" s="204" t="s">
        <v>151</v>
      </c>
      <c r="GO11" s="204" t="s">
        <v>151</v>
      </c>
      <c r="GP11" s="204" t="s">
        <v>152</v>
      </c>
      <c r="GQ11" s="204" t="s">
        <v>152</v>
      </c>
      <c r="GR11" s="100"/>
      <c r="GS11" s="101"/>
      <c r="GT11" s="204" t="s">
        <v>152</v>
      </c>
      <c r="GU11" s="204"/>
      <c r="GV11" s="204"/>
      <c r="GW11" s="145" t="s">
        <v>152</v>
      </c>
      <c r="GX11" s="145" t="s">
        <v>149</v>
      </c>
      <c r="GY11" s="204" t="s">
        <v>149</v>
      </c>
      <c r="GZ11" s="204" t="s">
        <v>457</v>
      </c>
      <c r="HA11" s="204"/>
      <c r="HB11" s="204"/>
      <c r="HC11" s="204"/>
      <c r="HD11" s="204"/>
      <c r="HE11" s="204"/>
      <c r="HF11" s="204"/>
      <c r="HG11" s="204" t="s">
        <v>152</v>
      </c>
      <c r="HH11" s="204"/>
      <c r="HI11" s="204"/>
      <c r="HJ11" s="204"/>
      <c r="HK11" s="204"/>
      <c r="HL11" s="204"/>
      <c r="HM11" s="204"/>
      <c r="HN11" s="204" t="s">
        <v>152</v>
      </c>
      <c r="HO11" s="204"/>
      <c r="HP11" s="204"/>
      <c r="HQ11" s="204"/>
      <c r="HR11" s="204"/>
      <c r="HS11" s="204"/>
      <c r="HT11" s="204"/>
      <c r="HU11" s="204" t="s">
        <v>152</v>
      </c>
      <c r="HV11" s="204"/>
      <c r="HW11" s="204"/>
      <c r="HX11" s="204"/>
      <c r="HY11" s="204"/>
      <c r="HZ11" s="204" t="s">
        <v>152</v>
      </c>
      <c r="IA11" s="204"/>
      <c r="IB11" s="204"/>
      <c r="IC11" s="204"/>
      <c r="ID11" s="204"/>
      <c r="IE11" s="204"/>
      <c r="IF11" s="204" t="s">
        <v>750</v>
      </c>
      <c r="IG11" s="204"/>
      <c r="IH11" s="204"/>
      <c r="II11" s="203" t="s">
        <v>675</v>
      </c>
      <c r="IJ11" s="140" t="str">
        <f t="shared" ref="IJ11:IJ56" si="2">IF(OR(GZ11="○",HG11="○",HN11="○"),"○","")</f>
        <v>○</v>
      </c>
    </row>
    <row r="12" spans="1:244" s="93" customFormat="1" ht="233.25" customHeight="1">
      <c r="A12" s="97" t="s">
        <v>504</v>
      </c>
      <c r="B12" s="204" t="s">
        <v>156</v>
      </c>
      <c r="C12" s="198" t="s">
        <v>152</v>
      </c>
      <c r="D12" s="198" t="s">
        <v>151</v>
      </c>
      <c r="E12" s="203" t="s">
        <v>151</v>
      </c>
      <c r="F12" s="198" t="s">
        <v>152</v>
      </c>
      <c r="G12" s="198" t="s">
        <v>151</v>
      </c>
      <c r="H12" s="203" t="s">
        <v>151</v>
      </c>
      <c r="I12" s="198" t="s">
        <v>152</v>
      </c>
      <c r="J12" s="198" t="s">
        <v>151</v>
      </c>
      <c r="K12" s="203" t="s">
        <v>151</v>
      </c>
      <c r="L12" s="198" t="s">
        <v>152</v>
      </c>
      <c r="M12" s="198" t="s">
        <v>151</v>
      </c>
      <c r="N12" s="203" t="s">
        <v>151</v>
      </c>
      <c r="O12" s="198" t="s">
        <v>152</v>
      </c>
      <c r="P12" s="198" t="s">
        <v>151</v>
      </c>
      <c r="Q12" s="203" t="s">
        <v>151</v>
      </c>
      <c r="R12" s="198" t="s">
        <v>152</v>
      </c>
      <c r="S12" s="198" t="s">
        <v>151</v>
      </c>
      <c r="T12" s="203" t="s">
        <v>151</v>
      </c>
      <c r="U12" s="198" t="s">
        <v>152</v>
      </c>
      <c r="V12" s="198" t="s">
        <v>151</v>
      </c>
      <c r="W12" s="203" t="s">
        <v>151</v>
      </c>
      <c r="X12" s="204"/>
      <c r="Y12" s="204"/>
      <c r="Z12" s="204" t="s">
        <v>152</v>
      </c>
      <c r="AA12" s="98" t="str">
        <f t="shared" ref="AA12:AA17" si="3">IF(OR(X12="○",Y12="○"),"○","")</f>
        <v/>
      </c>
      <c r="AB12" s="204" t="s">
        <v>152</v>
      </c>
      <c r="AC12" s="204"/>
      <c r="AD12" s="98" t="str">
        <f t="shared" si="0"/>
        <v>○</v>
      </c>
      <c r="AE12" s="99" t="s">
        <v>229</v>
      </c>
      <c r="AF12" s="203" t="s">
        <v>771</v>
      </c>
      <c r="AG12" s="203"/>
      <c r="AH12" s="198" t="s">
        <v>160</v>
      </c>
      <c r="AI12" s="198" t="s">
        <v>151</v>
      </c>
      <c r="AJ12" s="203" t="s">
        <v>151</v>
      </c>
      <c r="AK12" s="198" t="s">
        <v>152</v>
      </c>
      <c r="AL12" s="198" t="s">
        <v>151</v>
      </c>
      <c r="AM12" s="203" t="s">
        <v>151</v>
      </c>
      <c r="AN12" s="198" t="s">
        <v>152</v>
      </c>
      <c r="AO12" s="198" t="s">
        <v>151</v>
      </c>
      <c r="AP12" s="203" t="s">
        <v>151</v>
      </c>
      <c r="AQ12" s="198" t="s">
        <v>152</v>
      </c>
      <c r="AR12" s="198" t="s">
        <v>151</v>
      </c>
      <c r="AS12" s="203" t="s">
        <v>151</v>
      </c>
      <c r="AT12" s="198" t="s">
        <v>152</v>
      </c>
      <c r="AU12" s="198" t="s">
        <v>151</v>
      </c>
      <c r="AV12" s="203" t="s">
        <v>151</v>
      </c>
      <c r="AW12" s="201">
        <v>3</v>
      </c>
      <c r="AX12" s="201">
        <v>3</v>
      </c>
      <c r="AY12" s="202">
        <v>1</v>
      </c>
      <c r="AZ12" s="203" t="s">
        <v>151</v>
      </c>
      <c r="BA12" s="204">
        <v>0</v>
      </c>
      <c r="BB12" s="203" t="s">
        <v>151</v>
      </c>
      <c r="BC12" s="201">
        <v>5</v>
      </c>
      <c r="BD12" s="201">
        <v>5</v>
      </c>
      <c r="BE12" s="202">
        <f t="shared" ref="BE12:BE17" si="4">IF(ISERROR(BD12/BC12),"",BD12/BC12)</f>
        <v>1</v>
      </c>
      <c r="BF12" s="203" t="s">
        <v>151</v>
      </c>
      <c r="BG12" s="204">
        <v>0</v>
      </c>
      <c r="BH12" s="203" t="s">
        <v>151</v>
      </c>
      <c r="BI12" s="201">
        <v>1</v>
      </c>
      <c r="BJ12" s="201">
        <v>1</v>
      </c>
      <c r="BK12" s="202">
        <f t="shared" ref="BK12:BK17" si="5">IF(ISERROR(BJ12/BI12),"",BJ12/BI12)</f>
        <v>1</v>
      </c>
      <c r="BL12" s="203" t="s">
        <v>151</v>
      </c>
      <c r="BM12" s="204">
        <v>0</v>
      </c>
      <c r="BN12" s="203" t="s">
        <v>151</v>
      </c>
      <c r="BO12" s="201">
        <v>0</v>
      </c>
      <c r="BP12" s="201">
        <v>0</v>
      </c>
      <c r="BQ12" s="202" t="str">
        <f t="shared" ref="BQ12:BQ17" si="6">IF(ISERROR(BP12/BO12),"",BP12/BO12)</f>
        <v/>
      </c>
      <c r="BR12" s="203" t="s">
        <v>151</v>
      </c>
      <c r="BS12" s="204">
        <v>0</v>
      </c>
      <c r="BT12" s="203" t="s">
        <v>151</v>
      </c>
      <c r="BU12" s="201">
        <v>0</v>
      </c>
      <c r="BV12" s="201">
        <v>0</v>
      </c>
      <c r="BW12" s="202" t="s">
        <v>149</v>
      </c>
      <c r="BX12" s="203" t="s">
        <v>151</v>
      </c>
      <c r="BY12" s="204">
        <v>0</v>
      </c>
      <c r="BZ12" s="203" t="s">
        <v>151</v>
      </c>
      <c r="CA12" s="201">
        <v>1</v>
      </c>
      <c r="CB12" s="201">
        <v>1</v>
      </c>
      <c r="CC12" s="202">
        <v>1</v>
      </c>
      <c r="CD12" s="203" t="s">
        <v>151</v>
      </c>
      <c r="CE12" s="204">
        <v>0</v>
      </c>
      <c r="CF12" s="203" t="s">
        <v>151</v>
      </c>
      <c r="CG12" s="201">
        <v>7</v>
      </c>
      <c r="CH12" s="201">
        <v>3</v>
      </c>
      <c r="CI12" s="202">
        <v>0.42857142857142855</v>
      </c>
      <c r="CJ12" s="203" t="s">
        <v>754</v>
      </c>
      <c r="CK12" s="204">
        <v>0</v>
      </c>
      <c r="CL12" s="203" t="s">
        <v>151</v>
      </c>
      <c r="CM12" s="201">
        <v>0</v>
      </c>
      <c r="CN12" s="201">
        <v>0</v>
      </c>
      <c r="CO12" s="202" t="s">
        <v>149</v>
      </c>
      <c r="CP12" s="203" t="s">
        <v>151</v>
      </c>
      <c r="CQ12" s="204">
        <v>0</v>
      </c>
      <c r="CR12" s="203" t="s">
        <v>151</v>
      </c>
      <c r="CS12" s="201">
        <v>1</v>
      </c>
      <c r="CT12" s="201">
        <v>1</v>
      </c>
      <c r="CU12" s="202">
        <v>1</v>
      </c>
      <c r="CV12" s="203" t="s">
        <v>151</v>
      </c>
      <c r="CW12" s="204">
        <v>0</v>
      </c>
      <c r="CX12" s="203" t="s">
        <v>151</v>
      </c>
      <c r="CY12" s="201">
        <v>2</v>
      </c>
      <c r="CZ12" s="201">
        <v>1</v>
      </c>
      <c r="DA12" s="202">
        <v>0.5</v>
      </c>
      <c r="DB12" s="203" t="s">
        <v>505</v>
      </c>
      <c r="DC12" s="204">
        <v>1</v>
      </c>
      <c r="DD12" s="203" t="s">
        <v>506</v>
      </c>
      <c r="DE12" s="201">
        <v>10</v>
      </c>
      <c r="DF12" s="201">
        <v>8</v>
      </c>
      <c r="DG12" s="202">
        <v>0.8</v>
      </c>
      <c r="DH12" s="203" t="s">
        <v>546</v>
      </c>
      <c r="DI12" s="204">
        <v>1</v>
      </c>
      <c r="DJ12" s="203" t="s">
        <v>282</v>
      </c>
      <c r="DK12" s="201">
        <v>81</v>
      </c>
      <c r="DL12" s="201">
        <v>81</v>
      </c>
      <c r="DM12" s="202">
        <v>1</v>
      </c>
      <c r="DN12" s="203" t="s">
        <v>151</v>
      </c>
      <c r="DO12" s="204">
        <v>0</v>
      </c>
      <c r="DP12" s="203" t="s">
        <v>151</v>
      </c>
      <c r="DQ12" s="201">
        <v>1</v>
      </c>
      <c r="DR12" s="201">
        <v>0</v>
      </c>
      <c r="DS12" s="202">
        <v>0</v>
      </c>
      <c r="DT12" s="203" t="s">
        <v>772</v>
      </c>
      <c r="DU12" s="203">
        <v>0</v>
      </c>
      <c r="DV12" s="203" t="s">
        <v>151</v>
      </c>
      <c r="DW12" s="201">
        <v>0</v>
      </c>
      <c r="DX12" s="201">
        <v>0</v>
      </c>
      <c r="DY12" s="202" t="s">
        <v>149</v>
      </c>
      <c r="DZ12" s="203" t="s">
        <v>151</v>
      </c>
      <c r="EA12" s="204">
        <v>0</v>
      </c>
      <c r="EB12" s="203" t="s">
        <v>151</v>
      </c>
      <c r="EC12" s="201">
        <v>1</v>
      </c>
      <c r="ED12" s="201">
        <v>1</v>
      </c>
      <c r="EE12" s="202">
        <v>1</v>
      </c>
      <c r="EF12" s="203" t="s">
        <v>151</v>
      </c>
      <c r="EG12" s="204">
        <v>0</v>
      </c>
      <c r="EH12" s="203" t="s">
        <v>151</v>
      </c>
      <c r="EI12" s="201">
        <v>6</v>
      </c>
      <c r="EJ12" s="201">
        <v>5</v>
      </c>
      <c r="EK12" s="202">
        <v>0.83333333333333337</v>
      </c>
      <c r="EL12" s="203" t="s">
        <v>573</v>
      </c>
      <c r="EM12" s="204">
        <v>1</v>
      </c>
      <c r="EN12" s="203" t="s">
        <v>574</v>
      </c>
      <c r="EO12" s="201">
        <v>0</v>
      </c>
      <c r="EP12" s="201">
        <v>0</v>
      </c>
      <c r="EQ12" s="202" t="s">
        <v>149</v>
      </c>
      <c r="ER12" s="203" t="s">
        <v>151</v>
      </c>
      <c r="ES12" s="204">
        <v>0</v>
      </c>
      <c r="ET12" s="203" t="s">
        <v>151</v>
      </c>
      <c r="EU12" s="201">
        <v>2</v>
      </c>
      <c r="EV12" s="201">
        <v>2</v>
      </c>
      <c r="EW12" s="202">
        <v>1</v>
      </c>
      <c r="EX12" s="203" t="s">
        <v>151</v>
      </c>
      <c r="EY12" s="204">
        <v>0</v>
      </c>
      <c r="EZ12" s="203" t="s">
        <v>151</v>
      </c>
      <c r="FA12" s="201">
        <v>5</v>
      </c>
      <c r="FB12" s="201">
        <v>4</v>
      </c>
      <c r="FC12" s="202">
        <v>0.8</v>
      </c>
      <c r="FD12" s="203" t="s">
        <v>755</v>
      </c>
      <c r="FE12" s="204">
        <v>1</v>
      </c>
      <c r="FF12" s="203" t="s">
        <v>575</v>
      </c>
      <c r="FG12" s="201">
        <v>0</v>
      </c>
      <c r="FH12" s="201">
        <v>0</v>
      </c>
      <c r="FI12" s="202" t="s">
        <v>149</v>
      </c>
      <c r="FJ12" s="203" t="s">
        <v>151</v>
      </c>
      <c r="FK12" s="204">
        <v>0</v>
      </c>
      <c r="FL12" s="203" t="s">
        <v>151</v>
      </c>
      <c r="FM12" s="201">
        <v>0</v>
      </c>
      <c r="FN12" s="201">
        <v>0</v>
      </c>
      <c r="FO12" s="202" t="s">
        <v>149</v>
      </c>
      <c r="FP12" s="203" t="s">
        <v>151</v>
      </c>
      <c r="FQ12" s="204">
        <v>0</v>
      </c>
      <c r="FR12" s="203" t="s">
        <v>151</v>
      </c>
      <c r="FS12" s="201">
        <v>3</v>
      </c>
      <c r="FT12" s="201">
        <v>3</v>
      </c>
      <c r="FU12" s="202">
        <f t="shared" ref="FU12:FU17" si="7">IF(ISERROR(FT12/FS12),"",FT12/FS12)</f>
        <v>1</v>
      </c>
      <c r="FV12" s="203" t="s">
        <v>151</v>
      </c>
      <c r="FW12" s="204">
        <v>0</v>
      </c>
      <c r="FX12" s="203" t="s">
        <v>151</v>
      </c>
      <c r="FY12" s="201">
        <v>1</v>
      </c>
      <c r="FZ12" s="201">
        <v>1</v>
      </c>
      <c r="GA12" s="202">
        <f t="shared" ref="GA12:GA17" si="8">IF(ISERROR(FZ12/FY12),"",FZ12/FY12)</f>
        <v>1</v>
      </c>
      <c r="GB12" s="203" t="s">
        <v>151</v>
      </c>
      <c r="GC12" s="204">
        <v>0</v>
      </c>
      <c r="GD12" s="203" t="s">
        <v>151</v>
      </c>
      <c r="GE12" s="203" t="s">
        <v>437</v>
      </c>
      <c r="GF12" s="203" t="s">
        <v>438</v>
      </c>
      <c r="GG12" s="204" t="s">
        <v>152</v>
      </c>
      <c r="GH12" s="204" t="s">
        <v>152</v>
      </c>
      <c r="GI12" s="204" t="s">
        <v>152</v>
      </c>
      <c r="GJ12" s="204" t="s">
        <v>152</v>
      </c>
      <c r="GK12" s="203" t="s">
        <v>151</v>
      </c>
      <c r="GL12" s="204" t="s">
        <v>152</v>
      </c>
      <c r="GM12" s="204" t="s">
        <v>152</v>
      </c>
      <c r="GN12" s="204" t="s">
        <v>152</v>
      </c>
      <c r="GO12" s="204" t="s">
        <v>152</v>
      </c>
      <c r="GP12" s="204" t="s">
        <v>152</v>
      </c>
      <c r="GQ12" s="204" t="s">
        <v>152</v>
      </c>
      <c r="GR12" s="100"/>
      <c r="GS12" s="101"/>
      <c r="GT12" s="204" t="s">
        <v>152</v>
      </c>
      <c r="GU12" s="204"/>
      <c r="GV12" s="204"/>
      <c r="GW12" s="145" t="s">
        <v>152</v>
      </c>
      <c r="GX12" s="145" t="s">
        <v>149</v>
      </c>
      <c r="GY12" s="204" t="s">
        <v>149</v>
      </c>
      <c r="GZ12" s="203" t="s">
        <v>457</v>
      </c>
      <c r="HA12" s="203"/>
      <c r="HB12" s="203"/>
      <c r="HC12" s="203"/>
      <c r="HD12" s="203"/>
      <c r="HE12" s="203"/>
      <c r="HF12" s="203"/>
      <c r="HG12" s="203" t="s">
        <v>457</v>
      </c>
      <c r="HH12" s="203"/>
      <c r="HI12" s="203"/>
      <c r="HJ12" s="203"/>
      <c r="HK12" s="203"/>
      <c r="HL12" s="203"/>
      <c r="HM12" s="203"/>
      <c r="HN12" s="203" t="s">
        <v>457</v>
      </c>
      <c r="HO12" s="203"/>
      <c r="HP12" s="203"/>
      <c r="HQ12" s="203"/>
      <c r="HR12" s="203"/>
      <c r="HS12" s="203"/>
      <c r="HT12" s="203"/>
      <c r="HU12" s="203" t="s">
        <v>457</v>
      </c>
      <c r="HV12" s="203"/>
      <c r="HW12" s="203"/>
      <c r="HX12" s="203"/>
      <c r="HY12" s="203"/>
      <c r="HZ12" s="203" t="s">
        <v>457</v>
      </c>
      <c r="IA12" s="203"/>
      <c r="IB12" s="203"/>
      <c r="IC12" s="203"/>
      <c r="ID12" s="203"/>
      <c r="IE12" s="204" t="s">
        <v>457</v>
      </c>
      <c r="IF12" s="203"/>
      <c r="IG12" s="203"/>
      <c r="IH12" s="203"/>
      <c r="II12" s="203"/>
      <c r="IJ12" s="140" t="str">
        <f t="shared" si="2"/>
        <v>○</v>
      </c>
    </row>
    <row r="13" spans="1:244" s="93" customFormat="1" ht="171.6" customHeight="1">
      <c r="A13" s="97" t="s">
        <v>507</v>
      </c>
      <c r="B13" s="204" t="s">
        <v>157</v>
      </c>
      <c r="C13" s="198" t="s">
        <v>152</v>
      </c>
      <c r="D13" s="198" t="s">
        <v>151</v>
      </c>
      <c r="E13" s="203" t="s">
        <v>151</v>
      </c>
      <c r="F13" s="198" t="s">
        <v>152</v>
      </c>
      <c r="G13" s="198" t="s">
        <v>151</v>
      </c>
      <c r="H13" s="203" t="s">
        <v>151</v>
      </c>
      <c r="I13" s="198" t="s">
        <v>152</v>
      </c>
      <c r="J13" s="198" t="s">
        <v>151</v>
      </c>
      <c r="K13" s="203" t="s">
        <v>151</v>
      </c>
      <c r="L13" s="198" t="s">
        <v>152</v>
      </c>
      <c r="M13" s="198" t="s">
        <v>151</v>
      </c>
      <c r="N13" s="203" t="s">
        <v>151</v>
      </c>
      <c r="O13" s="198" t="s">
        <v>152</v>
      </c>
      <c r="P13" s="198" t="s">
        <v>151</v>
      </c>
      <c r="Q13" s="203" t="s">
        <v>151</v>
      </c>
      <c r="R13" s="198" t="s">
        <v>152</v>
      </c>
      <c r="S13" s="198" t="s">
        <v>151</v>
      </c>
      <c r="T13" s="203" t="s">
        <v>151</v>
      </c>
      <c r="U13" s="198" t="s">
        <v>152</v>
      </c>
      <c r="V13" s="198" t="s">
        <v>151</v>
      </c>
      <c r="W13" s="203" t="s">
        <v>151</v>
      </c>
      <c r="X13" s="204"/>
      <c r="Y13" s="204"/>
      <c r="Z13" s="204" t="s">
        <v>152</v>
      </c>
      <c r="AA13" s="98" t="str">
        <f t="shared" si="3"/>
        <v/>
      </c>
      <c r="AB13" s="204" t="s">
        <v>152</v>
      </c>
      <c r="AC13" s="204"/>
      <c r="AD13" s="98" t="str">
        <f t="shared" si="0"/>
        <v>○</v>
      </c>
      <c r="AE13" s="99" t="s">
        <v>455</v>
      </c>
      <c r="AF13" s="203" t="s">
        <v>508</v>
      </c>
      <c r="AG13" s="203"/>
      <c r="AH13" s="198" t="s">
        <v>160</v>
      </c>
      <c r="AI13" s="198" t="s">
        <v>151</v>
      </c>
      <c r="AJ13" s="203" t="s">
        <v>151</v>
      </c>
      <c r="AK13" s="198" t="s">
        <v>152</v>
      </c>
      <c r="AL13" s="198" t="s">
        <v>151</v>
      </c>
      <c r="AM13" s="203" t="s">
        <v>151</v>
      </c>
      <c r="AN13" s="198" t="s">
        <v>152</v>
      </c>
      <c r="AO13" s="198" t="s">
        <v>151</v>
      </c>
      <c r="AP13" s="203" t="s">
        <v>151</v>
      </c>
      <c r="AQ13" s="198" t="s">
        <v>152</v>
      </c>
      <c r="AR13" s="198" t="s">
        <v>151</v>
      </c>
      <c r="AS13" s="203" t="s">
        <v>151</v>
      </c>
      <c r="AT13" s="198" t="s">
        <v>152</v>
      </c>
      <c r="AU13" s="198" t="s">
        <v>151</v>
      </c>
      <c r="AV13" s="203" t="s">
        <v>151</v>
      </c>
      <c r="AW13" s="201">
        <v>3</v>
      </c>
      <c r="AX13" s="201">
        <v>3</v>
      </c>
      <c r="AY13" s="202">
        <f t="shared" si="1"/>
        <v>1</v>
      </c>
      <c r="AZ13" s="203" t="s">
        <v>151</v>
      </c>
      <c r="BA13" s="204">
        <v>0</v>
      </c>
      <c r="BB13" s="203" t="s">
        <v>151</v>
      </c>
      <c r="BC13" s="201">
        <v>21</v>
      </c>
      <c r="BD13" s="201">
        <v>21</v>
      </c>
      <c r="BE13" s="202">
        <f t="shared" si="4"/>
        <v>1</v>
      </c>
      <c r="BF13" s="203" t="s">
        <v>151</v>
      </c>
      <c r="BG13" s="204">
        <v>0</v>
      </c>
      <c r="BH13" s="203" t="s">
        <v>151</v>
      </c>
      <c r="BI13" s="201">
        <v>2</v>
      </c>
      <c r="BJ13" s="201">
        <v>2</v>
      </c>
      <c r="BK13" s="202">
        <f t="shared" si="5"/>
        <v>1</v>
      </c>
      <c r="BL13" s="203" t="s">
        <v>151</v>
      </c>
      <c r="BM13" s="204">
        <v>0</v>
      </c>
      <c r="BN13" s="203" t="s">
        <v>151</v>
      </c>
      <c r="BO13" s="201">
        <v>0</v>
      </c>
      <c r="BP13" s="201">
        <v>0</v>
      </c>
      <c r="BQ13" s="202" t="str">
        <f t="shared" si="6"/>
        <v/>
      </c>
      <c r="BR13" s="203" t="s">
        <v>151</v>
      </c>
      <c r="BS13" s="204">
        <v>0</v>
      </c>
      <c r="BT13" s="203" t="s">
        <v>151</v>
      </c>
      <c r="BU13" s="201">
        <v>0</v>
      </c>
      <c r="BV13" s="201">
        <v>0</v>
      </c>
      <c r="BW13" s="202" t="str">
        <f t="shared" ref="BW13:BW17" si="9">IF(ISERROR(BV13/BU13),"",BV13/BU13)</f>
        <v/>
      </c>
      <c r="BX13" s="203" t="s">
        <v>151</v>
      </c>
      <c r="BY13" s="204">
        <v>0</v>
      </c>
      <c r="BZ13" s="203" t="s">
        <v>151</v>
      </c>
      <c r="CA13" s="201">
        <v>0</v>
      </c>
      <c r="CB13" s="201">
        <v>0</v>
      </c>
      <c r="CC13" s="202" t="str">
        <f t="shared" ref="CC13:CC17" si="10">IF(ISERROR(CB13/CA13),"",CB13/CA13)</f>
        <v/>
      </c>
      <c r="CD13" s="203" t="s">
        <v>151</v>
      </c>
      <c r="CE13" s="204">
        <v>0</v>
      </c>
      <c r="CF13" s="203" t="s">
        <v>151</v>
      </c>
      <c r="CG13" s="201">
        <v>1</v>
      </c>
      <c r="CH13" s="201">
        <v>1</v>
      </c>
      <c r="CI13" s="202">
        <f t="shared" ref="CI13:CI17" si="11">IF(ISERROR(CH13/CG13),"",CH13/CG13)</f>
        <v>1</v>
      </c>
      <c r="CJ13" s="203" t="s">
        <v>151</v>
      </c>
      <c r="CK13" s="204">
        <v>0</v>
      </c>
      <c r="CL13" s="203" t="s">
        <v>151</v>
      </c>
      <c r="CM13" s="201">
        <v>0</v>
      </c>
      <c r="CN13" s="201">
        <v>0</v>
      </c>
      <c r="CO13" s="202" t="str">
        <f t="shared" ref="CO13:CO17" si="12">IF(ISERROR(CN13/CM13),"",CN13/CM13)</f>
        <v/>
      </c>
      <c r="CP13" s="203" t="s">
        <v>151</v>
      </c>
      <c r="CQ13" s="204">
        <v>0</v>
      </c>
      <c r="CR13" s="203" t="s">
        <v>151</v>
      </c>
      <c r="CS13" s="201">
        <v>1</v>
      </c>
      <c r="CT13" s="201">
        <v>1</v>
      </c>
      <c r="CU13" s="202">
        <f t="shared" ref="CU13:CU17" si="13">IF(ISERROR(CT13/CS13),"",CT13/CS13)</f>
        <v>1</v>
      </c>
      <c r="CV13" s="203" t="s">
        <v>151</v>
      </c>
      <c r="CW13" s="204">
        <v>0</v>
      </c>
      <c r="CX13" s="203" t="s">
        <v>151</v>
      </c>
      <c r="CY13" s="201">
        <v>1</v>
      </c>
      <c r="CZ13" s="201">
        <v>0</v>
      </c>
      <c r="DA13" s="202">
        <f t="shared" ref="DA13:DA17" si="14">IF(ISERROR(CZ13/CY13),"",CZ13/CY13)</f>
        <v>0</v>
      </c>
      <c r="DB13" s="203" t="s">
        <v>562</v>
      </c>
      <c r="DC13" s="204">
        <v>1</v>
      </c>
      <c r="DD13" s="203" t="s">
        <v>256</v>
      </c>
      <c r="DE13" s="201">
        <v>8</v>
      </c>
      <c r="DF13" s="201">
        <v>8</v>
      </c>
      <c r="DG13" s="202">
        <f t="shared" ref="DG13:DG17" si="15">IF(ISERROR(DF13/DE13),"",DF13/DE13)</f>
        <v>1</v>
      </c>
      <c r="DH13" s="203" t="s">
        <v>480</v>
      </c>
      <c r="DI13" s="204">
        <v>0</v>
      </c>
      <c r="DJ13" s="203" t="s">
        <v>151</v>
      </c>
      <c r="DK13" s="201">
        <v>101</v>
      </c>
      <c r="DL13" s="201">
        <v>4</v>
      </c>
      <c r="DM13" s="202">
        <f t="shared" ref="DM13:DM17" si="16">IF(ISERROR(DL13/DK13),"",DL13/DK13)</f>
        <v>3.9603960396039604E-2</v>
      </c>
      <c r="DN13" s="203" t="s">
        <v>460</v>
      </c>
      <c r="DO13" s="204">
        <v>0</v>
      </c>
      <c r="DP13" s="203" t="s">
        <v>151</v>
      </c>
      <c r="DQ13" s="201">
        <v>3</v>
      </c>
      <c r="DR13" s="201">
        <v>2</v>
      </c>
      <c r="DS13" s="202">
        <f t="shared" ref="DS13:DS17" si="17">IF(ISERROR(DR13/DQ13),"",DR13/DQ13)</f>
        <v>0.66666666666666663</v>
      </c>
      <c r="DT13" s="203" t="s">
        <v>563</v>
      </c>
      <c r="DU13" s="203">
        <v>0</v>
      </c>
      <c r="DV13" s="203" t="s">
        <v>151</v>
      </c>
      <c r="DW13" s="201">
        <v>0</v>
      </c>
      <c r="DX13" s="201">
        <v>0</v>
      </c>
      <c r="DY13" s="202" t="str">
        <f t="shared" ref="DY13:DY17" si="18">IF(ISERROR(DX13/DW13),"",DX13/DW13)</f>
        <v/>
      </c>
      <c r="DZ13" s="203" t="s">
        <v>151</v>
      </c>
      <c r="EA13" s="204">
        <v>0</v>
      </c>
      <c r="EB13" s="203" t="s">
        <v>151</v>
      </c>
      <c r="EC13" s="201">
        <v>1</v>
      </c>
      <c r="ED13" s="201">
        <v>0</v>
      </c>
      <c r="EE13" s="202">
        <f t="shared" ref="EE13:EE17" si="19">IF(ISERROR(ED13/EC13),"",ED13/EC13)</f>
        <v>0</v>
      </c>
      <c r="EF13" s="203" t="s">
        <v>564</v>
      </c>
      <c r="EG13" s="204">
        <v>1</v>
      </c>
      <c r="EH13" s="203" t="s">
        <v>565</v>
      </c>
      <c r="EI13" s="201">
        <v>3</v>
      </c>
      <c r="EJ13" s="201">
        <v>1</v>
      </c>
      <c r="EK13" s="202">
        <f t="shared" ref="EK13:EK17" si="20">IF(ISERROR(EJ13/EI13),"",EJ13/EI13)</f>
        <v>0.33333333333333331</v>
      </c>
      <c r="EL13" s="203" t="s">
        <v>566</v>
      </c>
      <c r="EM13" s="204">
        <v>2</v>
      </c>
      <c r="EN13" s="203" t="s">
        <v>567</v>
      </c>
      <c r="EO13" s="201">
        <v>0</v>
      </c>
      <c r="EP13" s="201">
        <v>0</v>
      </c>
      <c r="EQ13" s="202" t="str">
        <f t="shared" ref="EQ13:EQ17" si="21">IF(ISERROR(EP13/EO13),"",EP13/EO13)</f>
        <v/>
      </c>
      <c r="ER13" s="203" t="s">
        <v>151</v>
      </c>
      <c r="ES13" s="204">
        <v>0</v>
      </c>
      <c r="ET13" s="203" t="s">
        <v>151</v>
      </c>
      <c r="EU13" s="201">
        <v>1</v>
      </c>
      <c r="EV13" s="201">
        <v>1</v>
      </c>
      <c r="EW13" s="202">
        <f t="shared" ref="EW13:EW17" si="22">IF(ISERROR(EV13/EU13),"",EV13/EU13)</f>
        <v>1</v>
      </c>
      <c r="EX13" s="203" t="s">
        <v>151</v>
      </c>
      <c r="EY13" s="204">
        <v>0</v>
      </c>
      <c r="EZ13" s="203" t="s">
        <v>151</v>
      </c>
      <c r="FA13" s="201">
        <v>5</v>
      </c>
      <c r="FB13" s="201">
        <v>2</v>
      </c>
      <c r="FC13" s="202">
        <f t="shared" ref="FC13:FC17" si="23">IF(ISERROR(FB13/FA13),"",FB13/FA13)</f>
        <v>0.4</v>
      </c>
      <c r="FD13" s="203" t="s">
        <v>509</v>
      </c>
      <c r="FE13" s="204">
        <v>3</v>
      </c>
      <c r="FF13" s="203" t="s">
        <v>568</v>
      </c>
      <c r="FG13" s="201">
        <v>0</v>
      </c>
      <c r="FH13" s="201">
        <v>0</v>
      </c>
      <c r="FI13" s="202" t="str">
        <f t="shared" ref="FI13:FI17" si="24">IF(ISERROR(FH13/FG13),"",FH13/FG13)</f>
        <v/>
      </c>
      <c r="FJ13" s="203" t="s">
        <v>151</v>
      </c>
      <c r="FK13" s="204">
        <v>0</v>
      </c>
      <c r="FL13" s="203" t="s">
        <v>151</v>
      </c>
      <c r="FM13" s="201">
        <v>0</v>
      </c>
      <c r="FN13" s="201">
        <v>0</v>
      </c>
      <c r="FO13" s="202" t="str">
        <f t="shared" ref="FO13:FO17" si="25">IF(ISERROR(FN13/FM13),"",FN13/FM13)</f>
        <v/>
      </c>
      <c r="FP13" s="203" t="s">
        <v>151</v>
      </c>
      <c r="FQ13" s="204">
        <v>0</v>
      </c>
      <c r="FR13" s="203" t="s">
        <v>151</v>
      </c>
      <c r="FS13" s="201">
        <v>5</v>
      </c>
      <c r="FT13" s="201">
        <v>5</v>
      </c>
      <c r="FU13" s="202">
        <f t="shared" si="7"/>
        <v>1</v>
      </c>
      <c r="FV13" s="203" t="s">
        <v>151</v>
      </c>
      <c r="FW13" s="204">
        <v>0</v>
      </c>
      <c r="FX13" s="203" t="s">
        <v>151</v>
      </c>
      <c r="FY13" s="201">
        <v>0</v>
      </c>
      <c r="FZ13" s="201">
        <v>0</v>
      </c>
      <c r="GA13" s="202" t="str">
        <f t="shared" si="8"/>
        <v/>
      </c>
      <c r="GB13" s="203" t="s">
        <v>151</v>
      </c>
      <c r="GC13" s="204">
        <v>0</v>
      </c>
      <c r="GD13" s="203" t="s">
        <v>151</v>
      </c>
      <c r="GE13" s="203" t="s">
        <v>437</v>
      </c>
      <c r="GF13" s="203" t="s">
        <v>440</v>
      </c>
      <c r="GG13" s="204" t="s">
        <v>152</v>
      </c>
      <c r="GH13" s="204" t="s">
        <v>151</v>
      </c>
      <c r="GI13" s="204" t="s">
        <v>151</v>
      </c>
      <c r="GJ13" s="204" t="s">
        <v>151</v>
      </c>
      <c r="GK13" s="203"/>
      <c r="GL13" s="204" t="s">
        <v>152</v>
      </c>
      <c r="GM13" s="204" t="s">
        <v>152</v>
      </c>
      <c r="GN13" s="204" t="s">
        <v>151</v>
      </c>
      <c r="GO13" s="204" t="s">
        <v>151</v>
      </c>
      <c r="GP13" s="204" t="s">
        <v>151</v>
      </c>
      <c r="GQ13" s="204" t="s">
        <v>151</v>
      </c>
      <c r="GR13" s="100" t="s">
        <v>152</v>
      </c>
      <c r="GS13" s="101"/>
      <c r="GT13" s="204" t="s">
        <v>152</v>
      </c>
      <c r="GU13" s="204"/>
      <c r="GV13" s="204"/>
      <c r="GW13" s="145" t="s">
        <v>152</v>
      </c>
      <c r="GX13" s="145"/>
      <c r="GY13" s="204" t="s">
        <v>149</v>
      </c>
      <c r="GZ13" s="204" t="s">
        <v>457</v>
      </c>
      <c r="HA13" s="203"/>
      <c r="HB13" s="203"/>
      <c r="HC13" s="203"/>
      <c r="HD13" s="203"/>
      <c r="HE13" s="203"/>
      <c r="HF13" s="203"/>
      <c r="HG13" s="204" t="s">
        <v>457</v>
      </c>
      <c r="HH13" s="203"/>
      <c r="HI13" s="203"/>
      <c r="HJ13" s="203"/>
      <c r="HK13" s="203"/>
      <c r="HL13" s="203"/>
      <c r="HM13" s="203"/>
      <c r="HN13" s="204" t="s">
        <v>457</v>
      </c>
      <c r="HO13" s="203"/>
      <c r="HP13" s="203"/>
      <c r="HQ13" s="203"/>
      <c r="HR13" s="203"/>
      <c r="HS13" s="203"/>
      <c r="HT13" s="203"/>
      <c r="HU13" s="204" t="s">
        <v>457</v>
      </c>
      <c r="HV13" s="204"/>
      <c r="HW13" s="204"/>
      <c r="HX13" s="204"/>
      <c r="HY13" s="204"/>
      <c r="HZ13" s="204" t="s">
        <v>457</v>
      </c>
      <c r="IA13" s="204"/>
      <c r="IB13" s="204"/>
      <c r="IC13" s="204"/>
      <c r="ID13" s="204"/>
      <c r="IE13" s="204" t="s">
        <v>457</v>
      </c>
      <c r="IF13" s="204"/>
      <c r="IG13" s="204"/>
      <c r="IH13" s="203"/>
      <c r="II13" s="203"/>
      <c r="IJ13" s="140" t="str">
        <f t="shared" si="2"/>
        <v>○</v>
      </c>
    </row>
    <row r="14" spans="1:244" s="96" customFormat="1" ht="98.25" customHeight="1">
      <c r="A14" s="149" t="s">
        <v>158</v>
      </c>
      <c r="B14" s="150" t="s">
        <v>159</v>
      </c>
      <c r="C14" s="150" t="s">
        <v>152</v>
      </c>
      <c r="D14" s="150" t="s">
        <v>151</v>
      </c>
      <c r="E14" s="151" t="s">
        <v>151</v>
      </c>
      <c r="F14" s="150" t="s">
        <v>152</v>
      </c>
      <c r="G14" s="150" t="s">
        <v>151</v>
      </c>
      <c r="H14" s="151" t="s">
        <v>151</v>
      </c>
      <c r="I14" s="150" t="s">
        <v>160</v>
      </c>
      <c r="J14" s="150" t="s">
        <v>151</v>
      </c>
      <c r="K14" s="151" t="s">
        <v>151</v>
      </c>
      <c r="L14" s="150" t="s">
        <v>160</v>
      </c>
      <c r="M14" s="150" t="s">
        <v>151</v>
      </c>
      <c r="N14" s="151" t="s">
        <v>151</v>
      </c>
      <c r="O14" s="150" t="s">
        <v>152</v>
      </c>
      <c r="P14" s="150"/>
      <c r="Q14" s="151"/>
      <c r="R14" s="150" t="s">
        <v>152</v>
      </c>
      <c r="S14" s="150" t="s">
        <v>151</v>
      </c>
      <c r="T14" s="151" t="s">
        <v>151</v>
      </c>
      <c r="U14" s="150" t="s">
        <v>152</v>
      </c>
      <c r="V14" s="150" t="s">
        <v>151</v>
      </c>
      <c r="W14" s="151" t="s">
        <v>151</v>
      </c>
      <c r="X14" s="150"/>
      <c r="Y14" s="150"/>
      <c r="Z14" s="150" t="s">
        <v>152</v>
      </c>
      <c r="AA14" s="152" t="str">
        <f t="shared" si="3"/>
        <v/>
      </c>
      <c r="AB14" s="150" t="s">
        <v>152</v>
      </c>
      <c r="AC14" s="150"/>
      <c r="AD14" s="152" t="str">
        <f t="shared" si="0"/>
        <v>○</v>
      </c>
      <c r="AE14" s="153"/>
      <c r="AF14" s="151" t="s">
        <v>510</v>
      </c>
      <c r="AG14" s="151"/>
      <c r="AH14" s="150" t="s">
        <v>160</v>
      </c>
      <c r="AI14" s="150" t="s">
        <v>151</v>
      </c>
      <c r="AJ14" s="151" t="s">
        <v>151</v>
      </c>
      <c r="AK14" s="150" t="s">
        <v>152</v>
      </c>
      <c r="AL14" s="150" t="s">
        <v>151</v>
      </c>
      <c r="AM14" s="151" t="s">
        <v>151</v>
      </c>
      <c r="AN14" s="150" t="s">
        <v>152</v>
      </c>
      <c r="AO14" s="150" t="s">
        <v>151</v>
      </c>
      <c r="AP14" s="151" t="s">
        <v>151</v>
      </c>
      <c r="AQ14" s="150" t="s">
        <v>152</v>
      </c>
      <c r="AR14" s="150" t="s">
        <v>151</v>
      </c>
      <c r="AS14" s="151" t="s">
        <v>151</v>
      </c>
      <c r="AT14" s="150" t="s">
        <v>152</v>
      </c>
      <c r="AU14" s="150" t="s">
        <v>151</v>
      </c>
      <c r="AV14" s="151" t="s">
        <v>151</v>
      </c>
      <c r="AW14" s="154">
        <v>3</v>
      </c>
      <c r="AX14" s="154">
        <v>3</v>
      </c>
      <c r="AY14" s="155">
        <f t="shared" si="1"/>
        <v>1</v>
      </c>
      <c r="AZ14" s="151" t="s">
        <v>151</v>
      </c>
      <c r="BA14" s="150">
        <v>0</v>
      </c>
      <c r="BB14" s="151" t="s">
        <v>151</v>
      </c>
      <c r="BC14" s="154">
        <v>6</v>
      </c>
      <c r="BD14" s="154">
        <v>6</v>
      </c>
      <c r="BE14" s="155">
        <f t="shared" si="4"/>
        <v>1</v>
      </c>
      <c r="BF14" s="151" t="s">
        <v>151</v>
      </c>
      <c r="BG14" s="150">
        <v>0</v>
      </c>
      <c r="BH14" s="151" t="s">
        <v>151</v>
      </c>
      <c r="BI14" s="154">
        <v>1</v>
      </c>
      <c r="BJ14" s="154">
        <v>1</v>
      </c>
      <c r="BK14" s="155">
        <f t="shared" si="5"/>
        <v>1</v>
      </c>
      <c r="BL14" s="151" t="s">
        <v>151</v>
      </c>
      <c r="BM14" s="150">
        <v>0</v>
      </c>
      <c r="BN14" s="151" t="s">
        <v>151</v>
      </c>
      <c r="BO14" s="154">
        <v>0</v>
      </c>
      <c r="BP14" s="154">
        <v>0</v>
      </c>
      <c r="BQ14" s="155" t="str">
        <f t="shared" si="6"/>
        <v/>
      </c>
      <c r="BR14" s="151" t="s">
        <v>151</v>
      </c>
      <c r="BS14" s="150">
        <v>0</v>
      </c>
      <c r="BT14" s="151" t="s">
        <v>151</v>
      </c>
      <c r="BU14" s="154">
        <v>7</v>
      </c>
      <c r="BV14" s="154">
        <v>7</v>
      </c>
      <c r="BW14" s="155">
        <f t="shared" si="9"/>
        <v>1</v>
      </c>
      <c r="BX14" s="151" t="s">
        <v>151</v>
      </c>
      <c r="BY14" s="150">
        <v>0</v>
      </c>
      <c r="BZ14" s="151" t="s">
        <v>151</v>
      </c>
      <c r="CA14" s="154">
        <v>8</v>
      </c>
      <c r="CB14" s="154">
        <v>8</v>
      </c>
      <c r="CC14" s="155">
        <f t="shared" si="10"/>
        <v>1</v>
      </c>
      <c r="CD14" s="151" t="s">
        <v>151</v>
      </c>
      <c r="CE14" s="150">
        <v>0</v>
      </c>
      <c r="CF14" s="151" t="s">
        <v>151</v>
      </c>
      <c r="CG14" s="154">
        <v>3</v>
      </c>
      <c r="CH14" s="154">
        <v>3</v>
      </c>
      <c r="CI14" s="155">
        <f t="shared" si="11"/>
        <v>1</v>
      </c>
      <c r="CJ14" s="151" t="s">
        <v>151</v>
      </c>
      <c r="CK14" s="150">
        <v>0</v>
      </c>
      <c r="CL14" s="151" t="s">
        <v>151</v>
      </c>
      <c r="CM14" s="154">
        <v>1</v>
      </c>
      <c r="CN14" s="154">
        <v>1</v>
      </c>
      <c r="CO14" s="155">
        <f t="shared" si="12"/>
        <v>1</v>
      </c>
      <c r="CP14" s="151" t="s">
        <v>151</v>
      </c>
      <c r="CQ14" s="150">
        <v>0</v>
      </c>
      <c r="CR14" s="151" t="s">
        <v>151</v>
      </c>
      <c r="CS14" s="154">
        <v>0</v>
      </c>
      <c r="CT14" s="154">
        <v>0</v>
      </c>
      <c r="CU14" s="155" t="str">
        <f t="shared" si="13"/>
        <v/>
      </c>
      <c r="CV14" s="151" t="s">
        <v>151</v>
      </c>
      <c r="CW14" s="150">
        <v>0</v>
      </c>
      <c r="CX14" s="151" t="s">
        <v>151</v>
      </c>
      <c r="CY14" s="154">
        <v>2</v>
      </c>
      <c r="CZ14" s="154">
        <v>0</v>
      </c>
      <c r="DA14" s="155">
        <f t="shared" si="14"/>
        <v>0</v>
      </c>
      <c r="DB14" s="151" t="s">
        <v>257</v>
      </c>
      <c r="DC14" s="150">
        <v>2</v>
      </c>
      <c r="DD14" s="151" t="s">
        <v>258</v>
      </c>
      <c r="DE14" s="154">
        <v>3</v>
      </c>
      <c r="DF14" s="154">
        <v>3</v>
      </c>
      <c r="DG14" s="155">
        <f t="shared" si="15"/>
        <v>1</v>
      </c>
      <c r="DH14" s="151" t="s">
        <v>151</v>
      </c>
      <c r="DI14" s="150">
        <v>0</v>
      </c>
      <c r="DJ14" s="151" t="s">
        <v>151</v>
      </c>
      <c r="DK14" s="154">
        <v>27</v>
      </c>
      <c r="DL14" s="154">
        <v>27</v>
      </c>
      <c r="DM14" s="155">
        <f t="shared" si="16"/>
        <v>1</v>
      </c>
      <c r="DN14" s="151" t="s">
        <v>151</v>
      </c>
      <c r="DO14" s="150">
        <v>0</v>
      </c>
      <c r="DP14" s="151" t="s">
        <v>151</v>
      </c>
      <c r="DQ14" s="154">
        <v>1</v>
      </c>
      <c r="DR14" s="154">
        <v>1</v>
      </c>
      <c r="DS14" s="155">
        <f t="shared" si="17"/>
        <v>1</v>
      </c>
      <c r="DT14" s="151" t="s">
        <v>151</v>
      </c>
      <c r="DU14" s="151">
        <v>0</v>
      </c>
      <c r="DV14" s="151" t="s">
        <v>151</v>
      </c>
      <c r="DW14" s="154">
        <v>0</v>
      </c>
      <c r="DX14" s="154">
        <v>0</v>
      </c>
      <c r="DY14" s="155" t="str">
        <f t="shared" si="18"/>
        <v/>
      </c>
      <c r="DZ14" s="151" t="s">
        <v>151</v>
      </c>
      <c r="EA14" s="150">
        <v>0</v>
      </c>
      <c r="EB14" s="151" t="s">
        <v>151</v>
      </c>
      <c r="EC14" s="154">
        <v>1</v>
      </c>
      <c r="ED14" s="154">
        <v>0</v>
      </c>
      <c r="EE14" s="155">
        <f t="shared" si="19"/>
        <v>0</v>
      </c>
      <c r="EF14" s="151" t="s">
        <v>301</v>
      </c>
      <c r="EG14" s="150">
        <v>1</v>
      </c>
      <c r="EH14" s="151" t="s">
        <v>302</v>
      </c>
      <c r="EI14" s="154">
        <v>13</v>
      </c>
      <c r="EJ14" s="154">
        <v>8</v>
      </c>
      <c r="EK14" s="155">
        <f t="shared" si="20"/>
        <v>0.61538461538461542</v>
      </c>
      <c r="EL14" s="151" t="s">
        <v>345</v>
      </c>
      <c r="EM14" s="150">
        <v>5</v>
      </c>
      <c r="EN14" s="151" t="s">
        <v>346</v>
      </c>
      <c r="EO14" s="154">
        <v>0</v>
      </c>
      <c r="EP14" s="154">
        <v>0</v>
      </c>
      <c r="EQ14" s="155" t="str">
        <f t="shared" si="21"/>
        <v/>
      </c>
      <c r="ER14" s="151" t="s">
        <v>151</v>
      </c>
      <c r="ES14" s="150">
        <v>0</v>
      </c>
      <c r="ET14" s="151" t="s">
        <v>151</v>
      </c>
      <c r="EU14" s="154">
        <v>1</v>
      </c>
      <c r="EV14" s="154">
        <v>1</v>
      </c>
      <c r="EW14" s="155">
        <f t="shared" si="22"/>
        <v>1</v>
      </c>
      <c r="EX14" s="151" t="s">
        <v>151</v>
      </c>
      <c r="EY14" s="150">
        <v>0</v>
      </c>
      <c r="EZ14" s="151" t="s">
        <v>151</v>
      </c>
      <c r="FA14" s="154">
        <v>11</v>
      </c>
      <c r="FB14" s="154">
        <v>7</v>
      </c>
      <c r="FC14" s="155">
        <f t="shared" si="23"/>
        <v>0.63636363636363635</v>
      </c>
      <c r="FD14" s="151" t="s">
        <v>345</v>
      </c>
      <c r="FE14" s="150">
        <v>4</v>
      </c>
      <c r="FF14" s="151" t="s">
        <v>346</v>
      </c>
      <c r="FG14" s="154">
        <v>0</v>
      </c>
      <c r="FH14" s="154">
        <v>0</v>
      </c>
      <c r="FI14" s="155" t="str">
        <f t="shared" si="24"/>
        <v/>
      </c>
      <c r="FJ14" s="151" t="s">
        <v>151</v>
      </c>
      <c r="FK14" s="150">
        <v>0</v>
      </c>
      <c r="FL14" s="151" t="s">
        <v>151</v>
      </c>
      <c r="FM14" s="154">
        <v>0</v>
      </c>
      <c r="FN14" s="154">
        <v>0</v>
      </c>
      <c r="FO14" s="155" t="str">
        <f t="shared" si="25"/>
        <v/>
      </c>
      <c r="FP14" s="151" t="s">
        <v>151</v>
      </c>
      <c r="FQ14" s="150">
        <v>0</v>
      </c>
      <c r="FR14" s="151" t="s">
        <v>151</v>
      </c>
      <c r="FS14" s="154">
        <v>7</v>
      </c>
      <c r="FT14" s="154">
        <v>4</v>
      </c>
      <c r="FU14" s="155">
        <f t="shared" si="7"/>
        <v>0.5714285714285714</v>
      </c>
      <c r="FV14" s="151" t="s">
        <v>408</v>
      </c>
      <c r="FW14" s="150">
        <v>3</v>
      </c>
      <c r="FX14" s="151" t="s">
        <v>409</v>
      </c>
      <c r="FY14" s="154">
        <v>1</v>
      </c>
      <c r="FZ14" s="154">
        <v>1</v>
      </c>
      <c r="GA14" s="155">
        <f t="shared" si="8"/>
        <v>1</v>
      </c>
      <c r="GB14" s="151" t="s">
        <v>151</v>
      </c>
      <c r="GC14" s="150">
        <v>0</v>
      </c>
      <c r="GD14" s="151" t="s">
        <v>151</v>
      </c>
      <c r="GE14" s="151" t="s">
        <v>437</v>
      </c>
      <c r="GF14" s="151" t="s">
        <v>438</v>
      </c>
      <c r="GG14" s="150" t="s">
        <v>152</v>
      </c>
      <c r="GH14" s="150" t="s">
        <v>152</v>
      </c>
      <c r="GI14" s="150" t="s">
        <v>152</v>
      </c>
      <c r="GJ14" s="150" t="s">
        <v>152</v>
      </c>
      <c r="GK14" s="151" t="s">
        <v>151</v>
      </c>
      <c r="GL14" s="150" t="s">
        <v>152</v>
      </c>
      <c r="GM14" s="150" t="s">
        <v>152</v>
      </c>
      <c r="GN14" s="150" t="s">
        <v>152</v>
      </c>
      <c r="GO14" s="150" t="s">
        <v>151</v>
      </c>
      <c r="GP14" s="150" t="s">
        <v>151</v>
      </c>
      <c r="GQ14" s="150" t="s">
        <v>151</v>
      </c>
      <c r="GR14" s="465"/>
      <c r="GS14" s="466"/>
      <c r="GT14" s="150" t="s">
        <v>152</v>
      </c>
      <c r="GU14" s="150"/>
      <c r="GV14" s="150"/>
      <c r="GW14" s="145" t="s">
        <v>152</v>
      </c>
      <c r="GX14" s="145" t="s">
        <v>149</v>
      </c>
      <c r="GY14" s="150" t="s">
        <v>149</v>
      </c>
      <c r="GZ14" s="150" t="s">
        <v>152</v>
      </c>
      <c r="HA14" s="151"/>
      <c r="HB14" s="151"/>
      <c r="HC14" s="151"/>
      <c r="HD14" s="151"/>
      <c r="HE14" s="151"/>
      <c r="HF14" s="151"/>
      <c r="HG14" s="150" t="s">
        <v>152</v>
      </c>
      <c r="HH14" s="151"/>
      <c r="HI14" s="151"/>
      <c r="HJ14" s="151"/>
      <c r="HK14" s="151"/>
      <c r="HL14" s="151"/>
      <c r="HM14" s="151"/>
      <c r="HN14" s="150" t="s">
        <v>152</v>
      </c>
      <c r="HO14" s="151"/>
      <c r="HP14" s="151"/>
      <c r="HQ14" s="151"/>
      <c r="HR14" s="151"/>
      <c r="HS14" s="151"/>
      <c r="HT14" s="151"/>
      <c r="HU14" s="150" t="s">
        <v>152</v>
      </c>
      <c r="HV14" s="151"/>
      <c r="HW14" s="151"/>
      <c r="HX14" s="151"/>
      <c r="HY14" s="151"/>
      <c r="HZ14" s="150" t="s">
        <v>152</v>
      </c>
      <c r="IA14" s="151"/>
      <c r="IB14" s="151"/>
      <c r="IC14" s="151"/>
      <c r="ID14" s="151"/>
      <c r="IE14" s="204" t="s">
        <v>457</v>
      </c>
      <c r="IF14" s="151"/>
      <c r="IG14" s="151"/>
      <c r="IH14" s="151"/>
      <c r="II14" s="151"/>
      <c r="IJ14" s="141" t="str">
        <f t="shared" si="2"/>
        <v>○</v>
      </c>
    </row>
    <row r="15" spans="1:244" s="102" customFormat="1" ht="98.25" customHeight="1">
      <c r="A15" s="97" t="s">
        <v>161</v>
      </c>
      <c r="B15" s="204" t="s">
        <v>162</v>
      </c>
      <c r="C15" s="198" t="s">
        <v>152</v>
      </c>
      <c r="D15" s="198" t="s">
        <v>151</v>
      </c>
      <c r="E15" s="203" t="s">
        <v>151</v>
      </c>
      <c r="F15" s="198" t="s">
        <v>152</v>
      </c>
      <c r="G15" s="198" t="s">
        <v>151</v>
      </c>
      <c r="H15" s="203" t="s">
        <v>151</v>
      </c>
      <c r="I15" s="198" t="s">
        <v>152</v>
      </c>
      <c r="J15" s="198" t="s">
        <v>151</v>
      </c>
      <c r="K15" s="203" t="s">
        <v>151</v>
      </c>
      <c r="L15" s="198" t="s">
        <v>152</v>
      </c>
      <c r="M15" s="198" t="s">
        <v>151</v>
      </c>
      <c r="N15" s="203" t="s">
        <v>151</v>
      </c>
      <c r="O15" s="198" t="s">
        <v>152</v>
      </c>
      <c r="P15" s="198" t="s">
        <v>151</v>
      </c>
      <c r="Q15" s="203" t="s">
        <v>151</v>
      </c>
      <c r="R15" s="198" t="s">
        <v>152</v>
      </c>
      <c r="S15" s="198" t="s">
        <v>151</v>
      </c>
      <c r="T15" s="203" t="s">
        <v>151</v>
      </c>
      <c r="U15" s="198" t="s">
        <v>152</v>
      </c>
      <c r="V15" s="198" t="s">
        <v>151</v>
      </c>
      <c r="W15" s="203" t="s">
        <v>151</v>
      </c>
      <c r="X15" s="204"/>
      <c r="Y15" s="204" t="s">
        <v>152</v>
      </c>
      <c r="Z15" s="204"/>
      <c r="AA15" s="98" t="str">
        <f t="shared" si="3"/>
        <v>○</v>
      </c>
      <c r="AB15" s="204" t="s">
        <v>152</v>
      </c>
      <c r="AC15" s="204"/>
      <c r="AD15" s="98" t="str">
        <f t="shared" si="0"/>
        <v/>
      </c>
      <c r="AE15" s="99"/>
      <c r="AF15" s="203"/>
      <c r="AG15" s="203"/>
      <c r="AH15" s="198" t="s">
        <v>160</v>
      </c>
      <c r="AI15" s="198" t="s">
        <v>151</v>
      </c>
      <c r="AJ15" s="203" t="s">
        <v>151</v>
      </c>
      <c r="AK15" s="198" t="s">
        <v>152</v>
      </c>
      <c r="AL15" s="198" t="s">
        <v>151</v>
      </c>
      <c r="AM15" s="203" t="s">
        <v>151</v>
      </c>
      <c r="AN15" s="198" t="s">
        <v>152</v>
      </c>
      <c r="AO15" s="198" t="s">
        <v>151</v>
      </c>
      <c r="AP15" s="203" t="s">
        <v>151</v>
      </c>
      <c r="AQ15" s="198" t="s">
        <v>152</v>
      </c>
      <c r="AR15" s="198" t="s">
        <v>151</v>
      </c>
      <c r="AS15" s="203" t="s">
        <v>151</v>
      </c>
      <c r="AT15" s="198" t="s">
        <v>152</v>
      </c>
      <c r="AU15" s="198" t="s">
        <v>151</v>
      </c>
      <c r="AV15" s="203" t="s">
        <v>151</v>
      </c>
      <c r="AW15" s="201">
        <v>2</v>
      </c>
      <c r="AX15" s="201">
        <v>2</v>
      </c>
      <c r="AY15" s="202">
        <f t="shared" si="1"/>
        <v>1</v>
      </c>
      <c r="AZ15" s="203" t="s">
        <v>151</v>
      </c>
      <c r="BA15" s="204">
        <v>0</v>
      </c>
      <c r="BB15" s="203" t="s">
        <v>151</v>
      </c>
      <c r="BC15" s="201">
        <v>0</v>
      </c>
      <c r="BD15" s="201">
        <v>0</v>
      </c>
      <c r="BE15" s="202" t="str">
        <f t="shared" si="4"/>
        <v/>
      </c>
      <c r="BF15" s="203" t="s">
        <v>151</v>
      </c>
      <c r="BG15" s="204">
        <v>0</v>
      </c>
      <c r="BH15" s="203" t="s">
        <v>151</v>
      </c>
      <c r="BI15" s="201">
        <v>1</v>
      </c>
      <c r="BJ15" s="201">
        <v>1</v>
      </c>
      <c r="BK15" s="202">
        <f t="shared" si="5"/>
        <v>1</v>
      </c>
      <c r="BL15" s="203" t="s">
        <v>151</v>
      </c>
      <c r="BM15" s="204">
        <v>0</v>
      </c>
      <c r="BN15" s="203" t="s">
        <v>151</v>
      </c>
      <c r="BO15" s="201">
        <v>2</v>
      </c>
      <c r="BP15" s="201">
        <v>2</v>
      </c>
      <c r="BQ15" s="202">
        <f t="shared" si="6"/>
        <v>1</v>
      </c>
      <c r="BR15" s="203" t="s">
        <v>151</v>
      </c>
      <c r="BS15" s="204">
        <v>0</v>
      </c>
      <c r="BT15" s="203" t="s">
        <v>151</v>
      </c>
      <c r="BU15" s="201">
        <v>1</v>
      </c>
      <c r="BV15" s="201">
        <v>1</v>
      </c>
      <c r="BW15" s="202">
        <f t="shared" si="9"/>
        <v>1</v>
      </c>
      <c r="BX15" s="203" t="s">
        <v>151</v>
      </c>
      <c r="BY15" s="204">
        <v>0</v>
      </c>
      <c r="BZ15" s="203" t="s">
        <v>151</v>
      </c>
      <c r="CA15" s="201">
        <v>0</v>
      </c>
      <c r="CB15" s="201">
        <v>0</v>
      </c>
      <c r="CC15" s="202" t="str">
        <f t="shared" si="10"/>
        <v/>
      </c>
      <c r="CD15" s="203" t="s">
        <v>151</v>
      </c>
      <c r="CE15" s="204">
        <v>0</v>
      </c>
      <c r="CF15" s="203" t="s">
        <v>151</v>
      </c>
      <c r="CG15" s="201">
        <v>1</v>
      </c>
      <c r="CH15" s="201">
        <v>1</v>
      </c>
      <c r="CI15" s="202">
        <f t="shared" si="11"/>
        <v>1</v>
      </c>
      <c r="CJ15" s="203" t="s">
        <v>151</v>
      </c>
      <c r="CK15" s="204">
        <v>0</v>
      </c>
      <c r="CL15" s="203" t="s">
        <v>151</v>
      </c>
      <c r="CM15" s="201">
        <v>3</v>
      </c>
      <c r="CN15" s="201">
        <v>3</v>
      </c>
      <c r="CO15" s="202">
        <f t="shared" si="12"/>
        <v>1</v>
      </c>
      <c r="CP15" s="203" t="s">
        <v>151</v>
      </c>
      <c r="CQ15" s="204">
        <v>0</v>
      </c>
      <c r="CR15" s="203" t="s">
        <v>151</v>
      </c>
      <c r="CS15" s="201">
        <v>0</v>
      </c>
      <c r="CT15" s="201">
        <v>0</v>
      </c>
      <c r="CU15" s="202" t="str">
        <f t="shared" si="13"/>
        <v/>
      </c>
      <c r="CV15" s="203" t="s">
        <v>151</v>
      </c>
      <c r="CW15" s="204">
        <v>0</v>
      </c>
      <c r="CX15" s="203" t="s">
        <v>151</v>
      </c>
      <c r="CY15" s="201">
        <v>3</v>
      </c>
      <c r="CZ15" s="201">
        <v>1</v>
      </c>
      <c r="DA15" s="202">
        <f t="shared" si="14"/>
        <v>0.33333333333333331</v>
      </c>
      <c r="DB15" s="203" t="s">
        <v>259</v>
      </c>
      <c r="DC15" s="204">
        <v>1</v>
      </c>
      <c r="DD15" s="203" t="s">
        <v>260</v>
      </c>
      <c r="DE15" s="201">
        <v>9</v>
      </c>
      <c r="DF15" s="201">
        <v>9</v>
      </c>
      <c r="DG15" s="202">
        <f t="shared" si="15"/>
        <v>1</v>
      </c>
      <c r="DH15" s="203" t="s">
        <v>151</v>
      </c>
      <c r="DI15" s="204">
        <v>0</v>
      </c>
      <c r="DJ15" s="203" t="s">
        <v>151</v>
      </c>
      <c r="DK15" s="201">
        <v>76</v>
      </c>
      <c r="DL15" s="201">
        <v>76</v>
      </c>
      <c r="DM15" s="202">
        <f t="shared" si="16"/>
        <v>1</v>
      </c>
      <c r="DN15" s="203" t="s">
        <v>151</v>
      </c>
      <c r="DO15" s="204">
        <v>0</v>
      </c>
      <c r="DP15" s="203" t="s">
        <v>151</v>
      </c>
      <c r="DQ15" s="201">
        <v>1</v>
      </c>
      <c r="DR15" s="201">
        <v>1</v>
      </c>
      <c r="DS15" s="202">
        <f t="shared" si="17"/>
        <v>1</v>
      </c>
      <c r="DT15" s="203" t="s">
        <v>151</v>
      </c>
      <c r="DU15" s="203">
        <v>0</v>
      </c>
      <c r="DV15" s="203" t="s">
        <v>151</v>
      </c>
      <c r="DW15" s="201">
        <v>0</v>
      </c>
      <c r="DX15" s="201">
        <v>0</v>
      </c>
      <c r="DY15" s="202" t="str">
        <f t="shared" si="18"/>
        <v/>
      </c>
      <c r="DZ15" s="203" t="s">
        <v>151</v>
      </c>
      <c r="EA15" s="204">
        <v>0</v>
      </c>
      <c r="EB15" s="203" t="s">
        <v>151</v>
      </c>
      <c r="EC15" s="201">
        <v>1</v>
      </c>
      <c r="ED15" s="201">
        <v>0</v>
      </c>
      <c r="EE15" s="202">
        <f t="shared" si="19"/>
        <v>0</v>
      </c>
      <c r="EF15" s="203" t="s">
        <v>303</v>
      </c>
      <c r="EG15" s="204">
        <v>1</v>
      </c>
      <c r="EH15" s="203" t="s">
        <v>614</v>
      </c>
      <c r="EI15" s="201">
        <v>5</v>
      </c>
      <c r="EJ15" s="201">
        <v>3</v>
      </c>
      <c r="EK15" s="202">
        <f t="shared" si="20"/>
        <v>0.6</v>
      </c>
      <c r="EL15" s="203" t="s">
        <v>347</v>
      </c>
      <c r="EM15" s="204">
        <v>2</v>
      </c>
      <c r="EN15" s="203" t="s">
        <v>348</v>
      </c>
      <c r="EO15" s="201">
        <v>0</v>
      </c>
      <c r="EP15" s="201">
        <v>0</v>
      </c>
      <c r="EQ15" s="202" t="str">
        <f t="shared" si="21"/>
        <v/>
      </c>
      <c r="ER15" s="203" t="s">
        <v>151</v>
      </c>
      <c r="ES15" s="204">
        <v>0</v>
      </c>
      <c r="ET15" s="203" t="s">
        <v>151</v>
      </c>
      <c r="EU15" s="201">
        <v>2</v>
      </c>
      <c r="EV15" s="201">
        <v>2</v>
      </c>
      <c r="EW15" s="202">
        <f t="shared" si="22"/>
        <v>1</v>
      </c>
      <c r="EX15" s="203" t="s">
        <v>151</v>
      </c>
      <c r="EY15" s="204">
        <v>0</v>
      </c>
      <c r="EZ15" s="203" t="s">
        <v>151</v>
      </c>
      <c r="FA15" s="201">
        <v>5</v>
      </c>
      <c r="FB15" s="201">
        <v>5</v>
      </c>
      <c r="FC15" s="202">
        <f t="shared" si="23"/>
        <v>1</v>
      </c>
      <c r="FD15" s="203"/>
      <c r="FE15" s="204">
        <v>0</v>
      </c>
      <c r="FF15" s="203"/>
      <c r="FG15" s="201">
        <v>0</v>
      </c>
      <c r="FH15" s="201">
        <v>0</v>
      </c>
      <c r="FI15" s="202" t="str">
        <f t="shared" si="24"/>
        <v/>
      </c>
      <c r="FJ15" s="203" t="s">
        <v>151</v>
      </c>
      <c r="FK15" s="204">
        <v>0</v>
      </c>
      <c r="FL15" s="203" t="s">
        <v>151</v>
      </c>
      <c r="FM15" s="201">
        <v>0</v>
      </c>
      <c r="FN15" s="201">
        <v>0</v>
      </c>
      <c r="FO15" s="202" t="str">
        <f t="shared" si="25"/>
        <v/>
      </c>
      <c r="FP15" s="203" t="s">
        <v>151</v>
      </c>
      <c r="FQ15" s="204">
        <v>0</v>
      </c>
      <c r="FR15" s="203" t="s">
        <v>151</v>
      </c>
      <c r="FS15" s="201">
        <v>1</v>
      </c>
      <c r="FT15" s="201">
        <v>0</v>
      </c>
      <c r="FU15" s="202">
        <f t="shared" si="7"/>
        <v>0</v>
      </c>
      <c r="FV15" s="203" t="s">
        <v>259</v>
      </c>
      <c r="FW15" s="204">
        <v>1</v>
      </c>
      <c r="FX15" s="203" t="s">
        <v>410</v>
      </c>
      <c r="FY15" s="201">
        <v>0</v>
      </c>
      <c r="FZ15" s="201">
        <v>0</v>
      </c>
      <c r="GA15" s="202" t="str">
        <f t="shared" si="8"/>
        <v/>
      </c>
      <c r="GB15" s="203" t="s">
        <v>151</v>
      </c>
      <c r="GC15" s="204">
        <v>0</v>
      </c>
      <c r="GD15" s="203" t="s">
        <v>151</v>
      </c>
      <c r="GE15" s="203" t="s">
        <v>437</v>
      </c>
      <c r="GF15" s="203" t="s">
        <v>439</v>
      </c>
      <c r="GG15" s="204" t="s">
        <v>152</v>
      </c>
      <c r="GH15" s="204" t="s">
        <v>152</v>
      </c>
      <c r="GI15" s="204" t="s">
        <v>152</v>
      </c>
      <c r="GJ15" s="204" t="s">
        <v>152</v>
      </c>
      <c r="GK15" s="203" t="s">
        <v>151</v>
      </c>
      <c r="GL15" s="204" t="s">
        <v>152</v>
      </c>
      <c r="GM15" s="204" t="s">
        <v>152</v>
      </c>
      <c r="GN15" s="204" t="s">
        <v>152</v>
      </c>
      <c r="GO15" s="204" t="s">
        <v>151</v>
      </c>
      <c r="GP15" s="204" t="s">
        <v>152</v>
      </c>
      <c r="GQ15" s="204" t="s">
        <v>152</v>
      </c>
      <c r="GR15" s="100" t="s">
        <v>152</v>
      </c>
      <c r="GS15" s="101"/>
      <c r="GT15" s="204" t="s">
        <v>152</v>
      </c>
      <c r="GU15" s="204"/>
      <c r="GV15" s="204"/>
      <c r="GW15" s="145" t="s">
        <v>152</v>
      </c>
      <c r="GX15" s="145" t="s">
        <v>149</v>
      </c>
      <c r="GY15" s="204" t="s">
        <v>149</v>
      </c>
      <c r="GZ15" s="203" t="s">
        <v>457</v>
      </c>
      <c r="HA15" s="203"/>
      <c r="HB15" s="203"/>
      <c r="HC15" s="203"/>
      <c r="HD15" s="203"/>
      <c r="HE15" s="203"/>
      <c r="HF15" s="203"/>
      <c r="HG15" s="203" t="s">
        <v>457</v>
      </c>
      <c r="HH15" s="203"/>
      <c r="HI15" s="203"/>
      <c r="HJ15" s="203"/>
      <c r="HK15" s="203"/>
      <c r="HL15" s="203"/>
      <c r="HM15" s="203"/>
      <c r="HN15" s="203" t="s">
        <v>457</v>
      </c>
      <c r="HO15" s="203"/>
      <c r="HP15" s="203"/>
      <c r="HQ15" s="203"/>
      <c r="HR15" s="203"/>
      <c r="HS15" s="203"/>
      <c r="HT15" s="203"/>
      <c r="HU15" s="203" t="s">
        <v>457</v>
      </c>
      <c r="HV15" s="203"/>
      <c r="HW15" s="203"/>
      <c r="HX15" s="203"/>
      <c r="HY15" s="203"/>
      <c r="HZ15" s="203" t="s">
        <v>457</v>
      </c>
      <c r="IA15" s="203"/>
      <c r="IB15" s="203"/>
      <c r="IC15" s="203"/>
      <c r="ID15" s="203"/>
      <c r="IE15" s="204" t="s">
        <v>457</v>
      </c>
      <c r="IF15" s="203"/>
      <c r="IG15" s="203"/>
      <c r="IH15" s="203"/>
      <c r="II15" s="203"/>
      <c r="IJ15" s="142" t="str">
        <f t="shared" si="2"/>
        <v>○</v>
      </c>
    </row>
    <row r="16" spans="1:244" s="93" customFormat="1" ht="105.6">
      <c r="A16" s="97" t="s">
        <v>163</v>
      </c>
      <c r="B16" s="204" t="s">
        <v>164</v>
      </c>
      <c r="C16" s="198" t="s">
        <v>152</v>
      </c>
      <c r="D16" s="198" t="s">
        <v>151</v>
      </c>
      <c r="E16" s="203" t="s">
        <v>151</v>
      </c>
      <c r="F16" s="198" t="s">
        <v>152</v>
      </c>
      <c r="G16" s="198" t="s">
        <v>151</v>
      </c>
      <c r="H16" s="203" t="s">
        <v>151</v>
      </c>
      <c r="I16" s="198" t="s">
        <v>152</v>
      </c>
      <c r="J16" s="198" t="s">
        <v>151</v>
      </c>
      <c r="K16" s="203" t="s">
        <v>151</v>
      </c>
      <c r="L16" s="198" t="s">
        <v>152</v>
      </c>
      <c r="M16" s="198" t="s">
        <v>151</v>
      </c>
      <c r="N16" s="203" t="s">
        <v>151</v>
      </c>
      <c r="O16" s="198" t="s">
        <v>152</v>
      </c>
      <c r="P16" s="198" t="s">
        <v>151</v>
      </c>
      <c r="Q16" s="203" t="s">
        <v>151</v>
      </c>
      <c r="R16" s="198" t="s">
        <v>152</v>
      </c>
      <c r="S16" s="198" t="s">
        <v>151</v>
      </c>
      <c r="T16" s="203" t="s">
        <v>151</v>
      </c>
      <c r="U16" s="198" t="s">
        <v>152</v>
      </c>
      <c r="V16" s="198" t="s">
        <v>151</v>
      </c>
      <c r="W16" s="203" t="s">
        <v>151</v>
      </c>
      <c r="X16" s="204"/>
      <c r="Y16" s="204"/>
      <c r="Z16" s="204" t="s">
        <v>152</v>
      </c>
      <c r="AA16" s="98" t="str">
        <f t="shared" si="3"/>
        <v/>
      </c>
      <c r="AB16" s="204" t="s">
        <v>152</v>
      </c>
      <c r="AC16" s="204"/>
      <c r="AD16" s="98" t="str">
        <f t="shared" si="0"/>
        <v>○</v>
      </c>
      <c r="AE16" s="99" t="s">
        <v>455</v>
      </c>
      <c r="AF16" s="203" t="s">
        <v>511</v>
      </c>
      <c r="AG16" s="203"/>
      <c r="AH16" s="198" t="s">
        <v>160</v>
      </c>
      <c r="AI16" s="198" t="s">
        <v>151</v>
      </c>
      <c r="AJ16" s="203" t="s">
        <v>151</v>
      </c>
      <c r="AK16" s="198" t="s">
        <v>152</v>
      </c>
      <c r="AL16" s="198" t="s">
        <v>151</v>
      </c>
      <c r="AM16" s="203" t="s">
        <v>151</v>
      </c>
      <c r="AN16" s="198" t="s">
        <v>152</v>
      </c>
      <c r="AO16" s="198" t="s">
        <v>151</v>
      </c>
      <c r="AP16" s="203" t="s">
        <v>151</v>
      </c>
      <c r="AQ16" s="198" t="s">
        <v>152</v>
      </c>
      <c r="AR16" s="198" t="s">
        <v>151</v>
      </c>
      <c r="AS16" s="203" t="s">
        <v>151</v>
      </c>
      <c r="AT16" s="198" t="s">
        <v>152</v>
      </c>
      <c r="AU16" s="198" t="s">
        <v>151</v>
      </c>
      <c r="AV16" s="203" t="s">
        <v>151</v>
      </c>
      <c r="AW16" s="201">
        <v>2</v>
      </c>
      <c r="AX16" s="201">
        <v>2</v>
      </c>
      <c r="AY16" s="202">
        <f t="shared" si="1"/>
        <v>1</v>
      </c>
      <c r="AZ16" s="203" t="s">
        <v>151</v>
      </c>
      <c r="BA16" s="204">
        <v>0</v>
      </c>
      <c r="BB16" s="203" t="s">
        <v>151</v>
      </c>
      <c r="BC16" s="201">
        <v>6</v>
      </c>
      <c r="BD16" s="201">
        <v>2</v>
      </c>
      <c r="BE16" s="202">
        <f t="shared" si="4"/>
        <v>0.33333333333333331</v>
      </c>
      <c r="BF16" s="203" t="s">
        <v>239</v>
      </c>
      <c r="BG16" s="204">
        <v>0</v>
      </c>
      <c r="BH16" s="203" t="s">
        <v>151</v>
      </c>
      <c r="BI16" s="201">
        <v>0</v>
      </c>
      <c r="BJ16" s="201">
        <v>0</v>
      </c>
      <c r="BK16" s="202" t="str">
        <f t="shared" si="5"/>
        <v/>
      </c>
      <c r="BL16" s="203" t="s">
        <v>151</v>
      </c>
      <c r="BM16" s="204">
        <v>0</v>
      </c>
      <c r="BN16" s="203" t="s">
        <v>151</v>
      </c>
      <c r="BO16" s="201">
        <v>0</v>
      </c>
      <c r="BP16" s="201">
        <v>0</v>
      </c>
      <c r="BQ16" s="202" t="str">
        <f t="shared" si="6"/>
        <v/>
      </c>
      <c r="BR16" s="203" t="s">
        <v>151</v>
      </c>
      <c r="BS16" s="204">
        <v>0</v>
      </c>
      <c r="BT16" s="203" t="s">
        <v>151</v>
      </c>
      <c r="BU16" s="201">
        <v>0</v>
      </c>
      <c r="BV16" s="201">
        <v>0</v>
      </c>
      <c r="BW16" s="202" t="str">
        <f t="shared" si="9"/>
        <v/>
      </c>
      <c r="BX16" s="203" t="s">
        <v>151</v>
      </c>
      <c r="BY16" s="204">
        <v>0</v>
      </c>
      <c r="BZ16" s="203" t="s">
        <v>151</v>
      </c>
      <c r="CA16" s="201">
        <v>0</v>
      </c>
      <c r="CB16" s="201">
        <v>0</v>
      </c>
      <c r="CC16" s="202" t="str">
        <f t="shared" si="10"/>
        <v/>
      </c>
      <c r="CD16" s="203" t="s">
        <v>151</v>
      </c>
      <c r="CE16" s="204">
        <v>0</v>
      </c>
      <c r="CF16" s="203" t="s">
        <v>151</v>
      </c>
      <c r="CG16" s="201">
        <v>2</v>
      </c>
      <c r="CH16" s="201">
        <v>2</v>
      </c>
      <c r="CI16" s="202">
        <f t="shared" si="11"/>
        <v>1</v>
      </c>
      <c r="CJ16" s="203" t="s">
        <v>151</v>
      </c>
      <c r="CK16" s="204">
        <v>0</v>
      </c>
      <c r="CL16" s="203" t="s">
        <v>151</v>
      </c>
      <c r="CM16" s="201">
        <v>2</v>
      </c>
      <c r="CN16" s="201">
        <v>2</v>
      </c>
      <c r="CO16" s="202">
        <f t="shared" si="12"/>
        <v>1</v>
      </c>
      <c r="CP16" s="203" t="s">
        <v>151</v>
      </c>
      <c r="CQ16" s="204">
        <v>0</v>
      </c>
      <c r="CR16" s="203" t="s">
        <v>151</v>
      </c>
      <c r="CS16" s="201">
        <v>1</v>
      </c>
      <c r="CT16" s="201">
        <v>1</v>
      </c>
      <c r="CU16" s="202">
        <f t="shared" si="13"/>
        <v>1</v>
      </c>
      <c r="CV16" s="203" t="s">
        <v>151</v>
      </c>
      <c r="CW16" s="204">
        <v>0</v>
      </c>
      <c r="CX16" s="203" t="s">
        <v>151</v>
      </c>
      <c r="CY16" s="201">
        <v>6</v>
      </c>
      <c r="CZ16" s="201">
        <v>4</v>
      </c>
      <c r="DA16" s="202">
        <f t="shared" si="14"/>
        <v>0.66666666666666663</v>
      </c>
      <c r="DB16" s="203" t="s">
        <v>261</v>
      </c>
      <c r="DC16" s="204">
        <v>2</v>
      </c>
      <c r="DD16" s="203" t="s">
        <v>261</v>
      </c>
      <c r="DE16" s="201">
        <v>8</v>
      </c>
      <c r="DF16" s="201">
        <v>4</v>
      </c>
      <c r="DG16" s="202">
        <f t="shared" si="15"/>
        <v>0.5</v>
      </c>
      <c r="DH16" s="203" t="s">
        <v>261</v>
      </c>
      <c r="DI16" s="204">
        <v>0</v>
      </c>
      <c r="DJ16" s="203" t="s">
        <v>151</v>
      </c>
      <c r="DK16" s="201">
        <v>127</v>
      </c>
      <c r="DL16" s="201">
        <v>127</v>
      </c>
      <c r="DM16" s="202">
        <f t="shared" si="16"/>
        <v>1</v>
      </c>
      <c r="DN16" s="203" t="s">
        <v>151</v>
      </c>
      <c r="DO16" s="204">
        <v>0</v>
      </c>
      <c r="DP16" s="203" t="s">
        <v>151</v>
      </c>
      <c r="DQ16" s="201">
        <v>0</v>
      </c>
      <c r="DR16" s="201">
        <v>0</v>
      </c>
      <c r="DS16" s="202" t="str">
        <f t="shared" si="17"/>
        <v/>
      </c>
      <c r="DT16" s="203" t="s">
        <v>151</v>
      </c>
      <c r="DU16" s="203">
        <v>0</v>
      </c>
      <c r="DV16" s="203" t="s">
        <v>151</v>
      </c>
      <c r="DW16" s="201">
        <v>0</v>
      </c>
      <c r="DX16" s="201">
        <v>0</v>
      </c>
      <c r="DY16" s="202" t="str">
        <f t="shared" si="18"/>
        <v/>
      </c>
      <c r="DZ16" s="203" t="s">
        <v>151</v>
      </c>
      <c r="EA16" s="204">
        <v>0</v>
      </c>
      <c r="EB16" s="203" t="s">
        <v>151</v>
      </c>
      <c r="EC16" s="201">
        <v>2</v>
      </c>
      <c r="ED16" s="201">
        <v>1</v>
      </c>
      <c r="EE16" s="202">
        <f t="shared" si="19"/>
        <v>0.5</v>
      </c>
      <c r="EF16" s="203" t="s">
        <v>304</v>
      </c>
      <c r="EG16" s="204">
        <v>1</v>
      </c>
      <c r="EH16" s="203" t="s">
        <v>304</v>
      </c>
      <c r="EI16" s="201">
        <v>5</v>
      </c>
      <c r="EJ16" s="201">
        <v>3</v>
      </c>
      <c r="EK16" s="202">
        <f t="shared" si="20"/>
        <v>0.6</v>
      </c>
      <c r="EL16" s="203" t="s">
        <v>349</v>
      </c>
      <c r="EM16" s="204">
        <v>2</v>
      </c>
      <c r="EN16" s="203" t="s">
        <v>349</v>
      </c>
      <c r="EO16" s="201">
        <v>0</v>
      </c>
      <c r="EP16" s="201">
        <v>0</v>
      </c>
      <c r="EQ16" s="202" t="str">
        <f t="shared" si="21"/>
        <v/>
      </c>
      <c r="ER16" s="203" t="s">
        <v>151</v>
      </c>
      <c r="ES16" s="204">
        <v>0</v>
      </c>
      <c r="ET16" s="203" t="s">
        <v>151</v>
      </c>
      <c r="EU16" s="201">
        <v>1</v>
      </c>
      <c r="EV16" s="201">
        <v>1</v>
      </c>
      <c r="EW16" s="202">
        <f t="shared" si="22"/>
        <v>1</v>
      </c>
      <c r="EX16" s="203" t="s">
        <v>151</v>
      </c>
      <c r="EY16" s="204">
        <v>0</v>
      </c>
      <c r="EZ16" s="203" t="s">
        <v>151</v>
      </c>
      <c r="FA16" s="201">
        <v>4</v>
      </c>
      <c r="FB16" s="201">
        <v>4</v>
      </c>
      <c r="FC16" s="202">
        <f t="shared" si="23"/>
        <v>1</v>
      </c>
      <c r="FD16" s="203"/>
      <c r="FE16" s="204"/>
      <c r="FF16" s="203"/>
      <c r="FG16" s="201">
        <v>0</v>
      </c>
      <c r="FH16" s="201">
        <v>0</v>
      </c>
      <c r="FI16" s="202" t="str">
        <f t="shared" si="24"/>
        <v/>
      </c>
      <c r="FJ16" s="203" t="s">
        <v>151</v>
      </c>
      <c r="FK16" s="204">
        <v>0</v>
      </c>
      <c r="FL16" s="203" t="s">
        <v>151</v>
      </c>
      <c r="FM16" s="201">
        <v>0</v>
      </c>
      <c r="FN16" s="201">
        <v>0</v>
      </c>
      <c r="FO16" s="202" t="str">
        <f t="shared" si="25"/>
        <v/>
      </c>
      <c r="FP16" s="203" t="s">
        <v>151</v>
      </c>
      <c r="FQ16" s="204">
        <v>0</v>
      </c>
      <c r="FR16" s="203" t="s">
        <v>151</v>
      </c>
      <c r="FS16" s="201">
        <v>7</v>
      </c>
      <c r="FT16" s="201">
        <v>5</v>
      </c>
      <c r="FU16" s="202">
        <f t="shared" si="7"/>
        <v>0.7142857142857143</v>
      </c>
      <c r="FV16" s="203" t="s">
        <v>411</v>
      </c>
      <c r="FW16" s="204">
        <v>2</v>
      </c>
      <c r="FX16" s="203" t="s">
        <v>412</v>
      </c>
      <c r="FY16" s="201">
        <v>0</v>
      </c>
      <c r="FZ16" s="201">
        <v>0</v>
      </c>
      <c r="GA16" s="202" t="str">
        <f t="shared" si="8"/>
        <v/>
      </c>
      <c r="GB16" s="203" t="s">
        <v>151</v>
      </c>
      <c r="GC16" s="204">
        <v>0</v>
      </c>
      <c r="GD16" s="203" t="s">
        <v>151</v>
      </c>
      <c r="GE16" s="203" t="s">
        <v>437</v>
      </c>
      <c r="GF16" s="203" t="s">
        <v>439</v>
      </c>
      <c r="GG16" s="204" t="s">
        <v>152</v>
      </c>
      <c r="GH16" s="204" t="s">
        <v>152</v>
      </c>
      <c r="GI16" s="204" t="s">
        <v>152</v>
      </c>
      <c r="GJ16" s="204" t="s">
        <v>152</v>
      </c>
      <c r="GK16" s="203" t="s">
        <v>151</v>
      </c>
      <c r="GL16" s="204" t="s">
        <v>152</v>
      </c>
      <c r="GM16" s="204" t="s">
        <v>152</v>
      </c>
      <c r="GN16" s="204" t="s">
        <v>152</v>
      </c>
      <c r="GO16" s="204" t="s">
        <v>151</v>
      </c>
      <c r="GP16" s="204" t="s">
        <v>151</v>
      </c>
      <c r="GQ16" s="204" t="s">
        <v>151</v>
      </c>
      <c r="GR16" s="100"/>
      <c r="GS16" s="101"/>
      <c r="GT16" s="204" t="s">
        <v>152</v>
      </c>
      <c r="GU16" s="204"/>
      <c r="GV16" s="204"/>
      <c r="GW16" s="145" t="s">
        <v>152</v>
      </c>
      <c r="GX16" s="145" t="s">
        <v>149</v>
      </c>
      <c r="GY16" s="204" t="s">
        <v>149</v>
      </c>
      <c r="GZ16" s="204" t="s">
        <v>152</v>
      </c>
      <c r="HA16" s="203"/>
      <c r="HB16" s="203"/>
      <c r="HC16" s="203"/>
      <c r="HD16" s="203"/>
      <c r="HE16" s="203"/>
      <c r="HF16" s="203"/>
      <c r="HG16" s="204" t="s">
        <v>152</v>
      </c>
      <c r="HH16" s="203"/>
      <c r="HI16" s="203"/>
      <c r="HJ16" s="203"/>
      <c r="HK16" s="203"/>
      <c r="HL16" s="203"/>
      <c r="HM16" s="203"/>
      <c r="HN16" s="203"/>
      <c r="HO16" s="203"/>
      <c r="HP16" s="203"/>
      <c r="HQ16" s="203"/>
      <c r="HR16" s="203"/>
      <c r="HS16" s="204" t="s">
        <v>152</v>
      </c>
      <c r="HT16" s="203" t="s">
        <v>773</v>
      </c>
      <c r="HU16" s="204" t="s">
        <v>152</v>
      </c>
      <c r="HV16" s="203"/>
      <c r="HW16" s="203"/>
      <c r="HX16" s="203"/>
      <c r="HY16" s="203"/>
      <c r="HZ16" s="204" t="s">
        <v>152</v>
      </c>
      <c r="IA16" s="203"/>
      <c r="IB16" s="203"/>
      <c r="IC16" s="203"/>
      <c r="ID16" s="203"/>
      <c r="IE16" s="203"/>
      <c r="IF16" s="203"/>
      <c r="IG16" s="204" t="s">
        <v>152</v>
      </c>
      <c r="IH16" s="203"/>
      <c r="II16" s="203" t="s">
        <v>774</v>
      </c>
      <c r="IJ16" s="140" t="str">
        <f t="shared" si="2"/>
        <v>○</v>
      </c>
    </row>
    <row r="17" spans="1:244" s="93" customFormat="1" ht="79.2">
      <c r="A17" s="97" t="s">
        <v>447</v>
      </c>
      <c r="B17" s="204" t="s">
        <v>165</v>
      </c>
      <c r="C17" s="198" t="s">
        <v>152</v>
      </c>
      <c r="D17" s="198" t="s">
        <v>151</v>
      </c>
      <c r="E17" s="203" t="s">
        <v>151</v>
      </c>
      <c r="F17" s="198" t="s">
        <v>152</v>
      </c>
      <c r="G17" s="198" t="s">
        <v>151</v>
      </c>
      <c r="H17" s="203" t="s">
        <v>151</v>
      </c>
      <c r="I17" s="198" t="s">
        <v>152</v>
      </c>
      <c r="J17" s="198" t="s">
        <v>151</v>
      </c>
      <c r="K17" s="203" t="s">
        <v>151</v>
      </c>
      <c r="L17" s="198" t="s">
        <v>152</v>
      </c>
      <c r="M17" s="198" t="s">
        <v>151</v>
      </c>
      <c r="N17" s="203" t="s">
        <v>151</v>
      </c>
      <c r="O17" s="198" t="s">
        <v>152</v>
      </c>
      <c r="P17" s="198" t="s">
        <v>151</v>
      </c>
      <c r="Q17" s="203" t="s">
        <v>151</v>
      </c>
      <c r="R17" s="198" t="s">
        <v>152</v>
      </c>
      <c r="S17" s="198" t="s">
        <v>151</v>
      </c>
      <c r="T17" s="203" t="s">
        <v>151</v>
      </c>
      <c r="U17" s="198" t="s">
        <v>152</v>
      </c>
      <c r="V17" s="198" t="s">
        <v>151</v>
      </c>
      <c r="W17" s="203" t="s">
        <v>151</v>
      </c>
      <c r="X17" s="204"/>
      <c r="Y17" s="204"/>
      <c r="Z17" s="204" t="s">
        <v>152</v>
      </c>
      <c r="AA17" s="98" t="str">
        <f t="shared" si="3"/>
        <v/>
      </c>
      <c r="AB17" s="204" t="s">
        <v>152</v>
      </c>
      <c r="AC17" s="204"/>
      <c r="AD17" s="98" t="str">
        <f t="shared" si="0"/>
        <v>○</v>
      </c>
      <c r="AE17" s="99" t="s">
        <v>229</v>
      </c>
      <c r="AF17" s="203" t="s">
        <v>541</v>
      </c>
      <c r="AG17" s="203"/>
      <c r="AH17" s="198" t="s">
        <v>160</v>
      </c>
      <c r="AI17" s="198" t="s">
        <v>151</v>
      </c>
      <c r="AJ17" s="203" t="s">
        <v>151</v>
      </c>
      <c r="AK17" s="198" t="s">
        <v>152</v>
      </c>
      <c r="AL17" s="198" t="s">
        <v>151</v>
      </c>
      <c r="AM17" s="203" t="s">
        <v>151</v>
      </c>
      <c r="AN17" s="198" t="s">
        <v>152</v>
      </c>
      <c r="AO17" s="198" t="s">
        <v>151</v>
      </c>
      <c r="AP17" s="203" t="s">
        <v>151</v>
      </c>
      <c r="AQ17" s="198" t="s">
        <v>152</v>
      </c>
      <c r="AR17" s="198" t="s">
        <v>151</v>
      </c>
      <c r="AS17" s="203" t="s">
        <v>151</v>
      </c>
      <c r="AT17" s="198" t="s">
        <v>152</v>
      </c>
      <c r="AU17" s="198" t="s">
        <v>151</v>
      </c>
      <c r="AV17" s="203" t="s">
        <v>151</v>
      </c>
      <c r="AW17" s="201">
        <v>2</v>
      </c>
      <c r="AX17" s="201">
        <v>2</v>
      </c>
      <c r="AY17" s="202">
        <f t="shared" si="1"/>
        <v>1</v>
      </c>
      <c r="AZ17" s="203" t="s">
        <v>151</v>
      </c>
      <c r="BA17" s="204">
        <v>0</v>
      </c>
      <c r="BB17" s="203" t="s">
        <v>151</v>
      </c>
      <c r="BC17" s="201">
        <v>17</v>
      </c>
      <c r="BD17" s="201">
        <v>17</v>
      </c>
      <c r="BE17" s="202">
        <f t="shared" si="4"/>
        <v>1</v>
      </c>
      <c r="BF17" s="203" t="s">
        <v>151</v>
      </c>
      <c r="BG17" s="204">
        <v>0</v>
      </c>
      <c r="BH17" s="203" t="s">
        <v>151</v>
      </c>
      <c r="BI17" s="201">
        <v>2</v>
      </c>
      <c r="BJ17" s="201">
        <v>2</v>
      </c>
      <c r="BK17" s="202">
        <f t="shared" si="5"/>
        <v>1</v>
      </c>
      <c r="BL17" s="203" t="s">
        <v>151</v>
      </c>
      <c r="BM17" s="204">
        <v>0</v>
      </c>
      <c r="BN17" s="203" t="s">
        <v>151</v>
      </c>
      <c r="BO17" s="201">
        <v>0</v>
      </c>
      <c r="BP17" s="201">
        <v>0</v>
      </c>
      <c r="BQ17" s="202" t="str">
        <f t="shared" si="6"/>
        <v/>
      </c>
      <c r="BR17" s="203" t="s">
        <v>151</v>
      </c>
      <c r="BS17" s="204">
        <v>0</v>
      </c>
      <c r="BT17" s="203" t="s">
        <v>151</v>
      </c>
      <c r="BU17" s="201">
        <v>2</v>
      </c>
      <c r="BV17" s="201">
        <v>2</v>
      </c>
      <c r="BW17" s="202">
        <f t="shared" si="9"/>
        <v>1</v>
      </c>
      <c r="BX17" s="203" t="s">
        <v>151</v>
      </c>
      <c r="BY17" s="204">
        <v>0</v>
      </c>
      <c r="BZ17" s="203" t="s">
        <v>151</v>
      </c>
      <c r="CA17" s="201">
        <v>0</v>
      </c>
      <c r="CB17" s="201">
        <v>0</v>
      </c>
      <c r="CC17" s="202" t="str">
        <f t="shared" si="10"/>
        <v/>
      </c>
      <c r="CD17" s="203" t="s">
        <v>151</v>
      </c>
      <c r="CE17" s="204">
        <v>0</v>
      </c>
      <c r="CF17" s="203" t="s">
        <v>151</v>
      </c>
      <c r="CG17" s="201">
        <v>1</v>
      </c>
      <c r="CH17" s="201">
        <v>1</v>
      </c>
      <c r="CI17" s="202">
        <f t="shared" si="11"/>
        <v>1</v>
      </c>
      <c r="CJ17" s="203" t="s">
        <v>151</v>
      </c>
      <c r="CK17" s="204">
        <v>0</v>
      </c>
      <c r="CL17" s="203" t="s">
        <v>151</v>
      </c>
      <c r="CM17" s="201">
        <v>0</v>
      </c>
      <c r="CN17" s="201">
        <v>0</v>
      </c>
      <c r="CO17" s="202" t="str">
        <f t="shared" si="12"/>
        <v/>
      </c>
      <c r="CP17" s="203" t="s">
        <v>151</v>
      </c>
      <c r="CQ17" s="204">
        <v>0</v>
      </c>
      <c r="CR17" s="203" t="s">
        <v>151</v>
      </c>
      <c r="CS17" s="201">
        <v>1</v>
      </c>
      <c r="CT17" s="201">
        <v>1</v>
      </c>
      <c r="CU17" s="202">
        <f t="shared" si="13"/>
        <v>1</v>
      </c>
      <c r="CV17" s="203" t="s">
        <v>151</v>
      </c>
      <c r="CW17" s="204">
        <v>0</v>
      </c>
      <c r="CX17" s="203" t="s">
        <v>151</v>
      </c>
      <c r="CY17" s="201">
        <v>0</v>
      </c>
      <c r="CZ17" s="201">
        <v>0</v>
      </c>
      <c r="DA17" s="202" t="str">
        <f t="shared" si="14"/>
        <v/>
      </c>
      <c r="DB17" s="203" t="s">
        <v>151</v>
      </c>
      <c r="DC17" s="204">
        <v>0</v>
      </c>
      <c r="DD17" s="203" t="s">
        <v>151</v>
      </c>
      <c r="DE17" s="201">
        <v>11</v>
      </c>
      <c r="DF17" s="201">
        <v>9</v>
      </c>
      <c r="DG17" s="202">
        <f t="shared" si="15"/>
        <v>0.81818181818181823</v>
      </c>
      <c r="DH17" s="203" t="s">
        <v>555</v>
      </c>
      <c r="DI17" s="204">
        <v>1</v>
      </c>
      <c r="DJ17" s="203" t="s">
        <v>556</v>
      </c>
      <c r="DK17" s="201">
        <v>158</v>
      </c>
      <c r="DL17" s="201">
        <v>158</v>
      </c>
      <c r="DM17" s="202">
        <f t="shared" si="16"/>
        <v>1</v>
      </c>
      <c r="DN17" s="203" t="s">
        <v>151</v>
      </c>
      <c r="DO17" s="204">
        <v>0</v>
      </c>
      <c r="DP17" s="203" t="s">
        <v>151</v>
      </c>
      <c r="DQ17" s="201">
        <v>3</v>
      </c>
      <c r="DR17" s="201">
        <v>3</v>
      </c>
      <c r="DS17" s="202">
        <f t="shared" si="17"/>
        <v>1</v>
      </c>
      <c r="DT17" s="203" t="s">
        <v>151</v>
      </c>
      <c r="DU17" s="203">
        <v>0</v>
      </c>
      <c r="DV17" s="203" t="s">
        <v>151</v>
      </c>
      <c r="DW17" s="201">
        <v>0</v>
      </c>
      <c r="DX17" s="201">
        <v>0</v>
      </c>
      <c r="DY17" s="202" t="str">
        <f t="shared" si="18"/>
        <v/>
      </c>
      <c r="DZ17" s="203" t="s">
        <v>151</v>
      </c>
      <c r="EA17" s="204">
        <v>0</v>
      </c>
      <c r="EB17" s="203" t="s">
        <v>151</v>
      </c>
      <c r="EC17" s="201">
        <v>1</v>
      </c>
      <c r="ED17" s="201">
        <v>0</v>
      </c>
      <c r="EE17" s="202">
        <f t="shared" si="19"/>
        <v>0</v>
      </c>
      <c r="EF17" s="203" t="s">
        <v>557</v>
      </c>
      <c r="EG17" s="204">
        <v>1</v>
      </c>
      <c r="EH17" s="203" t="s">
        <v>558</v>
      </c>
      <c r="EI17" s="201">
        <v>4</v>
      </c>
      <c r="EJ17" s="201">
        <v>1</v>
      </c>
      <c r="EK17" s="202">
        <f t="shared" si="20"/>
        <v>0.25</v>
      </c>
      <c r="EL17" s="203" t="s">
        <v>559</v>
      </c>
      <c r="EM17" s="204">
        <v>3</v>
      </c>
      <c r="EN17" s="203" t="s">
        <v>560</v>
      </c>
      <c r="EO17" s="201">
        <v>0</v>
      </c>
      <c r="EP17" s="201">
        <v>0</v>
      </c>
      <c r="EQ17" s="202" t="str">
        <f t="shared" si="21"/>
        <v/>
      </c>
      <c r="ER17" s="203" t="s">
        <v>151</v>
      </c>
      <c r="ES17" s="204">
        <v>0</v>
      </c>
      <c r="ET17" s="203" t="s">
        <v>151</v>
      </c>
      <c r="EU17" s="201">
        <v>1</v>
      </c>
      <c r="EV17" s="201">
        <v>1</v>
      </c>
      <c r="EW17" s="202">
        <f t="shared" si="22"/>
        <v>1</v>
      </c>
      <c r="EX17" s="203" t="s">
        <v>151</v>
      </c>
      <c r="EY17" s="204">
        <v>0</v>
      </c>
      <c r="EZ17" s="203" t="s">
        <v>151</v>
      </c>
      <c r="FA17" s="201">
        <v>3</v>
      </c>
      <c r="FB17" s="201">
        <v>3</v>
      </c>
      <c r="FC17" s="202">
        <f t="shared" si="23"/>
        <v>1</v>
      </c>
      <c r="FD17" s="203" t="s">
        <v>151</v>
      </c>
      <c r="FE17" s="204">
        <v>0</v>
      </c>
      <c r="FF17" s="203" t="s">
        <v>151</v>
      </c>
      <c r="FG17" s="201">
        <v>0</v>
      </c>
      <c r="FH17" s="201">
        <v>0</v>
      </c>
      <c r="FI17" s="202" t="str">
        <f t="shared" si="24"/>
        <v/>
      </c>
      <c r="FJ17" s="203" t="s">
        <v>151</v>
      </c>
      <c r="FK17" s="204">
        <v>0</v>
      </c>
      <c r="FL17" s="203" t="s">
        <v>151</v>
      </c>
      <c r="FM17" s="201">
        <v>0</v>
      </c>
      <c r="FN17" s="201">
        <v>0</v>
      </c>
      <c r="FO17" s="202" t="str">
        <f t="shared" si="25"/>
        <v/>
      </c>
      <c r="FP17" s="203" t="s">
        <v>151</v>
      </c>
      <c r="FQ17" s="204">
        <v>0</v>
      </c>
      <c r="FR17" s="203" t="s">
        <v>151</v>
      </c>
      <c r="FS17" s="201">
        <v>4</v>
      </c>
      <c r="FT17" s="201">
        <v>4</v>
      </c>
      <c r="FU17" s="202">
        <f t="shared" si="7"/>
        <v>1</v>
      </c>
      <c r="FV17" s="203" t="s">
        <v>151</v>
      </c>
      <c r="FW17" s="204">
        <v>0</v>
      </c>
      <c r="FX17" s="203" t="s">
        <v>151</v>
      </c>
      <c r="FY17" s="201">
        <v>0</v>
      </c>
      <c r="FZ17" s="201">
        <v>0</v>
      </c>
      <c r="GA17" s="202" t="str">
        <f t="shared" si="8"/>
        <v/>
      </c>
      <c r="GB17" s="203" t="s">
        <v>151</v>
      </c>
      <c r="GC17" s="204">
        <v>0</v>
      </c>
      <c r="GD17" s="203" t="s">
        <v>151</v>
      </c>
      <c r="GE17" s="203" t="s">
        <v>437</v>
      </c>
      <c r="GF17" s="203" t="s">
        <v>439</v>
      </c>
      <c r="GG17" s="204" t="s">
        <v>152</v>
      </c>
      <c r="GH17" s="204" t="s">
        <v>152</v>
      </c>
      <c r="GI17" s="204" t="s">
        <v>152</v>
      </c>
      <c r="GJ17" s="204" t="s">
        <v>152</v>
      </c>
      <c r="GK17" s="203" t="s">
        <v>151</v>
      </c>
      <c r="GL17" s="204" t="s">
        <v>152</v>
      </c>
      <c r="GM17" s="204" t="s">
        <v>152</v>
      </c>
      <c r="GN17" s="204" t="s">
        <v>152</v>
      </c>
      <c r="GO17" s="204" t="s">
        <v>151</v>
      </c>
      <c r="GP17" s="204" t="s">
        <v>152</v>
      </c>
      <c r="GQ17" s="204" t="s">
        <v>152</v>
      </c>
      <c r="GR17" s="100"/>
      <c r="GS17" s="101"/>
      <c r="GT17" s="204" t="s">
        <v>152</v>
      </c>
      <c r="GU17" s="204"/>
      <c r="GV17" s="204"/>
      <c r="GW17" s="145" t="s">
        <v>152</v>
      </c>
      <c r="GX17" s="145" t="s">
        <v>149</v>
      </c>
      <c r="GY17" s="204" t="s">
        <v>149</v>
      </c>
      <c r="GZ17" s="204" t="s">
        <v>152</v>
      </c>
      <c r="HA17" s="203"/>
      <c r="HB17" s="203"/>
      <c r="HC17" s="203"/>
      <c r="HD17" s="203"/>
      <c r="HE17" s="203"/>
      <c r="HF17" s="203"/>
      <c r="HG17" s="204" t="s">
        <v>152</v>
      </c>
      <c r="HH17" s="203"/>
      <c r="HI17" s="203"/>
      <c r="HJ17" s="203"/>
      <c r="HK17" s="203"/>
      <c r="HL17" s="203"/>
      <c r="HM17" s="203"/>
      <c r="HN17" s="203"/>
      <c r="HO17" s="203"/>
      <c r="HP17" s="203"/>
      <c r="HQ17" s="203"/>
      <c r="HR17" s="204" t="s">
        <v>152</v>
      </c>
      <c r="HS17" s="203"/>
      <c r="HT17" s="203" t="s">
        <v>676</v>
      </c>
      <c r="HU17" s="203"/>
      <c r="HV17" s="204" t="s">
        <v>152</v>
      </c>
      <c r="HW17" s="203"/>
      <c r="HX17" s="203"/>
      <c r="HY17" s="203" t="s">
        <v>677</v>
      </c>
      <c r="HZ17" s="203"/>
      <c r="IA17" s="204" t="s">
        <v>152</v>
      </c>
      <c r="IB17" s="203"/>
      <c r="IC17" s="203"/>
      <c r="ID17" s="203" t="s">
        <v>678</v>
      </c>
      <c r="IE17" s="203"/>
      <c r="IF17" s="203"/>
      <c r="IG17" s="204" t="s">
        <v>457</v>
      </c>
      <c r="IH17" s="203"/>
      <c r="II17" s="203" t="s">
        <v>679</v>
      </c>
      <c r="IJ17" s="140" t="str">
        <f t="shared" si="2"/>
        <v>○</v>
      </c>
    </row>
    <row r="18" spans="1:244" s="93" customFormat="1" ht="99.75" customHeight="1">
      <c r="A18" s="97" t="s">
        <v>680</v>
      </c>
      <c r="B18" s="204" t="s">
        <v>166</v>
      </c>
      <c r="C18" s="198" t="s">
        <v>152</v>
      </c>
      <c r="D18" s="198" t="s">
        <v>151</v>
      </c>
      <c r="E18" s="203" t="s">
        <v>151</v>
      </c>
      <c r="F18" s="198" t="s">
        <v>152</v>
      </c>
      <c r="G18" s="198" t="s">
        <v>151</v>
      </c>
      <c r="H18" s="203" t="s">
        <v>151</v>
      </c>
      <c r="I18" s="198" t="s">
        <v>152</v>
      </c>
      <c r="J18" s="198" t="s">
        <v>151</v>
      </c>
      <c r="K18" s="203" t="s">
        <v>151</v>
      </c>
      <c r="L18" s="198" t="s">
        <v>152</v>
      </c>
      <c r="M18" s="198" t="s">
        <v>151</v>
      </c>
      <c r="N18" s="203" t="s">
        <v>151</v>
      </c>
      <c r="O18" s="198" t="s">
        <v>152</v>
      </c>
      <c r="P18" s="198" t="s">
        <v>151</v>
      </c>
      <c r="Q18" s="203" t="s">
        <v>151</v>
      </c>
      <c r="R18" s="198" t="s">
        <v>152</v>
      </c>
      <c r="S18" s="198" t="s">
        <v>151</v>
      </c>
      <c r="T18" s="203" t="s">
        <v>151</v>
      </c>
      <c r="U18" s="198" t="s">
        <v>160</v>
      </c>
      <c r="V18" s="198" t="s">
        <v>151</v>
      </c>
      <c r="W18" s="203" t="s">
        <v>151</v>
      </c>
      <c r="X18" s="204"/>
      <c r="Y18" s="204"/>
      <c r="Z18" s="204" t="s">
        <v>152</v>
      </c>
      <c r="AA18" s="98" t="s">
        <v>149</v>
      </c>
      <c r="AB18" s="204" t="s">
        <v>152</v>
      </c>
      <c r="AC18" s="204"/>
      <c r="AD18" s="98" t="s">
        <v>152</v>
      </c>
      <c r="AE18" s="99" t="s">
        <v>455</v>
      </c>
      <c r="AF18" s="203" t="s">
        <v>512</v>
      </c>
      <c r="AG18" s="203"/>
      <c r="AH18" s="198" t="s">
        <v>160</v>
      </c>
      <c r="AI18" s="198" t="s">
        <v>151</v>
      </c>
      <c r="AJ18" s="203" t="s">
        <v>151</v>
      </c>
      <c r="AK18" s="198" t="s">
        <v>152</v>
      </c>
      <c r="AL18" s="198" t="s">
        <v>151</v>
      </c>
      <c r="AM18" s="203" t="s">
        <v>151</v>
      </c>
      <c r="AN18" s="198" t="s">
        <v>152</v>
      </c>
      <c r="AO18" s="198" t="s">
        <v>151</v>
      </c>
      <c r="AP18" s="203" t="s">
        <v>151</v>
      </c>
      <c r="AQ18" s="198" t="s">
        <v>152</v>
      </c>
      <c r="AR18" s="198" t="s">
        <v>151</v>
      </c>
      <c r="AS18" s="203" t="s">
        <v>151</v>
      </c>
      <c r="AT18" s="198" t="s">
        <v>152</v>
      </c>
      <c r="AU18" s="198" t="s">
        <v>151</v>
      </c>
      <c r="AV18" s="203" t="s">
        <v>151</v>
      </c>
      <c r="AW18" s="201">
        <v>2</v>
      </c>
      <c r="AX18" s="201">
        <v>2</v>
      </c>
      <c r="AY18" s="202">
        <v>1</v>
      </c>
      <c r="AZ18" s="203" t="s">
        <v>151</v>
      </c>
      <c r="BA18" s="204">
        <v>0</v>
      </c>
      <c r="BB18" s="203" t="s">
        <v>151</v>
      </c>
      <c r="BC18" s="201">
        <v>2</v>
      </c>
      <c r="BD18" s="201">
        <v>2</v>
      </c>
      <c r="BE18" s="202">
        <v>1</v>
      </c>
      <c r="BF18" s="203"/>
      <c r="BG18" s="204">
        <v>0</v>
      </c>
      <c r="BH18" s="203" t="s">
        <v>151</v>
      </c>
      <c r="BI18" s="201">
        <v>1</v>
      </c>
      <c r="BJ18" s="201">
        <v>1</v>
      </c>
      <c r="BK18" s="202">
        <v>1</v>
      </c>
      <c r="BL18" s="203" t="s">
        <v>151</v>
      </c>
      <c r="BM18" s="204">
        <v>0</v>
      </c>
      <c r="BN18" s="203" t="s">
        <v>151</v>
      </c>
      <c r="BO18" s="201">
        <v>0</v>
      </c>
      <c r="BP18" s="201">
        <v>0</v>
      </c>
      <c r="BQ18" s="202" t="s">
        <v>149</v>
      </c>
      <c r="BR18" s="203" t="s">
        <v>151</v>
      </c>
      <c r="BS18" s="204">
        <v>0</v>
      </c>
      <c r="BT18" s="203" t="s">
        <v>151</v>
      </c>
      <c r="BU18" s="201">
        <v>0</v>
      </c>
      <c r="BV18" s="201">
        <v>0</v>
      </c>
      <c r="BW18" s="202" t="s">
        <v>149</v>
      </c>
      <c r="BX18" s="203" t="s">
        <v>151</v>
      </c>
      <c r="BY18" s="204">
        <v>0</v>
      </c>
      <c r="BZ18" s="203" t="s">
        <v>151</v>
      </c>
      <c r="CA18" s="201">
        <v>0</v>
      </c>
      <c r="CB18" s="201">
        <v>0</v>
      </c>
      <c r="CC18" s="202" t="s">
        <v>149</v>
      </c>
      <c r="CD18" s="203" t="s">
        <v>151</v>
      </c>
      <c r="CE18" s="204">
        <v>0</v>
      </c>
      <c r="CF18" s="203" t="s">
        <v>151</v>
      </c>
      <c r="CG18" s="201">
        <v>1</v>
      </c>
      <c r="CH18" s="201">
        <v>1</v>
      </c>
      <c r="CI18" s="202">
        <v>1</v>
      </c>
      <c r="CJ18" s="203" t="s">
        <v>151</v>
      </c>
      <c r="CK18" s="204">
        <v>0</v>
      </c>
      <c r="CL18" s="203" t="s">
        <v>151</v>
      </c>
      <c r="CM18" s="201">
        <v>1</v>
      </c>
      <c r="CN18" s="201">
        <v>1</v>
      </c>
      <c r="CO18" s="202">
        <v>1</v>
      </c>
      <c r="CP18" s="203" t="s">
        <v>151</v>
      </c>
      <c r="CQ18" s="204">
        <v>0</v>
      </c>
      <c r="CR18" s="203" t="s">
        <v>151</v>
      </c>
      <c r="CS18" s="201">
        <v>1</v>
      </c>
      <c r="CT18" s="201">
        <v>1</v>
      </c>
      <c r="CU18" s="202">
        <v>1</v>
      </c>
      <c r="CV18" s="203" t="s">
        <v>151</v>
      </c>
      <c r="CW18" s="204">
        <v>0</v>
      </c>
      <c r="CX18" s="203" t="s">
        <v>151</v>
      </c>
      <c r="CY18" s="201">
        <v>1</v>
      </c>
      <c r="CZ18" s="201">
        <v>0</v>
      </c>
      <c r="DA18" s="202">
        <v>0</v>
      </c>
      <c r="DB18" s="203" t="s">
        <v>262</v>
      </c>
      <c r="DC18" s="204">
        <v>1</v>
      </c>
      <c r="DD18" s="203" t="s">
        <v>263</v>
      </c>
      <c r="DE18" s="201">
        <v>10</v>
      </c>
      <c r="DF18" s="201">
        <v>10</v>
      </c>
      <c r="DG18" s="202">
        <v>1</v>
      </c>
      <c r="DH18" s="203" t="s">
        <v>151</v>
      </c>
      <c r="DI18" s="204">
        <v>0</v>
      </c>
      <c r="DJ18" s="203" t="s">
        <v>151</v>
      </c>
      <c r="DK18" s="201">
        <v>63</v>
      </c>
      <c r="DL18" s="201">
        <v>24</v>
      </c>
      <c r="DM18" s="202">
        <v>0.38095238095238093</v>
      </c>
      <c r="DN18" s="203" t="s">
        <v>288</v>
      </c>
      <c r="DO18" s="204">
        <v>0</v>
      </c>
      <c r="DP18" s="203" t="s">
        <v>151</v>
      </c>
      <c r="DQ18" s="201">
        <v>1</v>
      </c>
      <c r="DR18" s="201">
        <v>1</v>
      </c>
      <c r="DS18" s="202">
        <v>1</v>
      </c>
      <c r="DT18" s="203" t="s">
        <v>151</v>
      </c>
      <c r="DU18" s="203">
        <v>0</v>
      </c>
      <c r="DV18" s="203" t="s">
        <v>151</v>
      </c>
      <c r="DW18" s="201">
        <v>0</v>
      </c>
      <c r="DX18" s="201">
        <v>0</v>
      </c>
      <c r="DY18" s="202" t="s">
        <v>149</v>
      </c>
      <c r="DZ18" s="203" t="s">
        <v>151</v>
      </c>
      <c r="EA18" s="204">
        <v>0</v>
      </c>
      <c r="EB18" s="203" t="s">
        <v>151</v>
      </c>
      <c r="EC18" s="201">
        <v>1</v>
      </c>
      <c r="ED18" s="201">
        <v>0</v>
      </c>
      <c r="EE18" s="202">
        <v>0</v>
      </c>
      <c r="EF18" s="203" t="s">
        <v>305</v>
      </c>
      <c r="EG18" s="204">
        <v>1</v>
      </c>
      <c r="EH18" s="203" t="s">
        <v>306</v>
      </c>
      <c r="EI18" s="201">
        <v>6</v>
      </c>
      <c r="EJ18" s="201">
        <v>4</v>
      </c>
      <c r="EK18" s="202">
        <v>0.66666666666666663</v>
      </c>
      <c r="EL18" s="203" t="s">
        <v>350</v>
      </c>
      <c r="EM18" s="204">
        <v>2</v>
      </c>
      <c r="EN18" s="203" t="s">
        <v>351</v>
      </c>
      <c r="EO18" s="201">
        <v>0</v>
      </c>
      <c r="EP18" s="201">
        <v>0</v>
      </c>
      <c r="EQ18" s="202" t="s">
        <v>149</v>
      </c>
      <c r="ER18" s="203" t="s">
        <v>151</v>
      </c>
      <c r="ES18" s="204">
        <v>0</v>
      </c>
      <c r="ET18" s="203" t="s">
        <v>151</v>
      </c>
      <c r="EU18" s="201">
        <v>1</v>
      </c>
      <c r="EV18" s="201">
        <v>1</v>
      </c>
      <c r="EW18" s="202">
        <v>1</v>
      </c>
      <c r="EX18" s="203" t="s">
        <v>151</v>
      </c>
      <c r="EY18" s="204">
        <v>0</v>
      </c>
      <c r="EZ18" s="203" t="s">
        <v>151</v>
      </c>
      <c r="FA18" s="201">
        <v>4</v>
      </c>
      <c r="FB18" s="201">
        <v>2</v>
      </c>
      <c r="FC18" s="202">
        <v>0.5</v>
      </c>
      <c r="FD18" s="203" t="s">
        <v>577</v>
      </c>
      <c r="FE18" s="204">
        <v>2</v>
      </c>
      <c r="FF18" s="203" t="s">
        <v>389</v>
      </c>
      <c r="FG18" s="201">
        <v>0</v>
      </c>
      <c r="FH18" s="201">
        <v>0</v>
      </c>
      <c r="FI18" s="202" t="s">
        <v>149</v>
      </c>
      <c r="FJ18" s="203" t="s">
        <v>151</v>
      </c>
      <c r="FK18" s="204">
        <v>0</v>
      </c>
      <c r="FL18" s="203" t="s">
        <v>151</v>
      </c>
      <c r="FM18" s="201">
        <v>0</v>
      </c>
      <c r="FN18" s="201">
        <v>0</v>
      </c>
      <c r="FO18" s="202" t="s">
        <v>149</v>
      </c>
      <c r="FP18" s="203" t="s">
        <v>151</v>
      </c>
      <c r="FQ18" s="204">
        <v>0</v>
      </c>
      <c r="FR18" s="203" t="s">
        <v>151</v>
      </c>
      <c r="FS18" s="201">
        <v>0</v>
      </c>
      <c r="FT18" s="201">
        <v>0</v>
      </c>
      <c r="FU18" s="202" t="s">
        <v>149</v>
      </c>
      <c r="FV18" s="203" t="s">
        <v>151</v>
      </c>
      <c r="FW18" s="204">
        <v>0</v>
      </c>
      <c r="FX18" s="203" t="s">
        <v>151</v>
      </c>
      <c r="FY18" s="201">
        <v>1</v>
      </c>
      <c r="FZ18" s="201">
        <v>1</v>
      </c>
      <c r="GA18" s="202">
        <v>1</v>
      </c>
      <c r="GB18" s="203" t="s">
        <v>151</v>
      </c>
      <c r="GC18" s="204">
        <v>0</v>
      </c>
      <c r="GD18" s="203" t="s">
        <v>151</v>
      </c>
      <c r="GE18" s="203" t="s">
        <v>437</v>
      </c>
      <c r="GF18" s="203" t="s">
        <v>439</v>
      </c>
      <c r="GG18" s="204" t="s">
        <v>152</v>
      </c>
      <c r="GH18" s="204" t="s">
        <v>152</v>
      </c>
      <c r="GI18" s="204" t="s">
        <v>152</v>
      </c>
      <c r="GJ18" s="204" t="s">
        <v>152</v>
      </c>
      <c r="GK18" s="203" t="s">
        <v>151</v>
      </c>
      <c r="GL18" s="204" t="s">
        <v>152</v>
      </c>
      <c r="GM18" s="204" t="s">
        <v>152</v>
      </c>
      <c r="GN18" s="204" t="s">
        <v>151</v>
      </c>
      <c r="GO18" s="204" t="s">
        <v>151</v>
      </c>
      <c r="GP18" s="204" t="s">
        <v>152</v>
      </c>
      <c r="GQ18" s="204" t="s">
        <v>151</v>
      </c>
      <c r="GR18" s="100" t="s">
        <v>152</v>
      </c>
      <c r="GS18" s="101"/>
      <c r="GT18" s="204" t="s">
        <v>152</v>
      </c>
      <c r="GU18" s="204"/>
      <c r="GV18" s="204"/>
      <c r="GW18" s="145" t="s">
        <v>152</v>
      </c>
      <c r="GX18" s="145" t="s">
        <v>149</v>
      </c>
      <c r="GY18" s="204" t="s">
        <v>149</v>
      </c>
      <c r="GZ18" s="204" t="s">
        <v>457</v>
      </c>
      <c r="HA18" s="203"/>
      <c r="HB18" s="203"/>
      <c r="HC18" s="203"/>
      <c r="HD18" s="203"/>
      <c r="HE18" s="203"/>
      <c r="HF18" s="203"/>
      <c r="HG18" s="204" t="s">
        <v>457</v>
      </c>
      <c r="HH18" s="203"/>
      <c r="HI18" s="203"/>
      <c r="HJ18" s="203"/>
      <c r="HK18" s="203"/>
      <c r="HL18" s="203"/>
      <c r="HM18" s="203"/>
      <c r="HN18" s="204" t="s">
        <v>457</v>
      </c>
      <c r="HO18" s="203"/>
      <c r="HP18" s="203"/>
      <c r="HQ18" s="203"/>
      <c r="HR18" s="203"/>
      <c r="HS18" s="203"/>
      <c r="HT18" s="203"/>
      <c r="HU18" s="204" t="s">
        <v>457</v>
      </c>
      <c r="HV18" s="203"/>
      <c r="HW18" s="203"/>
      <c r="HX18" s="203"/>
      <c r="HY18" s="203"/>
      <c r="HZ18" s="204" t="s">
        <v>457</v>
      </c>
      <c r="IA18" s="203"/>
      <c r="IB18" s="203"/>
      <c r="IC18" s="203"/>
      <c r="ID18" s="203"/>
      <c r="IE18" s="204" t="s">
        <v>457</v>
      </c>
      <c r="IF18" s="203"/>
      <c r="IG18" s="203"/>
      <c r="IH18" s="203"/>
      <c r="II18" s="203"/>
      <c r="IJ18" s="140" t="str">
        <f t="shared" si="2"/>
        <v>○</v>
      </c>
    </row>
    <row r="19" spans="1:244" s="93" customFormat="1" ht="118.8">
      <c r="A19" s="97" t="s">
        <v>167</v>
      </c>
      <c r="B19" s="204" t="s">
        <v>168</v>
      </c>
      <c r="C19" s="198" t="s">
        <v>152</v>
      </c>
      <c r="D19" s="198" t="s">
        <v>151</v>
      </c>
      <c r="E19" s="203" t="s">
        <v>151</v>
      </c>
      <c r="F19" s="198" t="s">
        <v>152</v>
      </c>
      <c r="G19" s="198" t="s">
        <v>151</v>
      </c>
      <c r="H19" s="203" t="s">
        <v>151</v>
      </c>
      <c r="I19" s="198" t="s">
        <v>152</v>
      </c>
      <c r="J19" s="198" t="s">
        <v>151</v>
      </c>
      <c r="K19" s="203" t="s">
        <v>151</v>
      </c>
      <c r="L19" s="198" t="s">
        <v>152</v>
      </c>
      <c r="M19" s="198" t="s">
        <v>151</v>
      </c>
      <c r="N19" s="203" t="s">
        <v>151</v>
      </c>
      <c r="O19" s="198" t="s">
        <v>152</v>
      </c>
      <c r="P19" s="198" t="s">
        <v>151</v>
      </c>
      <c r="Q19" s="203" t="s">
        <v>151</v>
      </c>
      <c r="R19" s="198" t="s">
        <v>152</v>
      </c>
      <c r="S19" s="198"/>
      <c r="T19" s="203"/>
      <c r="U19" s="198" t="s">
        <v>152</v>
      </c>
      <c r="V19" s="198"/>
      <c r="W19" s="203"/>
      <c r="X19" s="204"/>
      <c r="Y19" s="204"/>
      <c r="Z19" s="204" t="s">
        <v>152</v>
      </c>
      <c r="AA19" s="98" t="str">
        <f>IF(OR(X19="○",Y19="○"),"○","")</f>
        <v/>
      </c>
      <c r="AB19" s="204" t="s">
        <v>152</v>
      </c>
      <c r="AC19" s="204"/>
      <c r="AD19" s="98" t="str">
        <f t="shared" ref="AD19:AD24" si="26">IF(AND(Z19="○",AB19="○"),"○","")</f>
        <v>○</v>
      </c>
      <c r="AE19" s="99" t="s">
        <v>455</v>
      </c>
      <c r="AF19" s="203" t="s">
        <v>230</v>
      </c>
      <c r="AG19" s="203"/>
      <c r="AH19" s="198" t="s">
        <v>160</v>
      </c>
      <c r="AI19" s="198" t="s">
        <v>151</v>
      </c>
      <c r="AJ19" s="203" t="s">
        <v>151</v>
      </c>
      <c r="AK19" s="198" t="s">
        <v>152</v>
      </c>
      <c r="AL19" s="198" t="s">
        <v>151</v>
      </c>
      <c r="AM19" s="203" t="s">
        <v>151</v>
      </c>
      <c r="AN19" s="198" t="s">
        <v>152</v>
      </c>
      <c r="AO19" s="198" t="s">
        <v>151</v>
      </c>
      <c r="AP19" s="203" t="s">
        <v>151</v>
      </c>
      <c r="AQ19" s="198" t="s">
        <v>152</v>
      </c>
      <c r="AR19" s="198" t="s">
        <v>151</v>
      </c>
      <c r="AS19" s="203" t="s">
        <v>151</v>
      </c>
      <c r="AT19" s="198" t="s">
        <v>152</v>
      </c>
      <c r="AU19" s="198" t="s">
        <v>151</v>
      </c>
      <c r="AV19" s="203" t="s">
        <v>151</v>
      </c>
      <c r="AW19" s="201">
        <v>2</v>
      </c>
      <c r="AX19" s="201">
        <v>2</v>
      </c>
      <c r="AY19" s="202">
        <f t="shared" ref="AY19:AY26" si="27">IF(ISERROR(AX19/AW19),"",AX19/AW19)</f>
        <v>1</v>
      </c>
      <c r="AZ19" s="203" t="s">
        <v>151</v>
      </c>
      <c r="BA19" s="204">
        <v>0</v>
      </c>
      <c r="BB19" s="203" t="s">
        <v>151</v>
      </c>
      <c r="BC19" s="201">
        <v>10</v>
      </c>
      <c r="BD19" s="201">
        <v>9</v>
      </c>
      <c r="BE19" s="202">
        <f t="shared" ref="BE19:BE28" si="28">IF(ISERROR(BD19/BC19),"",BD19/BC19)</f>
        <v>0.9</v>
      </c>
      <c r="BF19" s="203" t="s">
        <v>775</v>
      </c>
      <c r="BG19" s="204">
        <v>0</v>
      </c>
      <c r="BH19" s="203" t="s">
        <v>151</v>
      </c>
      <c r="BI19" s="201">
        <v>1</v>
      </c>
      <c r="BJ19" s="201">
        <v>1</v>
      </c>
      <c r="BK19" s="202">
        <f t="shared" ref="BK19:BK28" si="29">IF(ISERROR(BJ19/BI19),"",BJ19/BI19)</f>
        <v>1</v>
      </c>
      <c r="BL19" s="203" t="s">
        <v>151</v>
      </c>
      <c r="BM19" s="204">
        <v>0</v>
      </c>
      <c r="BN19" s="203" t="s">
        <v>151</v>
      </c>
      <c r="BO19" s="201">
        <v>0</v>
      </c>
      <c r="BP19" s="201">
        <v>0</v>
      </c>
      <c r="BQ19" s="202" t="str">
        <f t="shared" ref="BQ19:BQ28" si="30">IF(ISERROR(BP19/BO19),"",BP19/BO19)</f>
        <v/>
      </c>
      <c r="BR19" s="203" t="s">
        <v>151</v>
      </c>
      <c r="BS19" s="204">
        <v>0</v>
      </c>
      <c r="BT19" s="203" t="s">
        <v>151</v>
      </c>
      <c r="BU19" s="201">
        <v>0</v>
      </c>
      <c r="BV19" s="201">
        <v>0</v>
      </c>
      <c r="BW19" s="202" t="str">
        <f t="shared" ref="BW19:BW28" si="31">IF(ISERROR(BV19/BU19),"",BV19/BU19)</f>
        <v/>
      </c>
      <c r="BX19" s="203" t="s">
        <v>151</v>
      </c>
      <c r="BY19" s="204">
        <v>0</v>
      </c>
      <c r="BZ19" s="203" t="s">
        <v>151</v>
      </c>
      <c r="CA19" s="201">
        <v>0</v>
      </c>
      <c r="CB19" s="201">
        <v>0</v>
      </c>
      <c r="CC19" s="202" t="str">
        <f t="shared" ref="CC19:CC28" si="32">IF(ISERROR(CB19/CA19),"",CB19/CA19)</f>
        <v/>
      </c>
      <c r="CD19" s="203" t="s">
        <v>151</v>
      </c>
      <c r="CE19" s="204">
        <v>0</v>
      </c>
      <c r="CF19" s="203" t="s">
        <v>151</v>
      </c>
      <c r="CG19" s="201">
        <v>1</v>
      </c>
      <c r="CH19" s="201">
        <v>1</v>
      </c>
      <c r="CI19" s="202">
        <f t="shared" ref="CI19:CI27" si="33">IF(ISERROR(CH19/CG19),"",CH19/CG19)</f>
        <v>1</v>
      </c>
      <c r="CJ19" s="203" t="s">
        <v>151</v>
      </c>
      <c r="CK19" s="204">
        <v>0</v>
      </c>
      <c r="CL19" s="203" t="s">
        <v>151</v>
      </c>
      <c r="CM19" s="201">
        <v>0</v>
      </c>
      <c r="CN19" s="201">
        <v>0</v>
      </c>
      <c r="CO19" s="202" t="str">
        <f t="shared" ref="CO19:CO28" si="34">IF(ISERROR(CN19/CM19),"",CN19/CM19)</f>
        <v/>
      </c>
      <c r="CP19" s="203" t="s">
        <v>151</v>
      </c>
      <c r="CQ19" s="204">
        <v>0</v>
      </c>
      <c r="CR19" s="203" t="s">
        <v>151</v>
      </c>
      <c r="CS19" s="201">
        <v>1</v>
      </c>
      <c r="CT19" s="201">
        <v>1</v>
      </c>
      <c r="CU19" s="202">
        <f t="shared" ref="CU19:CU28" si="35">IF(ISERROR(CT19/CS19),"",CT19/CS19)</f>
        <v>1</v>
      </c>
      <c r="CV19" s="203" t="s">
        <v>151</v>
      </c>
      <c r="CW19" s="204">
        <v>0</v>
      </c>
      <c r="CX19" s="203" t="s">
        <v>151</v>
      </c>
      <c r="CY19" s="201">
        <v>2</v>
      </c>
      <c r="CZ19" s="201">
        <v>0</v>
      </c>
      <c r="DA19" s="202">
        <f t="shared" ref="DA19:DA28" si="36">IF(ISERROR(CZ19/CY19),"",CZ19/CY19)</f>
        <v>0</v>
      </c>
      <c r="DB19" s="203" t="s">
        <v>264</v>
      </c>
      <c r="DC19" s="204">
        <v>2</v>
      </c>
      <c r="DD19" s="203" t="s">
        <v>265</v>
      </c>
      <c r="DE19" s="201">
        <v>16</v>
      </c>
      <c r="DF19" s="201">
        <v>13</v>
      </c>
      <c r="DG19" s="202">
        <f t="shared" ref="DG19:DG27" si="37">IF(ISERROR(DF19/DE19),"",DF19/DE19)</f>
        <v>0.8125</v>
      </c>
      <c r="DH19" s="203" t="s">
        <v>264</v>
      </c>
      <c r="DI19" s="204">
        <v>1</v>
      </c>
      <c r="DJ19" s="203" t="s">
        <v>513</v>
      </c>
      <c r="DK19" s="201">
        <v>1</v>
      </c>
      <c r="DL19" s="201">
        <v>0</v>
      </c>
      <c r="DM19" s="202">
        <f t="shared" ref="DM19:DM28" si="38">IF(ISERROR(DL19/DK19),"",DL19/DK19)</f>
        <v>0</v>
      </c>
      <c r="DN19" s="203" t="s">
        <v>514</v>
      </c>
      <c r="DO19" s="204">
        <v>0</v>
      </c>
      <c r="DP19" s="203" t="s">
        <v>151</v>
      </c>
      <c r="DQ19" s="201">
        <v>1</v>
      </c>
      <c r="DR19" s="201">
        <v>0</v>
      </c>
      <c r="DS19" s="202">
        <f t="shared" ref="DS19:DS28" si="39">IF(ISERROR(DR19/DQ19),"",DR19/DQ19)</f>
        <v>0</v>
      </c>
      <c r="DT19" s="203" t="s">
        <v>264</v>
      </c>
      <c r="DU19" s="203">
        <v>0</v>
      </c>
      <c r="DV19" s="203" t="s">
        <v>151</v>
      </c>
      <c r="DW19" s="201">
        <v>0</v>
      </c>
      <c r="DX19" s="201">
        <v>0</v>
      </c>
      <c r="DY19" s="202" t="str">
        <f t="shared" ref="DY19:DY28" si="40">IF(ISERROR(DX19/DW19),"",DX19/DW19)</f>
        <v/>
      </c>
      <c r="DZ19" s="203" t="s">
        <v>151</v>
      </c>
      <c r="EA19" s="204">
        <v>0</v>
      </c>
      <c r="EB19" s="203" t="s">
        <v>151</v>
      </c>
      <c r="EC19" s="201">
        <v>1</v>
      </c>
      <c r="ED19" s="201">
        <v>0</v>
      </c>
      <c r="EE19" s="202">
        <f t="shared" ref="EE19:EE28" si="41">IF(ISERROR(ED19/EC19),"",ED19/EC19)</f>
        <v>0</v>
      </c>
      <c r="EF19" s="203" t="s">
        <v>264</v>
      </c>
      <c r="EG19" s="204">
        <v>1</v>
      </c>
      <c r="EH19" s="203" t="s">
        <v>515</v>
      </c>
      <c r="EI19" s="201">
        <v>9</v>
      </c>
      <c r="EJ19" s="201">
        <v>1</v>
      </c>
      <c r="EK19" s="202">
        <f t="shared" ref="EK19:EK27" si="42">IF(ISERROR(EJ19/EI19),"",EJ19/EI19)</f>
        <v>0.1111111111111111</v>
      </c>
      <c r="EL19" s="203" t="s">
        <v>264</v>
      </c>
      <c r="EM19" s="204">
        <v>8</v>
      </c>
      <c r="EN19" s="203" t="s">
        <v>352</v>
      </c>
      <c r="EO19" s="201">
        <v>0</v>
      </c>
      <c r="EP19" s="201">
        <v>0</v>
      </c>
      <c r="EQ19" s="202" t="str">
        <f t="shared" ref="EQ19:EQ28" si="43">IF(ISERROR(EP19/EO19),"",EP19/EO19)</f>
        <v/>
      </c>
      <c r="ER19" s="203" t="s">
        <v>151</v>
      </c>
      <c r="ES19" s="204">
        <v>0</v>
      </c>
      <c r="ET19" s="203" t="s">
        <v>151</v>
      </c>
      <c r="EU19" s="201">
        <v>3</v>
      </c>
      <c r="EV19" s="201">
        <v>2</v>
      </c>
      <c r="EW19" s="202">
        <f t="shared" ref="EW19:EW28" si="44">IF(ISERROR(EV19/EU19),"",EV19/EU19)</f>
        <v>0.66666666666666663</v>
      </c>
      <c r="EX19" s="203" t="s">
        <v>383</v>
      </c>
      <c r="EY19" s="204">
        <v>1</v>
      </c>
      <c r="EZ19" s="203" t="s">
        <v>384</v>
      </c>
      <c r="FA19" s="201">
        <v>3</v>
      </c>
      <c r="FB19" s="201">
        <v>1</v>
      </c>
      <c r="FC19" s="202">
        <f t="shared" ref="FC19:FC28" si="45">IF(ISERROR(FB19/FA19),"",FB19/FA19)</f>
        <v>0.33333333333333331</v>
      </c>
      <c r="FD19" s="203" t="s">
        <v>264</v>
      </c>
      <c r="FE19" s="204">
        <v>2</v>
      </c>
      <c r="FF19" s="203" t="s">
        <v>516</v>
      </c>
      <c r="FG19" s="201">
        <v>0</v>
      </c>
      <c r="FH19" s="201">
        <v>0</v>
      </c>
      <c r="FI19" s="202" t="str">
        <f t="shared" ref="FI19:FI28" si="46">IF(ISERROR(FH19/FG19),"",FH19/FG19)</f>
        <v/>
      </c>
      <c r="FJ19" s="203" t="s">
        <v>151</v>
      </c>
      <c r="FK19" s="204">
        <v>0</v>
      </c>
      <c r="FL19" s="203" t="s">
        <v>151</v>
      </c>
      <c r="FM19" s="201">
        <v>0</v>
      </c>
      <c r="FN19" s="201">
        <v>0</v>
      </c>
      <c r="FO19" s="202" t="str">
        <f t="shared" ref="FO19:FO28" si="47">IF(ISERROR(FN19/FM19),"",FN19/FM19)</f>
        <v/>
      </c>
      <c r="FP19" s="203" t="s">
        <v>151</v>
      </c>
      <c r="FQ19" s="204">
        <v>0</v>
      </c>
      <c r="FR19" s="203" t="s">
        <v>151</v>
      </c>
      <c r="FS19" s="201">
        <v>2</v>
      </c>
      <c r="FT19" s="201">
        <v>2</v>
      </c>
      <c r="FU19" s="202">
        <f t="shared" ref="FU19:FU27" si="48">IF(ISERROR(FT19/FS19),"",FT19/FS19)</f>
        <v>1</v>
      </c>
      <c r="FV19" s="203" t="s">
        <v>151</v>
      </c>
      <c r="FW19" s="204">
        <v>0</v>
      </c>
      <c r="FX19" s="203" t="s">
        <v>151</v>
      </c>
      <c r="FY19" s="201">
        <v>1</v>
      </c>
      <c r="FZ19" s="201">
        <v>1</v>
      </c>
      <c r="GA19" s="202">
        <f t="shared" ref="GA19:GA28" si="49">IF(ISERROR(FZ19/FY19),"",FZ19/FY19)</f>
        <v>1</v>
      </c>
      <c r="GB19" s="203" t="s">
        <v>151</v>
      </c>
      <c r="GC19" s="204">
        <v>0</v>
      </c>
      <c r="GD19" s="203" t="s">
        <v>151</v>
      </c>
      <c r="GE19" s="203" t="s">
        <v>437</v>
      </c>
      <c r="GF19" s="203" t="s">
        <v>439</v>
      </c>
      <c r="GG19" s="204" t="s">
        <v>152</v>
      </c>
      <c r="GH19" s="204" t="s">
        <v>152</v>
      </c>
      <c r="GI19" s="204" t="s">
        <v>152</v>
      </c>
      <c r="GJ19" s="204" t="s">
        <v>152</v>
      </c>
      <c r="GK19" s="203" t="s">
        <v>151</v>
      </c>
      <c r="GL19" s="204" t="s">
        <v>152</v>
      </c>
      <c r="GM19" s="204" t="s">
        <v>152</v>
      </c>
      <c r="GN19" s="204" t="s">
        <v>152</v>
      </c>
      <c r="GO19" s="204" t="s">
        <v>151</v>
      </c>
      <c r="GP19" s="204" t="s">
        <v>151</v>
      </c>
      <c r="GQ19" s="204" t="s">
        <v>151</v>
      </c>
      <c r="GR19" s="100" t="s">
        <v>152</v>
      </c>
      <c r="GS19" s="101"/>
      <c r="GT19" s="204" t="s">
        <v>152</v>
      </c>
      <c r="GU19" s="204"/>
      <c r="GV19" s="204"/>
      <c r="GW19" s="145" t="s">
        <v>152</v>
      </c>
      <c r="GX19" s="145" t="s">
        <v>149</v>
      </c>
      <c r="GY19" s="204" t="s">
        <v>149</v>
      </c>
      <c r="GZ19" s="204" t="s">
        <v>457</v>
      </c>
      <c r="HA19" s="203"/>
      <c r="HB19" s="203"/>
      <c r="HC19" s="203"/>
      <c r="HD19" s="203"/>
      <c r="HE19" s="203"/>
      <c r="HF19" s="203"/>
      <c r="HG19" s="204" t="s">
        <v>457</v>
      </c>
      <c r="HH19" s="203"/>
      <c r="HI19" s="203"/>
      <c r="HJ19" s="203"/>
      <c r="HK19" s="203"/>
      <c r="HL19" s="203"/>
      <c r="HM19" s="203"/>
      <c r="HN19" s="204" t="s">
        <v>457</v>
      </c>
      <c r="HO19" s="203"/>
      <c r="HP19" s="203"/>
      <c r="HQ19" s="203"/>
      <c r="HR19" s="203"/>
      <c r="HS19" s="203"/>
      <c r="HT19" s="203"/>
      <c r="HU19" s="204" t="s">
        <v>457</v>
      </c>
      <c r="HV19" s="203"/>
      <c r="HW19" s="203"/>
      <c r="HX19" s="203"/>
      <c r="HY19" s="203"/>
      <c r="HZ19" s="204" t="s">
        <v>457</v>
      </c>
      <c r="IA19" s="203"/>
      <c r="IB19" s="203"/>
      <c r="IC19" s="203"/>
      <c r="ID19" s="203"/>
      <c r="IE19" s="204" t="s">
        <v>457</v>
      </c>
      <c r="IF19" s="203"/>
      <c r="IG19" s="203"/>
      <c r="IH19" s="203"/>
      <c r="II19" s="203"/>
      <c r="IJ19" s="140" t="str">
        <f t="shared" si="2"/>
        <v>○</v>
      </c>
    </row>
    <row r="20" spans="1:244" s="103" customFormat="1" ht="120" customHeight="1">
      <c r="A20" s="156" t="s">
        <v>594</v>
      </c>
      <c r="B20" s="157" t="s">
        <v>169</v>
      </c>
      <c r="C20" s="158" t="s">
        <v>152</v>
      </c>
      <c r="D20" s="158" t="s">
        <v>151</v>
      </c>
      <c r="E20" s="159" t="s">
        <v>151</v>
      </c>
      <c r="F20" s="158" t="s">
        <v>152</v>
      </c>
      <c r="G20" s="158" t="s">
        <v>151</v>
      </c>
      <c r="H20" s="159" t="s">
        <v>151</v>
      </c>
      <c r="I20" s="158" t="s">
        <v>152</v>
      </c>
      <c r="J20" s="158" t="s">
        <v>151</v>
      </c>
      <c r="K20" s="159" t="s">
        <v>151</v>
      </c>
      <c r="L20" s="158" t="s">
        <v>152</v>
      </c>
      <c r="M20" s="158" t="s">
        <v>151</v>
      </c>
      <c r="N20" s="159" t="s">
        <v>151</v>
      </c>
      <c r="O20" s="158" t="s">
        <v>152</v>
      </c>
      <c r="P20" s="158" t="s">
        <v>151</v>
      </c>
      <c r="Q20" s="159" t="s">
        <v>151</v>
      </c>
      <c r="R20" s="158" t="s">
        <v>152</v>
      </c>
      <c r="S20" s="158" t="s">
        <v>151</v>
      </c>
      <c r="T20" s="159" t="s">
        <v>151</v>
      </c>
      <c r="U20" s="158" t="s">
        <v>160</v>
      </c>
      <c r="V20" s="158" t="s">
        <v>151</v>
      </c>
      <c r="W20" s="159" t="s">
        <v>151</v>
      </c>
      <c r="X20" s="157"/>
      <c r="Y20" s="157" t="s">
        <v>152</v>
      </c>
      <c r="Z20" s="157"/>
      <c r="AA20" s="160" t="str">
        <f t="shared" ref="AA20:AA24" si="50">IF(OR(X20="○",Y20="○"),"○","")</f>
        <v>○</v>
      </c>
      <c r="AB20" s="157" t="s">
        <v>152</v>
      </c>
      <c r="AC20" s="157"/>
      <c r="AD20" s="160" t="str">
        <f t="shared" si="26"/>
        <v/>
      </c>
      <c r="AE20" s="161"/>
      <c r="AF20" s="159"/>
      <c r="AG20" s="159"/>
      <c r="AH20" s="158" t="s">
        <v>160</v>
      </c>
      <c r="AI20" s="158" t="s">
        <v>151</v>
      </c>
      <c r="AJ20" s="159" t="s">
        <v>151</v>
      </c>
      <c r="AK20" s="158" t="s">
        <v>152</v>
      </c>
      <c r="AL20" s="158" t="s">
        <v>151</v>
      </c>
      <c r="AM20" s="159" t="s">
        <v>151</v>
      </c>
      <c r="AN20" s="158" t="s">
        <v>152</v>
      </c>
      <c r="AO20" s="158" t="s">
        <v>151</v>
      </c>
      <c r="AP20" s="159" t="s">
        <v>151</v>
      </c>
      <c r="AQ20" s="158" t="s">
        <v>152</v>
      </c>
      <c r="AR20" s="158" t="s">
        <v>151</v>
      </c>
      <c r="AS20" s="159" t="s">
        <v>151</v>
      </c>
      <c r="AT20" s="158" t="s">
        <v>152</v>
      </c>
      <c r="AU20" s="158" t="s">
        <v>151</v>
      </c>
      <c r="AV20" s="159" t="s">
        <v>151</v>
      </c>
      <c r="AW20" s="162">
        <v>0</v>
      </c>
      <c r="AX20" s="162">
        <v>0</v>
      </c>
      <c r="AY20" s="163" t="str">
        <f t="shared" si="27"/>
        <v/>
      </c>
      <c r="AZ20" s="159" t="s">
        <v>151</v>
      </c>
      <c r="BA20" s="157">
        <v>0</v>
      </c>
      <c r="BB20" s="159" t="s">
        <v>151</v>
      </c>
      <c r="BC20" s="162">
        <v>1</v>
      </c>
      <c r="BD20" s="162">
        <v>1</v>
      </c>
      <c r="BE20" s="163">
        <f t="shared" si="28"/>
        <v>1</v>
      </c>
      <c r="BF20" s="159" t="s">
        <v>151</v>
      </c>
      <c r="BG20" s="157">
        <v>0</v>
      </c>
      <c r="BH20" s="159" t="s">
        <v>151</v>
      </c>
      <c r="BI20" s="162">
        <v>0</v>
      </c>
      <c r="BJ20" s="162">
        <v>0</v>
      </c>
      <c r="BK20" s="163" t="str">
        <f t="shared" si="29"/>
        <v/>
      </c>
      <c r="BL20" s="159" t="s">
        <v>151</v>
      </c>
      <c r="BM20" s="157">
        <v>0</v>
      </c>
      <c r="BN20" s="159" t="s">
        <v>151</v>
      </c>
      <c r="BO20" s="162">
        <v>0</v>
      </c>
      <c r="BP20" s="162">
        <v>0</v>
      </c>
      <c r="BQ20" s="163" t="str">
        <f t="shared" si="30"/>
        <v/>
      </c>
      <c r="BR20" s="159" t="s">
        <v>151</v>
      </c>
      <c r="BS20" s="157">
        <v>0</v>
      </c>
      <c r="BT20" s="159" t="s">
        <v>151</v>
      </c>
      <c r="BU20" s="162">
        <v>0</v>
      </c>
      <c r="BV20" s="162">
        <v>0</v>
      </c>
      <c r="BW20" s="163" t="str">
        <f t="shared" si="31"/>
        <v/>
      </c>
      <c r="BX20" s="159" t="s">
        <v>151</v>
      </c>
      <c r="BY20" s="157">
        <v>0</v>
      </c>
      <c r="BZ20" s="159" t="s">
        <v>151</v>
      </c>
      <c r="CA20" s="162">
        <v>0</v>
      </c>
      <c r="CB20" s="162">
        <v>0</v>
      </c>
      <c r="CC20" s="163" t="str">
        <f t="shared" si="32"/>
        <v/>
      </c>
      <c r="CD20" s="159" t="s">
        <v>151</v>
      </c>
      <c r="CE20" s="157">
        <v>0</v>
      </c>
      <c r="CF20" s="159" t="s">
        <v>151</v>
      </c>
      <c r="CG20" s="162">
        <v>0</v>
      </c>
      <c r="CH20" s="162">
        <v>0</v>
      </c>
      <c r="CI20" s="163" t="str">
        <f t="shared" si="33"/>
        <v/>
      </c>
      <c r="CJ20" s="159" t="s">
        <v>151</v>
      </c>
      <c r="CK20" s="157">
        <v>0</v>
      </c>
      <c r="CL20" s="159" t="s">
        <v>151</v>
      </c>
      <c r="CM20" s="162">
        <v>0</v>
      </c>
      <c r="CN20" s="162">
        <v>0</v>
      </c>
      <c r="CO20" s="163" t="str">
        <f t="shared" si="34"/>
        <v/>
      </c>
      <c r="CP20" s="159" t="s">
        <v>151</v>
      </c>
      <c r="CQ20" s="157">
        <v>0</v>
      </c>
      <c r="CR20" s="159" t="s">
        <v>151</v>
      </c>
      <c r="CS20" s="162">
        <v>0</v>
      </c>
      <c r="CT20" s="162">
        <v>0</v>
      </c>
      <c r="CU20" s="163" t="str">
        <f t="shared" si="35"/>
        <v/>
      </c>
      <c r="CV20" s="159" t="s">
        <v>151</v>
      </c>
      <c r="CW20" s="157">
        <v>0</v>
      </c>
      <c r="CX20" s="159" t="s">
        <v>151</v>
      </c>
      <c r="CY20" s="162">
        <v>1</v>
      </c>
      <c r="CZ20" s="162">
        <v>0</v>
      </c>
      <c r="DA20" s="163">
        <f t="shared" si="36"/>
        <v>0</v>
      </c>
      <c r="DB20" s="159" t="s">
        <v>266</v>
      </c>
      <c r="DC20" s="157">
        <v>1</v>
      </c>
      <c r="DD20" s="159" t="s">
        <v>267</v>
      </c>
      <c r="DE20" s="162">
        <v>30</v>
      </c>
      <c r="DF20" s="162">
        <v>28</v>
      </c>
      <c r="DG20" s="163">
        <f t="shared" si="37"/>
        <v>0.93333333333333335</v>
      </c>
      <c r="DH20" s="159" t="s">
        <v>517</v>
      </c>
      <c r="DI20" s="157">
        <v>2</v>
      </c>
      <c r="DJ20" s="159" t="s">
        <v>595</v>
      </c>
      <c r="DK20" s="162">
        <v>336</v>
      </c>
      <c r="DL20" s="162">
        <v>6</v>
      </c>
      <c r="DM20" s="163">
        <f t="shared" si="38"/>
        <v>1.7857142857142856E-2</v>
      </c>
      <c r="DN20" s="159" t="s">
        <v>289</v>
      </c>
      <c r="DO20" s="157">
        <v>0</v>
      </c>
      <c r="DP20" s="159" t="s">
        <v>151</v>
      </c>
      <c r="DQ20" s="162">
        <v>0</v>
      </c>
      <c r="DR20" s="162">
        <v>0</v>
      </c>
      <c r="DS20" s="163" t="str">
        <f t="shared" si="39"/>
        <v/>
      </c>
      <c r="DT20" s="159" t="s">
        <v>151</v>
      </c>
      <c r="DU20" s="159">
        <v>0</v>
      </c>
      <c r="DV20" s="159" t="s">
        <v>151</v>
      </c>
      <c r="DW20" s="162">
        <v>0</v>
      </c>
      <c r="DX20" s="162">
        <v>0</v>
      </c>
      <c r="DY20" s="163" t="str">
        <f t="shared" si="40"/>
        <v/>
      </c>
      <c r="DZ20" s="159" t="s">
        <v>151</v>
      </c>
      <c r="EA20" s="157">
        <v>0</v>
      </c>
      <c r="EB20" s="159" t="s">
        <v>151</v>
      </c>
      <c r="EC20" s="162">
        <v>2</v>
      </c>
      <c r="ED20" s="162">
        <v>0</v>
      </c>
      <c r="EE20" s="163">
        <f t="shared" si="41"/>
        <v>0</v>
      </c>
      <c r="EF20" s="159" t="s">
        <v>307</v>
      </c>
      <c r="EG20" s="157">
        <v>2</v>
      </c>
      <c r="EH20" s="159" t="s">
        <v>308</v>
      </c>
      <c r="EI20" s="162">
        <v>9</v>
      </c>
      <c r="EJ20" s="162">
        <v>3</v>
      </c>
      <c r="EK20" s="163">
        <f t="shared" si="42"/>
        <v>0.33333333333333331</v>
      </c>
      <c r="EL20" s="159" t="s">
        <v>353</v>
      </c>
      <c r="EM20" s="157">
        <v>6</v>
      </c>
      <c r="EN20" s="159" t="s">
        <v>354</v>
      </c>
      <c r="EO20" s="162">
        <v>0</v>
      </c>
      <c r="EP20" s="162">
        <v>0</v>
      </c>
      <c r="EQ20" s="163" t="str">
        <f t="shared" si="43"/>
        <v/>
      </c>
      <c r="ER20" s="159" t="s">
        <v>151</v>
      </c>
      <c r="ES20" s="157">
        <v>0</v>
      </c>
      <c r="ET20" s="159" t="s">
        <v>151</v>
      </c>
      <c r="EU20" s="162">
        <v>4</v>
      </c>
      <c r="EV20" s="162">
        <v>4</v>
      </c>
      <c r="EW20" s="163">
        <f t="shared" si="44"/>
        <v>1</v>
      </c>
      <c r="EX20" s="159" t="s">
        <v>151</v>
      </c>
      <c r="EY20" s="157">
        <v>0</v>
      </c>
      <c r="EZ20" s="159" t="s">
        <v>151</v>
      </c>
      <c r="FA20" s="162">
        <v>6</v>
      </c>
      <c r="FB20" s="162">
        <v>4</v>
      </c>
      <c r="FC20" s="163">
        <f t="shared" si="45"/>
        <v>0.66666666666666663</v>
      </c>
      <c r="FD20" s="159" t="s">
        <v>390</v>
      </c>
      <c r="FE20" s="157">
        <v>2</v>
      </c>
      <c r="FF20" s="159" t="s">
        <v>391</v>
      </c>
      <c r="FG20" s="162">
        <v>0</v>
      </c>
      <c r="FH20" s="162">
        <v>0</v>
      </c>
      <c r="FI20" s="163" t="str">
        <f t="shared" si="46"/>
        <v/>
      </c>
      <c r="FJ20" s="159" t="s">
        <v>151</v>
      </c>
      <c r="FK20" s="157">
        <v>0</v>
      </c>
      <c r="FL20" s="159" t="s">
        <v>151</v>
      </c>
      <c r="FM20" s="162">
        <v>0</v>
      </c>
      <c r="FN20" s="162">
        <v>0</v>
      </c>
      <c r="FO20" s="163" t="str">
        <f t="shared" si="47"/>
        <v/>
      </c>
      <c r="FP20" s="159" t="s">
        <v>151</v>
      </c>
      <c r="FQ20" s="157">
        <v>0</v>
      </c>
      <c r="FR20" s="159" t="s">
        <v>151</v>
      </c>
      <c r="FS20" s="162">
        <v>7</v>
      </c>
      <c r="FT20" s="162">
        <v>2</v>
      </c>
      <c r="FU20" s="163">
        <f t="shared" si="48"/>
        <v>0.2857142857142857</v>
      </c>
      <c r="FV20" s="159" t="s">
        <v>413</v>
      </c>
      <c r="FW20" s="157">
        <v>1</v>
      </c>
      <c r="FX20" s="159" t="s">
        <v>414</v>
      </c>
      <c r="FY20" s="162">
        <v>0</v>
      </c>
      <c r="FZ20" s="162">
        <v>0</v>
      </c>
      <c r="GA20" s="163" t="str">
        <f t="shared" si="49"/>
        <v/>
      </c>
      <c r="GB20" s="159" t="s">
        <v>151</v>
      </c>
      <c r="GC20" s="157">
        <v>0</v>
      </c>
      <c r="GD20" s="159" t="s">
        <v>151</v>
      </c>
      <c r="GE20" s="159" t="s">
        <v>437</v>
      </c>
      <c r="GF20" s="159" t="s">
        <v>439</v>
      </c>
      <c r="GG20" s="157" t="s">
        <v>152</v>
      </c>
      <c r="GH20" s="157" t="s">
        <v>152</v>
      </c>
      <c r="GI20" s="157" t="s">
        <v>152</v>
      </c>
      <c r="GJ20" s="157" t="s">
        <v>152</v>
      </c>
      <c r="GK20" s="159" t="s">
        <v>151</v>
      </c>
      <c r="GL20" s="157" t="s">
        <v>152</v>
      </c>
      <c r="GM20" s="157" t="s">
        <v>152</v>
      </c>
      <c r="GN20" s="157" t="s">
        <v>152</v>
      </c>
      <c r="GO20" s="157" t="s">
        <v>152</v>
      </c>
      <c r="GP20" s="157" t="s">
        <v>151</v>
      </c>
      <c r="GQ20" s="157" t="s">
        <v>151</v>
      </c>
      <c r="GR20" s="467" t="s">
        <v>152</v>
      </c>
      <c r="GS20" s="468"/>
      <c r="GT20" s="157" t="s">
        <v>152</v>
      </c>
      <c r="GU20" s="157"/>
      <c r="GV20" s="157"/>
      <c r="GW20" s="145" t="s">
        <v>152</v>
      </c>
      <c r="GX20" s="145" t="s">
        <v>149</v>
      </c>
      <c r="GY20" s="157"/>
      <c r="GZ20" s="157" t="s">
        <v>152</v>
      </c>
      <c r="HA20" s="159"/>
      <c r="HB20" s="159"/>
      <c r="HC20" s="159"/>
      <c r="HD20" s="159"/>
      <c r="HE20" s="159"/>
      <c r="HF20" s="159"/>
      <c r="HG20" s="157" t="s">
        <v>152</v>
      </c>
      <c r="HH20" s="159"/>
      <c r="HI20" s="159"/>
      <c r="HJ20" s="159"/>
      <c r="HK20" s="159"/>
      <c r="HL20" s="159"/>
      <c r="HM20" s="159"/>
      <c r="HN20" s="157" t="s">
        <v>152</v>
      </c>
      <c r="HO20" s="159"/>
      <c r="HP20" s="159"/>
      <c r="HQ20" s="159"/>
      <c r="HR20" s="159"/>
      <c r="HS20" s="159"/>
      <c r="HT20" s="159"/>
      <c r="HU20" s="157" t="s">
        <v>152</v>
      </c>
      <c r="HV20" s="159"/>
      <c r="HW20" s="159"/>
      <c r="HX20" s="159"/>
      <c r="HY20" s="159"/>
      <c r="HZ20" s="157" t="s">
        <v>152</v>
      </c>
      <c r="IA20" s="159"/>
      <c r="IB20" s="159"/>
      <c r="IC20" s="159"/>
      <c r="ID20" s="159"/>
      <c r="IE20" s="204" t="s">
        <v>457</v>
      </c>
      <c r="IF20" s="159"/>
      <c r="IG20" s="159"/>
      <c r="IH20" s="159"/>
      <c r="II20" s="159"/>
      <c r="IJ20" s="143" t="str">
        <f t="shared" si="2"/>
        <v>○</v>
      </c>
    </row>
    <row r="21" spans="1:244" s="93" customFormat="1" ht="132">
      <c r="A21" s="97" t="s">
        <v>518</v>
      </c>
      <c r="B21" s="204" t="s">
        <v>170</v>
      </c>
      <c r="C21" s="198" t="s">
        <v>152</v>
      </c>
      <c r="D21" s="198"/>
      <c r="E21" s="203" t="s">
        <v>151</v>
      </c>
      <c r="F21" s="198" t="s">
        <v>152</v>
      </c>
      <c r="G21" s="198" t="s">
        <v>151</v>
      </c>
      <c r="H21" s="203" t="s">
        <v>151</v>
      </c>
      <c r="I21" s="198" t="s">
        <v>152</v>
      </c>
      <c r="J21" s="198" t="s">
        <v>151</v>
      </c>
      <c r="K21" s="203" t="s">
        <v>151</v>
      </c>
      <c r="L21" s="198" t="s">
        <v>152</v>
      </c>
      <c r="M21" s="198" t="s">
        <v>151</v>
      </c>
      <c r="N21" s="203" t="s">
        <v>151</v>
      </c>
      <c r="O21" s="198" t="s">
        <v>152</v>
      </c>
      <c r="P21" s="198" t="s">
        <v>151</v>
      </c>
      <c r="Q21" s="203" t="s">
        <v>151</v>
      </c>
      <c r="R21" s="198" t="s">
        <v>152</v>
      </c>
      <c r="S21" s="198" t="s">
        <v>151</v>
      </c>
      <c r="T21" s="203" t="s">
        <v>151</v>
      </c>
      <c r="U21" s="198" t="s">
        <v>152</v>
      </c>
      <c r="V21" s="198" t="s">
        <v>151</v>
      </c>
      <c r="W21" s="203" t="s">
        <v>151</v>
      </c>
      <c r="X21" s="204"/>
      <c r="Y21" s="204" t="s">
        <v>152</v>
      </c>
      <c r="Z21" s="204"/>
      <c r="AA21" s="98" t="str">
        <f t="shared" si="50"/>
        <v>○</v>
      </c>
      <c r="AB21" s="204" t="s">
        <v>152</v>
      </c>
      <c r="AC21" s="204"/>
      <c r="AD21" s="98" t="str">
        <f t="shared" si="26"/>
        <v/>
      </c>
      <c r="AE21" s="99"/>
      <c r="AF21" s="203"/>
      <c r="AG21" s="203"/>
      <c r="AH21" s="198" t="s">
        <v>152</v>
      </c>
      <c r="AI21" s="198" t="s">
        <v>151</v>
      </c>
      <c r="AJ21" s="203" t="s">
        <v>151</v>
      </c>
      <c r="AK21" s="198" t="s">
        <v>152</v>
      </c>
      <c r="AL21" s="198" t="s">
        <v>151</v>
      </c>
      <c r="AM21" s="203" t="s">
        <v>151</v>
      </c>
      <c r="AN21" s="198" t="s">
        <v>152</v>
      </c>
      <c r="AO21" s="198" t="s">
        <v>151</v>
      </c>
      <c r="AP21" s="203" t="s">
        <v>151</v>
      </c>
      <c r="AQ21" s="198" t="s">
        <v>152</v>
      </c>
      <c r="AR21" s="198" t="s">
        <v>151</v>
      </c>
      <c r="AS21" s="203" t="s">
        <v>151</v>
      </c>
      <c r="AT21" s="198" t="s">
        <v>152</v>
      </c>
      <c r="AU21" s="198" t="s">
        <v>151</v>
      </c>
      <c r="AV21" s="203" t="s">
        <v>151</v>
      </c>
      <c r="AW21" s="201">
        <v>1</v>
      </c>
      <c r="AX21" s="201">
        <v>1</v>
      </c>
      <c r="AY21" s="202">
        <f t="shared" si="27"/>
        <v>1</v>
      </c>
      <c r="AZ21" s="203" t="s">
        <v>151</v>
      </c>
      <c r="BA21" s="204">
        <v>0</v>
      </c>
      <c r="BB21" s="203" t="s">
        <v>151</v>
      </c>
      <c r="BC21" s="201">
        <v>3</v>
      </c>
      <c r="BD21" s="201">
        <v>3</v>
      </c>
      <c r="BE21" s="202">
        <f t="shared" si="28"/>
        <v>1</v>
      </c>
      <c r="BF21" s="203" t="s">
        <v>151</v>
      </c>
      <c r="BG21" s="204">
        <v>0</v>
      </c>
      <c r="BH21" s="203" t="s">
        <v>151</v>
      </c>
      <c r="BI21" s="201">
        <v>1</v>
      </c>
      <c r="BJ21" s="201">
        <v>1</v>
      </c>
      <c r="BK21" s="202">
        <f t="shared" si="29"/>
        <v>1</v>
      </c>
      <c r="BL21" s="203" t="s">
        <v>151</v>
      </c>
      <c r="BM21" s="204">
        <v>0</v>
      </c>
      <c r="BN21" s="203" t="s">
        <v>760</v>
      </c>
      <c r="BO21" s="201"/>
      <c r="BP21" s="201"/>
      <c r="BQ21" s="202" t="str">
        <f t="shared" si="30"/>
        <v/>
      </c>
      <c r="BR21" s="203" t="s">
        <v>151</v>
      </c>
      <c r="BS21" s="204"/>
      <c r="BT21" s="203" t="s">
        <v>151</v>
      </c>
      <c r="BU21" s="201"/>
      <c r="BV21" s="201"/>
      <c r="BW21" s="202" t="str">
        <f t="shared" si="31"/>
        <v/>
      </c>
      <c r="BX21" s="203" t="s">
        <v>151</v>
      </c>
      <c r="BY21" s="204"/>
      <c r="BZ21" s="203" t="s">
        <v>151</v>
      </c>
      <c r="CA21" s="201"/>
      <c r="CB21" s="201"/>
      <c r="CC21" s="202" t="str">
        <f t="shared" si="32"/>
        <v/>
      </c>
      <c r="CD21" s="203" t="s">
        <v>151</v>
      </c>
      <c r="CE21" s="204"/>
      <c r="CF21" s="203" t="s">
        <v>151</v>
      </c>
      <c r="CG21" s="201"/>
      <c r="CH21" s="201"/>
      <c r="CI21" s="202" t="str">
        <f t="shared" si="33"/>
        <v/>
      </c>
      <c r="CJ21" s="203" t="s">
        <v>151</v>
      </c>
      <c r="CK21" s="204"/>
      <c r="CL21" s="203" t="s">
        <v>151</v>
      </c>
      <c r="CM21" s="201">
        <v>1</v>
      </c>
      <c r="CN21" s="201">
        <v>1</v>
      </c>
      <c r="CO21" s="202">
        <f t="shared" si="34"/>
        <v>1</v>
      </c>
      <c r="CP21" s="203" t="s">
        <v>151</v>
      </c>
      <c r="CQ21" s="204">
        <v>0</v>
      </c>
      <c r="CR21" s="203" t="s">
        <v>151</v>
      </c>
      <c r="CS21" s="201">
        <v>1</v>
      </c>
      <c r="CT21" s="201">
        <v>1</v>
      </c>
      <c r="CU21" s="202">
        <f t="shared" si="35"/>
        <v>1</v>
      </c>
      <c r="CV21" s="203" t="s">
        <v>151</v>
      </c>
      <c r="CW21" s="204">
        <v>0</v>
      </c>
      <c r="CX21" s="203" t="s">
        <v>151</v>
      </c>
      <c r="CY21" s="201"/>
      <c r="CZ21" s="201"/>
      <c r="DA21" s="202" t="str">
        <f t="shared" si="36"/>
        <v/>
      </c>
      <c r="DB21" s="203" t="s">
        <v>151</v>
      </c>
      <c r="DC21" s="204"/>
      <c r="DD21" s="203" t="s">
        <v>151</v>
      </c>
      <c r="DE21" s="201">
        <v>12</v>
      </c>
      <c r="DF21" s="201">
        <v>10</v>
      </c>
      <c r="DG21" s="202">
        <f t="shared" si="37"/>
        <v>0.83333333333333337</v>
      </c>
      <c r="DH21" s="203" t="s">
        <v>681</v>
      </c>
      <c r="DI21" s="204">
        <v>0</v>
      </c>
      <c r="DJ21" s="203" t="s">
        <v>151</v>
      </c>
      <c r="DK21" s="201">
        <v>144</v>
      </c>
      <c r="DL21" s="201">
        <v>0</v>
      </c>
      <c r="DM21" s="202">
        <f t="shared" si="38"/>
        <v>0</v>
      </c>
      <c r="DN21" s="203" t="s">
        <v>519</v>
      </c>
      <c r="DO21" s="204">
        <v>0</v>
      </c>
      <c r="DP21" s="203" t="s">
        <v>151</v>
      </c>
      <c r="DQ21" s="201">
        <v>1</v>
      </c>
      <c r="DR21" s="201">
        <v>1</v>
      </c>
      <c r="DS21" s="202">
        <f t="shared" si="39"/>
        <v>1</v>
      </c>
      <c r="DT21" s="203" t="s">
        <v>151</v>
      </c>
      <c r="DU21" s="203">
        <v>0</v>
      </c>
      <c r="DV21" s="203" t="s">
        <v>151</v>
      </c>
      <c r="DW21" s="201"/>
      <c r="DX21" s="201"/>
      <c r="DY21" s="202" t="str">
        <f t="shared" si="40"/>
        <v/>
      </c>
      <c r="DZ21" s="203" t="s">
        <v>151</v>
      </c>
      <c r="EA21" s="204"/>
      <c r="EB21" s="203" t="s">
        <v>151</v>
      </c>
      <c r="EC21" s="201">
        <v>3</v>
      </c>
      <c r="ED21" s="201">
        <v>0</v>
      </c>
      <c r="EE21" s="202">
        <f t="shared" si="41"/>
        <v>0</v>
      </c>
      <c r="EF21" s="203" t="s">
        <v>485</v>
      </c>
      <c r="EG21" s="204">
        <v>3</v>
      </c>
      <c r="EH21" s="203" t="s">
        <v>682</v>
      </c>
      <c r="EI21" s="201">
        <v>5</v>
      </c>
      <c r="EJ21" s="201">
        <v>1</v>
      </c>
      <c r="EK21" s="202">
        <f t="shared" si="42"/>
        <v>0.2</v>
      </c>
      <c r="EL21" s="203" t="s">
        <v>683</v>
      </c>
      <c r="EM21" s="204">
        <v>4</v>
      </c>
      <c r="EN21" s="203" t="s">
        <v>355</v>
      </c>
      <c r="EO21" s="201"/>
      <c r="EP21" s="201"/>
      <c r="EQ21" s="202" t="str">
        <f t="shared" si="43"/>
        <v/>
      </c>
      <c r="ER21" s="203" t="s">
        <v>151</v>
      </c>
      <c r="ES21" s="204"/>
      <c r="ET21" s="203" t="s">
        <v>151</v>
      </c>
      <c r="EU21" s="201">
        <v>4</v>
      </c>
      <c r="EV21" s="201">
        <v>4</v>
      </c>
      <c r="EW21" s="202">
        <f t="shared" si="44"/>
        <v>1</v>
      </c>
      <c r="EX21" s="203" t="s">
        <v>151</v>
      </c>
      <c r="EY21" s="204">
        <v>0</v>
      </c>
      <c r="EZ21" s="203" t="s">
        <v>151</v>
      </c>
      <c r="FA21" s="201">
        <v>5</v>
      </c>
      <c r="FB21" s="201">
        <v>5</v>
      </c>
      <c r="FC21" s="202">
        <f t="shared" si="45"/>
        <v>1</v>
      </c>
      <c r="FD21" s="203" t="s">
        <v>151</v>
      </c>
      <c r="FE21" s="204">
        <v>0</v>
      </c>
      <c r="FF21" s="203" t="s">
        <v>151</v>
      </c>
      <c r="FG21" s="201"/>
      <c r="FH21" s="201"/>
      <c r="FI21" s="202" t="str">
        <f t="shared" si="46"/>
        <v/>
      </c>
      <c r="FJ21" s="203"/>
      <c r="FK21" s="204"/>
      <c r="FL21" s="203" t="s">
        <v>151</v>
      </c>
      <c r="FM21" s="201"/>
      <c r="FN21" s="201"/>
      <c r="FO21" s="202" t="str">
        <f t="shared" si="47"/>
        <v/>
      </c>
      <c r="FP21" s="203" t="s">
        <v>151</v>
      </c>
      <c r="FQ21" s="204"/>
      <c r="FR21" s="203" t="s">
        <v>151</v>
      </c>
      <c r="FS21" s="201">
        <v>3</v>
      </c>
      <c r="FT21" s="201">
        <v>2</v>
      </c>
      <c r="FU21" s="202">
        <f t="shared" si="48"/>
        <v>0.66666666666666663</v>
      </c>
      <c r="FV21" s="203" t="s">
        <v>415</v>
      </c>
      <c r="FW21" s="204">
        <v>1</v>
      </c>
      <c r="FX21" s="203" t="s">
        <v>416</v>
      </c>
      <c r="FY21" s="201"/>
      <c r="FZ21" s="201"/>
      <c r="GA21" s="202" t="str">
        <f t="shared" si="49"/>
        <v/>
      </c>
      <c r="GB21" s="203" t="s">
        <v>151</v>
      </c>
      <c r="GC21" s="204"/>
      <c r="GD21" s="203" t="s">
        <v>151</v>
      </c>
      <c r="GE21" s="203" t="s">
        <v>437</v>
      </c>
      <c r="GF21" s="203" t="s">
        <v>439</v>
      </c>
      <c r="GG21" s="204" t="s">
        <v>152</v>
      </c>
      <c r="GH21" s="204" t="s">
        <v>152</v>
      </c>
      <c r="GI21" s="204" t="s">
        <v>152</v>
      </c>
      <c r="GJ21" s="204" t="s">
        <v>152</v>
      </c>
      <c r="GK21" s="203" t="s">
        <v>151</v>
      </c>
      <c r="GL21" s="204" t="s">
        <v>152</v>
      </c>
      <c r="GM21" s="204" t="s">
        <v>152</v>
      </c>
      <c r="GN21" s="204" t="s">
        <v>152</v>
      </c>
      <c r="GO21" s="204" t="s">
        <v>151</v>
      </c>
      <c r="GP21" s="204"/>
      <c r="GQ21" s="204" t="s">
        <v>151</v>
      </c>
      <c r="GR21" s="100" t="s">
        <v>152</v>
      </c>
      <c r="GS21" s="101"/>
      <c r="GT21" s="204" t="s">
        <v>152</v>
      </c>
      <c r="GU21" s="204"/>
      <c r="GV21" s="204"/>
      <c r="GW21" s="145" t="s">
        <v>152</v>
      </c>
      <c r="GX21" s="145" t="s">
        <v>149</v>
      </c>
      <c r="GY21" s="204"/>
      <c r="GZ21" s="203" t="s">
        <v>152</v>
      </c>
      <c r="HA21" s="203"/>
      <c r="HB21" s="203"/>
      <c r="HC21" s="203"/>
      <c r="HD21" s="203"/>
      <c r="HE21" s="203"/>
      <c r="HF21" s="203"/>
      <c r="HG21" s="203" t="s">
        <v>152</v>
      </c>
      <c r="HH21" s="203"/>
      <c r="HI21" s="203"/>
      <c r="HJ21" s="203"/>
      <c r="HK21" s="203"/>
      <c r="HL21" s="203"/>
      <c r="HM21" s="203"/>
      <c r="HN21" s="203" t="s">
        <v>152</v>
      </c>
      <c r="HO21" s="203"/>
      <c r="HP21" s="203"/>
      <c r="HQ21" s="203"/>
      <c r="HR21" s="203"/>
      <c r="HS21" s="203"/>
      <c r="HT21" s="203"/>
      <c r="HU21" s="203" t="s">
        <v>152</v>
      </c>
      <c r="HV21" s="203"/>
      <c r="HW21" s="203"/>
      <c r="HX21" s="203"/>
      <c r="HY21" s="203"/>
      <c r="HZ21" s="203" t="s">
        <v>152</v>
      </c>
      <c r="IA21" s="203"/>
      <c r="IB21" s="203"/>
      <c r="IC21" s="203"/>
      <c r="ID21" s="203"/>
      <c r="IE21" s="204" t="s">
        <v>457</v>
      </c>
      <c r="IF21" s="203"/>
      <c r="IG21" s="203"/>
      <c r="IH21" s="203"/>
      <c r="II21" s="203"/>
      <c r="IJ21" s="140" t="str">
        <f t="shared" si="2"/>
        <v>○</v>
      </c>
    </row>
    <row r="22" spans="1:244" s="93" customFormat="1" ht="66">
      <c r="A22" s="97" t="s">
        <v>171</v>
      </c>
      <c r="B22" s="204" t="s">
        <v>172</v>
      </c>
      <c r="C22" s="198" t="s">
        <v>152</v>
      </c>
      <c r="D22" s="198"/>
      <c r="E22" s="203" t="s">
        <v>151</v>
      </c>
      <c r="F22" s="198" t="s">
        <v>152</v>
      </c>
      <c r="G22" s="198" t="s">
        <v>151</v>
      </c>
      <c r="H22" s="203" t="s">
        <v>151</v>
      </c>
      <c r="I22" s="198" t="s">
        <v>152</v>
      </c>
      <c r="J22" s="198" t="s">
        <v>151</v>
      </c>
      <c r="K22" s="203" t="s">
        <v>151</v>
      </c>
      <c r="L22" s="198" t="s">
        <v>152</v>
      </c>
      <c r="M22" s="198" t="s">
        <v>151</v>
      </c>
      <c r="N22" s="203" t="s">
        <v>151</v>
      </c>
      <c r="O22" s="198" t="s">
        <v>152</v>
      </c>
      <c r="P22" s="198" t="s">
        <v>151</v>
      </c>
      <c r="Q22" s="203" t="s">
        <v>151</v>
      </c>
      <c r="R22" s="198" t="s">
        <v>152</v>
      </c>
      <c r="S22" s="198" t="s">
        <v>151</v>
      </c>
      <c r="T22" s="203" t="s">
        <v>151</v>
      </c>
      <c r="U22" s="198" t="s">
        <v>152</v>
      </c>
      <c r="V22" s="198" t="s">
        <v>151</v>
      </c>
      <c r="W22" s="203" t="s">
        <v>151</v>
      </c>
      <c r="X22" s="204"/>
      <c r="Y22" s="204" t="s">
        <v>152</v>
      </c>
      <c r="Z22" s="204"/>
      <c r="AA22" s="98" t="str">
        <f t="shared" si="50"/>
        <v>○</v>
      </c>
      <c r="AB22" s="204" t="s">
        <v>152</v>
      </c>
      <c r="AC22" s="204"/>
      <c r="AD22" s="98" t="str">
        <f t="shared" si="26"/>
        <v/>
      </c>
      <c r="AE22" s="99"/>
      <c r="AF22" s="203"/>
      <c r="AG22" s="203"/>
      <c r="AH22" s="198" t="s">
        <v>152</v>
      </c>
      <c r="AI22" s="198" t="s">
        <v>151</v>
      </c>
      <c r="AJ22" s="203" t="s">
        <v>151</v>
      </c>
      <c r="AK22" s="198" t="s">
        <v>152</v>
      </c>
      <c r="AL22" s="198" t="s">
        <v>151</v>
      </c>
      <c r="AM22" s="203" t="s">
        <v>151</v>
      </c>
      <c r="AN22" s="198" t="s">
        <v>152</v>
      </c>
      <c r="AO22" s="198" t="s">
        <v>151</v>
      </c>
      <c r="AP22" s="203" t="s">
        <v>151</v>
      </c>
      <c r="AQ22" s="198" t="s">
        <v>152</v>
      </c>
      <c r="AR22" s="198" t="s">
        <v>151</v>
      </c>
      <c r="AS22" s="203" t="s">
        <v>151</v>
      </c>
      <c r="AT22" s="198" t="s">
        <v>152</v>
      </c>
      <c r="AU22" s="198" t="s">
        <v>151</v>
      </c>
      <c r="AV22" s="203" t="s">
        <v>151</v>
      </c>
      <c r="AW22" s="201">
        <v>4</v>
      </c>
      <c r="AX22" s="201">
        <v>4</v>
      </c>
      <c r="AY22" s="202">
        <f t="shared" si="27"/>
        <v>1</v>
      </c>
      <c r="AZ22" s="203" t="s">
        <v>151</v>
      </c>
      <c r="BA22" s="204">
        <v>0</v>
      </c>
      <c r="BB22" s="203" t="s">
        <v>151</v>
      </c>
      <c r="BC22" s="201">
        <v>6</v>
      </c>
      <c r="BD22" s="201">
        <v>6</v>
      </c>
      <c r="BE22" s="202">
        <f t="shared" si="28"/>
        <v>1</v>
      </c>
      <c r="BF22" s="203" t="s">
        <v>151</v>
      </c>
      <c r="BG22" s="204">
        <v>0</v>
      </c>
      <c r="BH22" s="203" t="s">
        <v>151</v>
      </c>
      <c r="BI22" s="201">
        <v>2</v>
      </c>
      <c r="BJ22" s="201">
        <v>2</v>
      </c>
      <c r="BK22" s="202">
        <f t="shared" si="29"/>
        <v>1</v>
      </c>
      <c r="BL22" s="203" t="s">
        <v>151</v>
      </c>
      <c r="BM22" s="204">
        <v>0</v>
      </c>
      <c r="BN22" s="203" t="s">
        <v>151</v>
      </c>
      <c r="BO22" s="201">
        <v>0</v>
      </c>
      <c r="BP22" s="201">
        <v>0</v>
      </c>
      <c r="BQ22" s="202" t="str">
        <f t="shared" si="30"/>
        <v/>
      </c>
      <c r="BR22" s="203" t="s">
        <v>151</v>
      </c>
      <c r="BS22" s="204">
        <v>0</v>
      </c>
      <c r="BT22" s="203" t="s">
        <v>151</v>
      </c>
      <c r="BU22" s="201">
        <v>0</v>
      </c>
      <c r="BV22" s="201">
        <v>0</v>
      </c>
      <c r="BW22" s="202" t="str">
        <f t="shared" si="31"/>
        <v/>
      </c>
      <c r="BX22" s="203" t="s">
        <v>151</v>
      </c>
      <c r="BY22" s="204">
        <v>0</v>
      </c>
      <c r="BZ22" s="203" t="s">
        <v>151</v>
      </c>
      <c r="CA22" s="201">
        <v>0</v>
      </c>
      <c r="CB22" s="201">
        <v>0</v>
      </c>
      <c r="CC22" s="202" t="str">
        <f t="shared" si="32"/>
        <v/>
      </c>
      <c r="CD22" s="203" t="s">
        <v>151</v>
      </c>
      <c r="CE22" s="204">
        <v>0</v>
      </c>
      <c r="CF22" s="203" t="s">
        <v>151</v>
      </c>
      <c r="CG22" s="201">
        <v>0</v>
      </c>
      <c r="CH22" s="201">
        <v>0</v>
      </c>
      <c r="CI22" s="202" t="str">
        <f t="shared" si="33"/>
        <v/>
      </c>
      <c r="CJ22" s="203" t="s">
        <v>151</v>
      </c>
      <c r="CK22" s="204">
        <v>0</v>
      </c>
      <c r="CL22" s="203" t="s">
        <v>151</v>
      </c>
      <c r="CM22" s="201">
        <v>0</v>
      </c>
      <c r="CN22" s="201">
        <v>0</v>
      </c>
      <c r="CO22" s="202" t="str">
        <f t="shared" si="34"/>
        <v/>
      </c>
      <c r="CP22" s="203" t="s">
        <v>151</v>
      </c>
      <c r="CQ22" s="204">
        <v>0</v>
      </c>
      <c r="CR22" s="203" t="s">
        <v>151</v>
      </c>
      <c r="CS22" s="201">
        <v>3</v>
      </c>
      <c r="CT22" s="201">
        <v>3</v>
      </c>
      <c r="CU22" s="202">
        <f t="shared" si="35"/>
        <v>1</v>
      </c>
      <c r="CV22" s="203" t="s">
        <v>151</v>
      </c>
      <c r="CW22" s="204">
        <v>0</v>
      </c>
      <c r="CX22" s="203" t="s">
        <v>151</v>
      </c>
      <c r="CY22" s="201">
        <v>1</v>
      </c>
      <c r="CZ22" s="201">
        <v>0</v>
      </c>
      <c r="DA22" s="202">
        <f t="shared" si="36"/>
        <v>0</v>
      </c>
      <c r="DB22" s="203" t="s">
        <v>268</v>
      </c>
      <c r="DC22" s="204">
        <v>1</v>
      </c>
      <c r="DD22" s="203" t="s">
        <v>268</v>
      </c>
      <c r="DE22" s="201">
        <v>67</v>
      </c>
      <c r="DF22" s="201">
        <v>65</v>
      </c>
      <c r="DG22" s="202">
        <f t="shared" si="37"/>
        <v>0.97014925373134331</v>
      </c>
      <c r="DH22" s="203" t="s">
        <v>584</v>
      </c>
      <c r="DI22" s="204">
        <v>1</v>
      </c>
      <c r="DJ22" s="203" t="s">
        <v>585</v>
      </c>
      <c r="DK22" s="201">
        <v>1502</v>
      </c>
      <c r="DL22" s="201">
        <v>1502</v>
      </c>
      <c r="DM22" s="202">
        <f t="shared" si="38"/>
        <v>1</v>
      </c>
      <c r="DN22" s="203" t="s">
        <v>151</v>
      </c>
      <c r="DO22" s="204">
        <v>0</v>
      </c>
      <c r="DP22" s="203" t="s">
        <v>151</v>
      </c>
      <c r="DQ22" s="201">
        <v>6</v>
      </c>
      <c r="DR22" s="201">
        <v>6</v>
      </c>
      <c r="DS22" s="202">
        <f t="shared" si="39"/>
        <v>1</v>
      </c>
      <c r="DT22" s="203" t="s">
        <v>151</v>
      </c>
      <c r="DU22" s="203">
        <v>0</v>
      </c>
      <c r="DV22" s="203" t="s">
        <v>151</v>
      </c>
      <c r="DW22" s="201">
        <v>10</v>
      </c>
      <c r="DX22" s="201">
        <v>9</v>
      </c>
      <c r="DY22" s="202">
        <f t="shared" si="40"/>
        <v>0.9</v>
      </c>
      <c r="DZ22" s="203" t="s">
        <v>385</v>
      </c>
      <c r="EA22" s="204">
        <v>0</v>
      </c>
      <c r="EB22" s="203" t="s">
        <v>151</v>
      </c>
      <c r="EC22" s="201">
        <v>2</v>
      </c>
      <c r="ED22" s="201">
        <v>0</v>
      </c>
      <c r="EE22" s="202">
        <f t="shared" si="41"/>
        <v>0</v>
      </c>
      <c r="EF22" s="203" t="s">
        <v>309</v>
      </c>
      <c r="EG22" s="204">
        <v>2</v>
      </c>
      <c r="EH22" s="203" t="s">
        <v>309</v>
      </c>
      <c r="EI22" s="201">
        <v>9</v>
      </c>
      <c r="EJ22" s="201">
        <v>9</v>
      </c>
      <c r="EK22" s="202">
        <f t="shared" si="42"/>
        <v>1</v>
      </c>
      <c r="EL22" s="203" t="s">
        <v>151</v>
      </c>
      <c r="EM22" s="204">
        <v>0</v>
      </c>
      <c r="EN22" s="203" t="s">
        <v>151</v>
      </c>
      <c r="EO22" s="201">
        <v>0</v>
      </c>
      <c r="EP22" s="201">
        <v>0</v>
      </c>
      <c r="EQ22" s="202" t="str">
        <f t="shared" si="43"/>
        <v/>
      </c>
      <c r="ER22" s="203" t="s">
        <v>151</v>
      </c>
      <c r="ES22" s="204">
        <v>0</v>
      </c>
      <c r="ET22" s="203" t="s">
        <v>151</v>
      </c>
      <c r="EU22" s="201">
        <v>4</v>
      </c>
      <c r="EV22" s="201">
        <v>3</v>
      </c>
      <c r="EW22" s="202">
        <f t="shared" si="44"/>
        <v>0.75</v>
      </c>
      <c r="EX22" s="203" t="s">
        <v>385</v>
      </c>
      <c r="EY22" s="204">
        <v>0</v>
      </c>
      <c r="EZ22" s="203" t="s">
        <v>151</v>
      </c>
      <c r="FA22" s="201">
        <v>0</v>
      </c>
      <c r="FB22" s="201">
        <v>0</v>
      </c>
      <c r="FC22" s="202" t="str">
        <f t="shared" si="45"/>
        <v/>
      </c>
      <c r="FD22" s="203" t="s">
        <v>151</v>
      </c>
      <c r="FE22" s="204">
        <v>0</v>
      </c>
      <c r="FF22" s="203" t="s">
        <v>151</v>
      </c>
      <c r="FG22" s="201">
        <v>0</v>
      </c>
      <c r="FH22" s="201">
        <v>0</v>
      </c>
      <c r="FI22" s="202" t="str">
        <f t="shared" si="46"/>
        <v/>
      </c>
      <c r="FJ22" s="203" t="s">
        <v>151</v>
      </c>
      <c r="FK22" s="204">
        <v>0</v>
      </c>
      <c r="FL22" s="203" t="s">
        <v>151</v>
      </c>
      <c r="FM22" s="201">
        <v>0</v>
      </c>
      <c r="FN22" s="201">
        <v>0</v>
      </c>
      <c r="FO22" s="202" t="str">
        <f t="shared" si="47"/>
        <v/>
      </c>
      <c r="FP22" s="203" t="s">
        <v>151</v>
      </c>
      <c r="FQ22" s="204">
        <v>0</v>
      </c>
      <c r="FR22" s="203" t="s">
        <v>151</v>
      </c>
      <c r="FS22" s="201">
        <v>8</v>
      </c>
      <c r="FT22" s="201">
        <v>4</v>
      </c>
      <c r="FU22" s="202">
        <f t="shared" si="48"/>
        <v>0.5</v>
      </c>
      <c r="FV22" s="203" t="s">
        <v>417</v>
      </c>
      <c r="FW22" s="204">
        <v>4</v>
      </c>
      <c r="FX22" s="203" t="s">
        <v>418</v>
      </c>
      <c r="FY22" s="201">
        <v>0</v>
      </c>
      <c r="FZ22" s="201">
        <v>0</v>
      </c>
      <c r="GA22" s="202" t="str">
        <f t="shared" si="49"/>
        <v/>
      </c>
      <c r="GB22" s="203" t="s">
        <v>151</v>
      </c>
      <c r="GC22" s="204">
        <v>0</v>
      </c>
      <c r="GD22" s="203" t="s">
        <v>151</v>
      </c>
      <c r="GE22" s="203" t="s">
        <v>437</v>
      </c>
      <c r="GF22" s="203" t="s">
        <v>439</v>
      </c>
      <c r="GG22" s="204" t="s">
        <v>152</v>
      </c>
      <c r="GH22" s="204" t="s">
        <v>152</v>
      </c>
      <c r="GI22" s="204" t="s">
        <v>151</v>
      </c>
      <c r="GJ22" s="204" t="s">
        <v>152</v>
      </c>
      <c r="GK22" s="203"/>
      <c r="GL22" s="204" t="s">
        <v>152</v>
      </c>
      <c r="GM22" s="204" t="s">
        <v>152</v>
      </c>
      <c r="GN22" s="204" t="s">
        <v>152</v>
      </c>
      <c r="GO22" s="204" t="s">
        <v>151</v>
      </c>
      <c r="GP22" s="204" t="s">
        <v>151</v>
      </c>
      <c r="GQ22" s="204" t="s">
        <v>151</v>
      </c>
      <c r="GR22" s="100" t="s">
        <v>152</v>
      </c>
      <c r="GS22" s="101"/>
      <c r="GT22" s="204" t="s">
        <v>152</v>
      </c>
      <c r="GU22" s="204"/>
      <c r="GV22" s="204"/>
      <c r="GW22" s="145" t="s">
        <v>152</v>
      </c>
      <c r="GX22" s="145" t="s">
        <v>149</v>
      </c>
      <c r="GY22" s="204" t="s">
        <v>149</v>
      </c>
      <c r="GZ22" s="204" t="s">
        <v>457</v>
      </c>
      <c r="HA22" s="203"/>
      <c r="HB22" s="203"/>
      <c r="HC22" s="203"/>
      <c r="HD22" s="203"/>
      <c r="HE22" s="203"/>
      <c r="HF22" s="203"/>
      <c r="HG22" s="204" t="s">
        <v>457</v>
      </c>
      <c r="HH22" s="203"/>
      <c r="HI22" s="203"/>
      <c r="HJ22" s="203"/>
      <c r="HK22" s="203"/>
      <c r="HL22" s="203"/>
      <c r="HM22" s="203"/>
      <c r="HN22" s="204" t="s">
        <v>457</v>
      </c>
      <c r="HO22" s="203"/>
      <c r="HP22" s="203"/>
      <c r="HQ22" s="203"/>
      <c r="HR22" s="203"/>
      <c r="HS22" s="203"/>
      <c r="HT22" s="203"/>
      <c r="HU22" s="204" t="s">
        <v>457</v>
      </c>
      <c r="HV22" s="203"/>
      <c r="HW22" s="203"/>
      <c r="HX22" s="203"/>
      <c r="HY22" s="203"/>
      <c r="HZ22" s="204" t="s">
        <v>457</v>
      </c>
      <c r="IA22" s="203"/>
      <c r="IB22" s="203"/>
      <c r="IC22" s="203"/>
      <c r="ID22" s="203"/>
      <c r="IE22" s="204"/>
      <c r="IF22" s="204" t="s">
        <v>457</v>
      </c>
      <c r="IG22" s="203"/>
      <c r="IH22" s="203"/>
      <c r="II22" s="164" t="s">
        <v>684</v>
      </c>
      <c r="IJ22" s="140" t="str">
        <f t="shared" si="2"/>
        <v>○</v>
      </c>
    </row>
    <row r="23" spans="1:244" s="93" customFormat="1" ht="105.6">
      <c r="A23" s="97" t="s">
        <v>173</v>
      </c>
      <c r="B23" s="204" t="s">
        <v>174</v>
      </c>
      <c r="C23" s="198" t="s">
        <v>152</v>
      </c>
      <c r="D23" s="198" t="s">
        <v>151</v>
      </c>
      <c r="E23" s="203" t="s">
        <v>151</v>
      </c>
      <c r="F23" s="198" t="s">
        <v>152</v>
      </c>
      <c r="G23" s="198" t="s">
        <v>151</v>
      </c>
      <c r="H23" s="203" t="s">
        <v>151</v>
      </c>
      <c r="I23" s="198" t="s">
        <v>152</v>
      </c>
      <c r="J23" s="165"/>
      <c r="K23" s="203"/>
      <c r="L23" s="198"/>
      <c r="M23" s="198" t="s">
        <v>152</v>
      </c>
      <c r="N23" s="203" t="s">
        <v>474</v>
      </c>
      <c r="O23" s="198" t="s">
        <v>152</v>
      </c>
      <c r="P23" s="165"/>
      <c r="Q23" s="203"/>
      <c r="R23" s="198" t="s">
        <v>152</v>
      </c>
      <c r="S23" s="198" t="s">
        <v>151</v>
      </c>
      <c r="T23" s="203" t="s">
        <v>151</v>
      </c>
      <c r="U23" s="198"/>
      <c r="V23" s="198" t="s">
        <v>151</v>
      </c>
      <c r="W23" s="203" t="s">
        <v>151</v>
      </c>
      <c r="X23" s="204"/>
      <c r="Y23" s="204" t="s">
        <v>152</v>
      </c>
      <c r="Z23" s="204"/>
      <c r="AA23" s="98" t="str">
        <f t="shared" si="50"/>
        <v>○</v>
      </c>
      <c r="AB23" s="204" t="s">
        <v>152</v>
      </c>
      <c r="AC23" s="204"/>
      <c r="AD23" s="98" t="str">
        <f t="shared" si="26"/>
        <v/>
      </c>
      <c r="AE23" s="99"/>
      <c r="AF23" s="203"/>
      <c r="AG23" s="203"/>
      <c r="AH23" s="198" t="s">
        <v>152</v>
      </c>
      <c r="AI23" s="198" t="s">
        <v>151</v>
      </c>
      <c r="AJ23" s="203" t="s">
        <v>151</v>
      </c>
      <c r="AK23" s="198" t="s">
        <v>152</v>
      </c>
      <c r="AL23" s="198" t="s">
        <v>151</v>
      </c>
      <c r="AM23" s="203" t="s">
        <v>151</v>
      </c>
      <c r="AN23" s="198" t="s">
        <v>152</v>
      </c>
      <c r="AO23" s="198" t="s">
        <v>151</v>
      </c>
      <c r="AP23" s="203" t="s">
        <v>151</v>
      </c>
      <c r="AQ23" s="198" t="s">
        <v>152</v>
      </c>
      <c r="AR23" s="198" t="s">
        <v>151</v>
      </c>
      <c r="AS23" s="203" t="s">
        <v>151</v>
      </c>
      <c r="AT23" s="198" t="s">
        <v>152</v>
      </c>
      <c r="AU23" s="198" t="s">
        <v>151</v>
      </c>
      <c r="AV23" s="203" t="s">
        <v>151</v>
      </c>
      <c r="AW23" s="201">
        <v>4</v>
      </c>
      <c r="AX23" s="201">
        <v>3</v>
      </c>
      <c r="AY23" s="202">
        <f t="shared" si="27"/>
        <v>0.75</v>
      </c>
      <c r="AZ23" s="203" t="s">
        <v>237</v>
      </c>
      <c r="BA23" s="204">
        <v>1</v>
      </c>
      <c r="BB23" s="203" t="s">
        <v>520</v>
      </c>
      <c r="BC23" s="201">
        <v>22</v>
      </c>
      <c r="BD23" s="201">
        <v>21</v>
      </c>
      <c r="BE23" s="202">
        <f t="shared" si="28"/>
        <v>0.95454545454545459</v>
      </c>
      <c r="BF23" s="203" t="s">
        <v>237</v>
      </c>
      <c r="BG23" s="204">
        <v>1</v>
      </c>
      <c r="BH23" s="203" t="s">
        <v>520</v>
      </c>
      <c r="BI23" s="201">
        <v>4</v>
      </c>
      <c r="BJ23" s="201">
        <v>3</v>
      </c>
      <c r="BK23" s="202">
        <f t="shared" si="29"/>
        <v>0.75</v>
      </c>
      <c r="BL23" s="203" t="s">
        <v>237</v>
      </c>
      <c r="BM23" s="204">
        <v>1</v>
      </c>
      <c r="BN23" s="203" t="s">
        <v>520</v>
      </c>
      <c r="BO23" s="201">
        <v>0</v>
      </c>
      <c r="BP23" s="201">
        <v>0</v>
      </c>
      <c r="BQ23" s="202" t="str">
        <f t="shared" si="30"/>
        <v/>
      </c>
      <c r="BR23" s="203" t="s">
        <v>151</v>
      </c>
      <c r="BS23" s="204">
        <v>0</v>
      </c>
      <c r="BT23" s="203" t="s">
        <v>151</v>
      </c>
      <c r="BU23" s="201">
        <v>0</v>
      </c>
      <c r="BV23" s="201">
        <v>0</v>
      </c>
      <c r="BW23" s="202" t="str">
        <f t="shared" si="31"/>
        <v/>
      </c>
      <c r="BX23" s="203" t="s">
        <v>151</v>
      </c>
      <c r="BY23" s="204">
        <v>0</v>
      </c>
      <c r="BZ23" s="203" t="s">
        <v>151</v>
      </c>
      <c r="CA23" s="201">
        <v>1</v>
      </c>
      <c r="CB23" s="201">
        <v>1</v>
      </c>
      <c r="CC23" s="202">
        <f t="shared" si="32"/>
        <v>1</v>
      </c>
      <c r="CD23" s="203" t="s">
        <v>151</v>
      </c>
      <c r="CE23" s="204">
        <v>0</v>
      </c>
      <c r="CF23" s="203" t="s">
        <v>151</v>
      </c>
      <c r="CG23" s="201">
        <v>0</v>
      </c>
      <c r="CH23" s="201">
        <v>0</v>
      </c>
      <c r="CI23" s="202" t="str">
        <f t="shared" si="33"/>
        <v/>
      </c>
      <c r="CJ23" s="203" t="s">
        <v>151</v>
      </c>
      <c r="CK23" s="204">
        <v>0</v>
      </c>
      <c r="CL23" s="203" t="s">
        <v>151</v>
      </c>
      <c r="CM23" s="201">
        <v>1</v>
      </c>
      <c r="CN23" s="201">
        <v>1</v>
      </c>
      <c r="CO23" s="202">
        <f t="shared" si="34"/>
        <v>1</v>
      </c>
      <c r="CP23" s="203" t="s">
        <v>151</v>
      </c>
      <c r="CQ23" s="204">
        <v>0</v>
      </c>
      <c r="CR23" s="203" t="s">
        <v>151</v>
      </c>
      <c r="CS23" s="201">
        <v>0</v>
      </c>
      <c r="CT23" s="201">
        <v>0</v>
      </c>
      <c r="CU23" s="202" t="str">
        <f t="shared" si="35"/>
        <v/>
      </c>
      <c r="CV23" s="203" t="s">
        <v>151</v>
      </c>
      <c r="CW23" s="204">
        <v>0</v>
      </c>
      <c r="CX23" s="203" t="s">
        <v>151</v>
      </c>
      <c r="CY23" s="201">
        <v>0</v>
      </c>
      <c r="CZ23" s="201">
        <v>0</v>
      </c>
      <c r="DA23" s="202" t="str">
        <f t="shared" si="36"/>
        <v/>
      </c>
      <c r="DB23" s="203" t="s">
        <v>151</v>
      </c>
      <c r="DC23" s="204">
        <v>0</v>
      </c>
      <c r="DD23" s="203" t="s">
        <v>151</v>
      </c>
      <c r="DE23" s="201">
        <v>22</v>
      </c>
      <c r="DF23" s="201">
        <v>22</v>
      </c>
      <c r="DG23" s="202">
        <f t="shared" si="37"/>
        <v>1</v>
      </c>
      <c r="DH23" s="203"/>
      <c r="DI23" s="204">
        <v>0</v>
      </c>
      <c r="DJ23" s="203" t="s">
        <v>151</v>
      </c>
      <c r="DK23" s="201">
        <v>202</v>
      </c>
      <c r="DL23" s="201">
        <v>202</v>
      </c>
      <c r="DM23" s="202">
        <f t="shared" si="38"/>
        <v>1</v>
      </c>
      <c r="DN23" s="203" t="s">
        <v>151</v>
      </c>
      <c r="DO23" s="204">
        <v>0</v>
      </c>
      <c r="DP23" s="203" t="s">
        <v>151</v>
      </c>
      <c r="DQ23" s="201">
        <v>40</v>
      </c>
      <c r="DR23" s="201">
        <v>37</v>
      </c>
      <c r="DS23" s="202">
        <f t="shared" si="39"/>
        <v>0.92500000000000004</v>
      </c>
      <c r="DT23" s="203" t="s">
        <v>237</v>
      </c>
      <c r="DU23" s="203">
        <v>2</v>
      </c>
      <c r="DV23" s="203" t="s">
        <v>299</v>
      </c>
      <c r="DW23" s="201">
        <v>0</v>
      </c>
      <c r="DX23" s="201">
        <v>0</v>
      </c>
      <c r="DY23" s="202" t="str">
        <f t="shared" si="40"/>
        <v/>
      </c>
      <c r="DZ23" s="203" t="s">
        <v>151</v>
      </c>
      <c r="EA23" s="204">
        <v>0</v>
      </c>
      <c r="EB23" s="203" t="s">
        <v>151</v>
      </c>
      <c r="EC23" s="201">
        <v>2</v>
      </c>
      <c r="ED23" s="201">
        <v>0</v>
      </c>
      <c r="EE23" s="202">
        <f t="shared" si="41"/>
        <v>0</v>
      </c>
      <c r="EF23" s="203" t="s">
        <v>310</v>
      </c>
      <c r="EG23" s="204">
        <v>2</v>
      </c>
      <c r="EH23" s="203" t="s">
        <v>311</v>
      </c>
      <c r="EI23" s="201">
        <v>7</v>
      </c>
      <c r="EJ23" s="201">
        <v>3</v>
      </c>
      <c r="EK23" s="202">
        <f t="shared" si="42"/>
        <v>0.42857142857142855</v>
      </c>
      <c r="EL23" s="203" t="s">
        <v>310</v>
      </c>
      <c r="EM23" s="204">
        <v>4</v>
      </c>
      <c r="EN23" s="203" t="s">
        <v>356</v>
      </c>
      <c r="EO23" s="201">
        <v>0</v>
      </c>
      <c r="EP23" s="201">
        <v>0</v>
      </c>
      <c r="EQ23" s="202" t="str">
        <f t="shared" si="43"/>
        <v/>
      </c>
      <c r="ER23" s="203" t="s">
        <v>151</v>
      </c>
      <c r="ES23" s="204">
        <v>0</v>
      </c>
      <c r="ET23" s="203" t="s">
        <v>151</v>
      </c>
      <c r="EU23" s="201">
        <v>5</v>
      </c>
      <c r="EV23" s="201">
        <v>5</v>
      </c>
      <c r="EW23" s="202">
        <f t="shared" si="44"/>
        <v>1</v>
      </c>
      <c r="EX23" s="203" t="s">
        <v>151</v>
      </c>
      <c r="EY23" s="204">
        <v>0</v>
      </c>
      <c r="EZ23" s="203" t="s">
        <v>151</v>
      </c>
      <c r="FA23" s="201">
        <v>2</v>
      </c>
      <c r="FB23" s="201">
        <v>2</v>
      </c>
      <c r="FC23" s="202">
        <f t="shared" si="45"/>
        <v>1</v>
      </c>
      <c r="FD23" s="203" t="s">
        <v>151</v>
      </c>
      <c r="FE23" s="204">
        <v>0</v>
      </c>
      <c r="FF23" s="203" t="s">
        <v>151</v>
      </c>
      <c r="FG23" s="201">
        <v>0</v>
      </c>
      <c r="FH23" s="201">
        <v>0</v>
      </c>
      <c r="FI23" s="202" t="str">
        <f t="shared" si="46"/>
        <v/>
      </c>
      <c r="FJ23" s="203" t="s">
        <v>151</v>
      </c>
      <c r="FK23" s="204">
        <v>0</v>
      </c>
      <c r="FL23" s="203" t="s">
        <v>151</v>
      </c>
      <c r="FM23" s="201">
        <v>0</v>
      </c>
      <c r="FN23" s="201">
        <v>0</v>
      </c>
      <c r="FO23" s="202" t="str">
        <f t="shared" si="47"/>
        <v/>
      </c>
      <c r="FP23" s="203" t="s">
        <v>151</v>
      </c>
      <c r="FQ23" s="204">
        <v>0</v>
      </c>
      <c r="FR23" s="203" t="s">
        <v>151</v>
      </c>
      <c r="FS23" s="201">
        <v>7</v>
      </c>
      <c r="FT23" s="201">
        <v>5</v>
      </c>
      <c r="FU23" s="202">
        <f t="shared" si="48"/>
        <v>0.7142857142857143</v>
      </c>
      <c r="FV23" s="203" t="s">
        <v>419</v>
      </c>
      <c r="FW23" s="204">
        <v>2</v>
      </c>
      <c r="FX23" s="203" t="s">
        <v>420</v>
      </c>
      <c r="FY23" s="201">
        <v>0</v>
      </c>
      <c r="FZ23" s="201">
        <v>0</v>
      </c>
      <c r="GA23" s="202" t="str">
        <f t="shared" si="49"/>
        <v/>
      </c>
      <c r="GB23" s="203" t="s">
        <v>151</v>
      </c>
      <c r="GC23" s="204">
        <v>0</v>
      </c>
      <c r="GD23" s="203" t="s">
        <v>151</v>
      </c>
      <c r="GE23" s="203" t="s">
        <v>437</v>
      </c>
      <c r="GF23" s="203" t="s">
        <v>439</v>
      </c>
      <c r="GG23" s="204" t="s">
        <v>152</v>
      </c>
      <c r="GH23" s="204" t="s">
        <v>152</v>
      </c>
      <c r="GI23" s="204" t="s">
        <v>152</v>
      </c>
      <c r="GJ23" s="204" t="s">
        <v>152</v>
      </c>
      <c r="GK23" s="203" t="s">
        <v>151</v>
      </c>
      <c r="GL23" s="204" t="s">
        <v>152</v>
      </c>
      <c r="GM23" s="204" t="s">
        <v>152</v>
      </c>
      <c r="GN23" s="204" t="s">
        <v>151</v>
      </c>
      <c r="GO23" s="204" t="s">
        <v>151</v>
      </c>
      <c r="GP23" s="204" t="s">
        <v>151</v>
      </c>
      <c r="GQ23" s="204" t="s">
        <v>151</v>
      </c>
      <c r="GR23" s="100" t="s">
        <v>152</v>
      </c>
      <c r="GS23" s="101"/>
      <c r="GT23" s="204" t="s">
        <v>152</v>
      </c>
      <c r="GU23" s="204"/>
      <c r="GV23" s="204"/>
      <c r="GW23" s="145" t="s">
        <v>152</v>
      </c>
      <c r="GX23" s="145" t="s">
        <v>149</v>
      </c>
      <c r="GY23" s="204" t="s">
        <v>149</v>
      </c>
      <c r="GZ23" s="204" t="s">
        <v>457</v>
      </c>
      <c r="HA23" s="203"/>
      <c r="HB23" s="203"/>
      <c r="HC23" s="203"/>
      <c r="HD23" s="203"/>
      <c r="HE23" s="203"/>
      <c r="HF23" s="203"/>
      <c r="HG23" s="204" t="s">
        <v>457</v>
      </c>
      <c r="HH23" s="203"/>
      <c r="HI23" s="203"/>
      <c r="HJ23" s="203"/>
      <c r="HK23" s="203"/>
      <c r="HL23" s="203"/>
      <c r="HM23" s="203"/>
      <c r="HN23" s="204" t="s">
        <v>457</v>
      </c>
      <c r="HO23" s="203"/>
      <c r="HP23" s="203"/>
      <c r="HQ23" s="203"/>
      <c r="HR23" s="203"/>
      <c r="HS23" s="203"/>
      <c r="HT23" s="203"/>
      <c r="HU23" s="204" t="s">
        <v>457</v>
      </c>
      <c r="HV23" s="204"/>
      <c r="HW23" s="203"/>
      <c r="HX23" s="203"/>
      <c r="HY23" s="203"/>
      <c r="HZ23" s="204" t="s">
        <v>457</v>
      </c>
      <c r="IA23" s="204"/>
      <c r="IB23" s="203"/>
      <c r="IC23" s="203"/>
      <c r="ID23" s="203"/>
      <c r="IE23" s="203"/>
      <c r="IF23" s="203"/>
      <c r="IG23" s="203" t="s">
        <v>673</v>
      </c>
      <c r="IH23" s="203"/>
      <c r="II23" s="203" t="s">
        <v>685</v>
      </c>
      <c r="IJ23" s="140" t="str">
        <f t="shared" si="2"/>
        <v>○</v>
      </c>
    </row>
    <row r="24" spans="1:244" s="93" customFormat="1" ht="132.75" customHeight="1" thickBot="1">
      <c r="A24" s="97" t="s">
        <v>542</v>
      </c>
      <c r="B24" s="204" t="s">
        <v>175</v>
      </c>
      <c r="C24" s="198" t="s">
        <v>152</v>
      </c>
      <c r="D24" s="198" t="s">
        <v>151</v>
      </c>
      <c r="E24" s="203" t="s">
        <v>151</v>
      </c>
      <c r="F24" s="198" t="s">
        <v>152</v>
      </c>
      <c r="G24" s="198" t="s">
        <v>151</v>
      </c>
      <c r="H24" s="203" t="s">
        <v>151</v>
      </c>
      <c r="I24" s="198" t="s">
        <v>160</v>
      </c>
      <c r="J24" s="198" t="s">
        <v>151</v>
      </c>
      <c r="K24" s="203" t="s">
        <v>151</v>
      </c>
      <c r="L24" s="198" t="s">
        <v>152</v>
      </c>
      <c r="M24" s="198" t="s">
        <v>151</v>
      </c>
      <c r="N24" s="203" t="s">
        <v>151</v>
      </c>
      <c r="O24" s="198" t="s">
        <v>152</v>
      </c>
      <c r="P24" s="198" t="s">
        <v>151</v>
      </c>
      <c r="Q24" s="203" t="s">
        <v>151</v>
      </c>
      <c r="R24" s="198" t="s">
        <v>152</v>
      </c>
      <c r="S24" s="198" t="s">
        <v>151</v>
      </c>
      <c r="T24" s="203" t="s">
        <v>151</v>
      </c>
      <c r="U24" s="198" t="s">
        <v>152</v>
      </c>
      <c r="V24" s="198" t="s">
        <v>151</v>
      </c>
      <c r="W24" s="203" t="s">
        <v>151</v>
      </c>
      <c r="X24" s="204"/>
      <c r="Y24" s="204"/>
      <c r="Z24" s="204" t="s">
        <v>152</v>
      </c>
      <c r="AA24" s="98" t="str">
        <f t="shared" si="50"/>
        <v/>
      </c>
      <c r="AB24" s="204" t="s">
        <v>152</v>
      </c>
      <c r="AC24" s="204"/>
      <c r="AD24" s="98" t="str">
        <f t="shared" si="26"/>
        <v>○</v>
      </c>
      <c r="AE24" s="99" t="s">
        <v>229</v>
      </c>
      <c r="AF24" s="203" t="s">
        <v>640</v>
      </c>
      <c r="AG24" s="203"/>
      <c r="AH24" s="198"/>
      <c r="AI24" s="198"/>
      <c r="AJ24" s="203"/>
      <c r="AK24" s="198" t="s">
        <v>152</v>
      </c>
      <c r="AL24" s="198" t="s">
        <v>151</v>
      </c>
      <c r="AM24" s="203" t="s">
        <v>151</v>
      </c>
      <c r="AN24" s="198" t="s">
        <v>152</v>
      </c>
      <c r="AO24" s="198" t="s">
        <v>151</v>
      </c>
      <c r="AP24" s="203" t="s">
        <v>151</v>
      </c>
      <c r="AQ24" s="198" t="s">
        <v>152</v>
      </c>
      <c r="AR24" s="198" t="s">
        <v>151</v>
      </c>
      <c r="AS24" s="203" t="s">
        <v>151</v>
      </c>
      <c r="AT24" s="198" t="s">
        <v>152</v>
      </c>
      <c r="AU24" s="198" t="s">
        <v>151</v>
      </c>
      <c r="AV24" s="203" t="s">
        <v>151</v>
      </c>
      <c r="AW24" s="201">
        <v>2</v>
      </c>
      <c r="AX24" s="201">
        <v>2</v>
      </c>
      <c r="AY24" s="202">
        <f t="shared" si="27"/>
        <v>1</v>
      </c>
      <c r="AZ24" s="203" t="s">
        <v>151</v>
      </c>
      <c r="BA24" s="204">
        <v>0</v>
      </c>
      <c r="BB24" s="203" t="s">
        <v>151</v>
      </c>
      <c r="BC24" s="201">
        <v>7</v>
      </c>
      <c r="BD24" s="201">
        <v>3</v>
      </c>
      <c r="BE24" s="202">
        <f t="shared" si="28"/>
        <v>0.42857142857142855</v>
      </c>
      <c r="BF24" s="203" t="s">
        <v>240</v>
      </c>
      <c r="BG24" s="204">
        <v>0</v>
      </c>
      <c r="BH24" s="203"/>
      <c r="BI24" s="201">
        <v>2</v>
      </c>
      <c r="BJ24" s="201">
        <v>1</v>
      </c>
      <c r="BK24" s="202">
        <f t="shared" si="29"/>
        <v>0.5</v>
      </c>
      <c r="BL24" s="203" t="s">
        <v>240</v>
      </c>
      <c r="BM24" s="204">
        <v>0</v>
      </c>
      <c r="BN24" s="203" t="s">
        <v>151</v>
      </c>
      <c r="BO24" s="201">
        <v>0</v>
      </c>
      <c r="BP24" s="201">
        <v>0</v>
      </c>
      <c r="BQ24" s="202" t="str">
        <f t="shared" si="30"/>
        <v/>
      </c>
      <c r="BR24" s="203" t="s">
        <v>151</v>
      </c>
      <c r="BS24" s="204">
        <v>0</v>
      </c>
      <c r="BT24" s="203" t="s">
        <v>151</v>
      </c>
      <c r="BU24" s="201">
        <v>0</v>
      </c>
      <c r="BV24" s="201">
        <v>0</v>
      </c>
      <c r="BW24" s="202" t="str">
        <f t="shared" si="31"/>
        <v/>
      </c>
      <c r="BX24" s="203" t="s">
        <v>151</v>
      </c>
      <c r="BY24" s="204">
        <v>0</v>
      </c>
      <c r="BZ24" s="203" t="s">
        <v>151</v>
      </c>
      <c r="CA24" s="201">
        <v>0</v>
      </c>
      <c r="CB24" s="201">
        <v>0</v>
      </c>
      <c r="CC24" s="202" t="str">
        <f t="shared" si="32"/>
        <v/>
      </c>
      <c r="CD24" s="203" t="s">
        <v>151</v>
      </c>
      <c r="CE24" s="204">
        <v>0</v>
      </c>
      <c r="CF24" s="203" t="s">
        <v>151</v>
      </c>
      <c r="CG24" s="201">
        <v>1</v>
      </c>
      <c r="CH24" s="201">
        <v>1</v>
      </c>
      <c r="CI24" s="202">
        <f t="shared" si="33"/>
        <v>1</v>
      </c>
      <c r="CJ24" s="203" t="s">
        <v>151</v>
      </c>
      <c r="CK24" s="204">
        <v>0</v>
      </c>
      <c r="CL24" s="203" t="s">
        <v>151</v>
      </c>
      <c r="CM24" s="201">
        <v>3</v>
      </c>
      <c r="CN24" s="201">
        <v>0</v>
      </c>
      <c r="CO24" s="202">
        <f t="shared" si="34"/>
        <v>0</v>
      </c>
      <c r="CP24" s="203" t="s">
        <v>248</v>
      </c>
      <c r="CQ24" s="204">
        <v>0</v>
      </c>
      <c r="CR24" s="203" t="s">
        <v>151</v>
      </c>
      <c r="CS24" s="201">
        <v>1</v>
      </c>
      <c r="CT24" s="201">
        <v>1</v>
      </c>
      <c r="CU24" s="202">
        <f t="shared" si="35"/>
        <v>1</v>
      </c>
      <c r="CV24" s="203" t="s">
        <v>151</v>
      </c>
      <c r="CW24" s="204">
        <v>0</v>
      </c>
      <c r="CX24" s="203" t="s">
        <v>151</v>
      </c>
      <c r="CY24" s="201">
        <v>1</v>
      </c>
      <c r="CZ24" s="201">
        <v>0</v>
      </c>
      <c r="DA24" s="202">
        <f t="shared" si="36"/>
        <v>0</v>
      </c>
      <c r="DB24" s="203" t="s">
        <v>644</v>
      </c>
      <c r="DC24" s="204">
        <v>0</v>
      </c>
      <c r="DD24" s="203" t="s">
        <v>151</v>
      </c>
      <c r="DE24" s="201">
        <v>12</v>
      </c>
      <c r="DF24" s="201">
        <v>12</v>
      </c>
      <c r="DG24" s="202">
        <f t="shared" si="37"/>
        <v>1</v>
      </c>
      <c r="DH24" s="203" t="s">
        <v>151</v>
      </c>
      <c r="DI24" s="204">
        <v>0</v>
      </c>
      <c r="DJ24" s="203" t="s">
        <v>151</v>
      </c>
      <c r="DK24" s="201">
        <v>83</v>
      </c>
      <c r="DL24" s="201">
        <v>0</v>
      </c>
      <c r="DM24" s="202">
        <f t="shared" si="38"/>
        <v>0</v>
      </c>
      <c r="DN24" s="203" t="s">
        <v>645</v>
      </c>
      <c r="DO24" s="204">
        <v>0</v>
      </c>
      <c r="DP24" s="203" t="s">
        <v>151</v>
      </c>
      <c r="DQ24" s="201">
        <v>1</v>
      </c>
      <c r="DR24" s="201">
        <v>1</v>
      </c>
      <c r="DS24" s="202">
        <f t="shared" si="39"/>
        <v>1</v>
      </c>
      <c r="DT24" s="203" t="s">
        <v>151</v>
      </c>
      <c r="DU24" s="203">
        <v>0</v>
      </c>
      <c r="DV24" s="203" t="s">
        <v>151</v>
      </c>
      <c r="DW24" s="201">
        <v>0</v>
      </c>
      <c r="DX24" s="201">
        <v>0</v>
      </c>
      <c r="DY24" s="202" t="str">
        <f t="shared" si="40"/>
        <v/>
      </c>
      <c r="DZ24" s="203" t="s">
        <v>151</v>
      </c>
      <c r="EA24" s="204">
        <v>0</v>
      </c>
      <c r="EB24" s="203" t="s">
        <v>151</v>
      </c>
      <c r="EC24" s="201">
        <v>2</v>
      </c>
      <c r="ED24" s="201">
        <v>0</v>
      </c>
      <c r="EE24" s="202">
        <f t="shared" si="41"/>
        <v>0</v>
      </c>
      <c r="EF24" s="203" t="s">
        <v>548</v>
      </c>
      <c r="EG24" s="204">
        <v>2</v>
      </c>
      <c r="EH24" s="203" t="s">
        <v>312</v>
      </c>
      <c r="EI24" s="201">
        <v>7</v>
      </c>
      <c r="EJ24" s="201">
        <v>3</v>
      </c>
      <c r="EK24" s="202">
        <f t="shared" si="42"/>
        <v>0.42857142857142855</v>
      </c>
      <c r="EL24" s="203" t="s">
        <v>357</v>
      </c>
      <c r="EM24" s="204">
        <v>4</v>
      </c>
      <c r="EN24" s="203" t="s">
        <v>488</v>
      </c>
      <c r="EO24" s="201">
        <v>0</v>
      </c>
      <c r="EP24" s="201">
        <v>0</v>
      </c>
      <c r="EQ24" s="202" t="str">
        <f t="shared" si="43"/>
        <v/>
      </c>
      <c r="ER24" s="203" t="s">
        <v>151</v>
      </c>
      <c r="ES24" s="204">
        <v>0</v>
      </c>
      <c r="ET24" s="203" t="s">
        <v>151</v>
      </c>
      <c r="EU24" s="201">
        <v>1</v>
      </c>
      <c r="EV24" s="201">
        <v>1</v>
      </c>
      <c r="EW24" s="202">
        <f t="shared" si="44"/>
        <v>1</v>
      </c>
      <c r="EX24" s="203" t="s">
        <v>151</v>
      </c>
      <c r="EY24" s="204">
        <v>0</v>
      </c>
      <c r="EZ24" s="203" t="s">
        <v>151</v>
      </c>
      <c r="FA24" s="201">
        <v>1</v>
      </c>
      <c r="FB24" s="201">
        <v>0</v>
      </c>
      <c r="FC24" s="202">
        <f t="shared" si="45"/>
        <v>0</v>
      </c>
      <c r="FD24" s="203" t="s">
        <v>686</v>
      </c>
      <c r="FE24" s="204">
        <v>1</v>
      </c>
      <c r="FF24" s="147" t="s">
        <v>756</v>
      </c>
      <c r="FG24" s="201">
        <v>0</v>
      </c>
      <c r="FH24" s="201">
        <v>0</v>
      </c>
      <c r="FI24" s="202" t="str">
        <f t="shared" si="46"/>
        <v/>
      </c>
      <c r="FJ24" s="203" t="s">
        <v>151</v>
      </c>
      <c r="FK24" s="204">
        <v>0</v>
      </c>
      <c r="FL24" s="203" t="s">
        <v>151</v>
      </c>
      <c r="FM24" s="201">
        <v>0</v>
      </c>
      <c r="FN24" s="201">
        <v>0</v>
      </c>
      <c r="FO24" s="202" t="str">
        <f t="shared" si="47"/>
        <v/>
      </c>
      <c r="FP24" s="203" t="s">
        <v>151</v>
      </c>
      <c r="FQ24" s="204">
        <v>0</v>
      </c>
      <c r="FR24" s="203" t="s">
        <v>151</v>
      </c>
      <c r="FS24" s="201">
        <v>8</v>
      </c>
      <c r="FT24" s="201">
        <v>6</v>
      </c>
      <c r="FU24" s="202">
        <f t="shared" si="48"/>
        <v>0.75</v>
      </c>
      <c r="FV24" s="203" t="s">
        <v>687</v>
      </c>
      <c r="FW24" s="204">
        <v>2</v>
      </c>
      <c r="FX24" s="203" t="s">
        <v>421</v>
      </c>
      <c r="FY24" s="201">
        <v>0</v>
      </c>
      <c r="FZ24" s="201">
        <v>0</v>
      </c>
      <c r="GA24" s="202" t="str">
        <f t="shared" si="49"/>
        <v/>
      </c>
      <c r="GB24" s="203" t="s">
        <v>151</v>
      </c>
      <c r="GC24" s="204">
        <v>0</v>
      </c>
      <c r="GD24" s="203" t="s">
        <v>151</v>
      </c>
      <c r="GE24" s="203" t="s">
        <v>437</v>
      </c>
      <c r="GF24" s="203" t="s">
        <v>439</v>
      </c>
      <c r="GG24" s="204" t="s">
        <v>152</v>
      </c>
      <c r="GH24" s="204" t="s">
        <v>152</v>
      </c>
      <c r="GI24" s="204" t="s">
        <v>152</v>
      </c>
      <c r="GJ24" s="204" t="s">
        <v>152</v>
      </c>
      <c r="GK24" s="203" t="s">
        <v>151</v>
      </c>
      <c r="GL24" s="204" t="s">
        <v>152</v>
      </c>
      <c r="GM24" s="204" t="s">
        <v>152</v>
      </c>
      <c r="GN24" s="204" t="s">
        <v>152</v>
      </c>
      <c r="GO24" s="204" t="s">
        <v>151</v>
      </c>
      <c r="GP24" s="204" t="s">
        <v>152</v>
      </c>
      <c r="GQ24" s="204" t="s">
        <v>152</v>
      </c>
      <c r="GR24" s="100" t="s">
        <v>152</v>
      </c>
      <c r="GS24" s="101"/>
      <c r="GT24" s="204" t="s">
        <v>152</v>
      </c>
      <c r="GU24" s="204"/>
      <c r="GV24" s="204"/>
      <c r="GW24" s="145" t="s">
        <v>152</v>
      </c>
      <c r="GX24" s="145" t="s">
        <v>149</v>
      </c>
      <c r="GY24" s="204" t="s">
        <v>149</v>
      </c>
      <c r="GZ24" s="204" t="s">
        <v>751</v>
      </c>
      <c r="HA24" s="203"/>
      <c r="HB24" s="203"/>
      <c r="HC24" s="203"/>
      <c r="HD24" s="204"/>
      <c r="HE24" s="203"/>
      <c r="HF24" s="203"/>
      <c r="HG24" s="204" t="s">
        <v>752</v>
      </c>
      <c r="HH24" s="203"/>
      <c r="HI24" s="203"/>
      <c r="HJ24" s="203"/>
      <c r="HK24" s="204"/>
      <c r="HL24" s="203"/>
      <c r="HM24" s="203"/>
      <c r="HN24" s="203"/>
      <c r="HO24" s="203"/>
      <c r="HP24" s="203"/>
      <c r="HQ24" s="203"/>
      <c r="HR24" s="204" t="s">
        <v>457</v>
      </c>
      <c r="HS24" s="203"/>
      <c r="HT24" s="203" t="s">
        <v>688</v>
      </c>
      <c r="HU24" s="203" t="s">
        <v>752</v>
      </c>
      <c r="HV24" s="203"/>
      <c r="HW24" s="203"/>
      <c r="HX24" s="203"/>
      <c r="HY24" s="203"/>
      <c r="HZ24" s="203" t="s">
        <v>752</v>
      </c>
      <c r="IA24" s="203"/>
      <c r="IB24" s="203"/>
      <c r="IC24" s="203"/>
      <c r="ID24" s="203"/>
      <c r="IE24" s="203"/>
      <c r="IF24" s="203"/>
      <c r="IG24" s="203" t="s">
        <v>752</v>
      </c>
      <c r="IH24" s="203"/>
      <c r="II24" s="203" t="s">
        <v>679</v>
      </c>
      <c r="IJ24" s="140" t="str">
        <f t="shared" si="2"/>
        <v>○</v>
      </c>
    </row>
    <row r="25" spans="1:244" s="93" customFormat="1" ht="138" customHeight="1" thickTop="1">
      <c r="A25" s="97" t="s">
        <v>176</v>
      </c>
      <c r="B25" s="204" t="s">
        <v>177</v>
      </c>
      <c r="C25" s="198" t="s">
        <v>152</v>
      </c>
      <c r="D25" s="198" t="s">
        <v>151</v>
      </c>
      <c r="E25" s="203" t="s">
        <v>151</v>
      </c>
      <c r="F25" s="198" t="s">
        <v>152</v>
      </c>
      <c r="G25" s="198" t="s">
        <v>151</v>
      </c>
      <c r="H25" s="203" t="s">
        <v>151</v>
      </c>
      <c r="I25" s="198" t="s">
        <v>160</v>
      </c>
      <c r="J25" s="198"/>
      <c r="K25" s="203" t="s">
        <v>151</v>
      </c>
      <c r="L25" s="198" t="s">
        <v>152</v>
      </c>
      <c r="M25" s="198" t="s">
        <v>151</v>
      </c>
      <c r="N25" s="203" t="s">
        <v>151</v>
      </c>
      <c r="O25" s="198" t="s">
        <v>152</v>
      </c>
      <c r="P25" s="198"/>
      <c r="Q25" s="203"/>
      <c r="R25" s="198" t="s">
        <v>152</v>
      </c>
      <c r="S25" s="198" t="s">
        <v>151</v>
      </c>
      <c r="T25" s="203" t="s">
        <v>151</v>
      </c>
      <c r="U25" s="198" t="s">
        <v>152</v>
      </c>
      <c r="V25" s="198" t="s">
        <v>151</v>
      </c>
      <c r="W25" s="203" t="s">
        <v>151</v>
      </c>
      <c r="X25" s="204"/>
      <c r="Y25" s="204"/>
      <c r="Z25" s="204" t="s">
        <v>152</v>
      </c>
      <c r="AA25" s="98" t="s">
        <v>149</v>
      </c>
      <c r="AB25" s="204" t="s">
        <v>152</v>
      </c>
      <c r="AC25" s="204"/>
      <c r="AD25" s="98" t="s">
        <v>152</v>
      </c>
      <c r="AE25" s="99" t="s">
        <v>229</v>
      </c>
      <c r="AF25" s="203" t="s">
        <v>521</v>
      </c>
      <c r="AG25" s="203"/>
      <c r="AH25" s="198" t="s">
        <v>160</v>
      </c>
      <c r="AI25" s="198" t="s">
        <v>151</v>
      </c>
      <c r="AJ25" s="203" t="s">
        <v>151</v>
      </c>
      <c r="AK25" s="198" t="s">
        <v>152</v>
      </c>
      <c r="AL25" s="198" t="s">
        <v>151</v>
      </c>
      <c r="AM25" s="203" t="s">
        <v>151</v>
      </c>
      <c r="AN25" s="198" t="s">
        <v>152</v>
      </c>
      <c r="AO25" s="198" t="s">
        <v>151</v>
      </c>
      <c r="AP25" s="203" t="s">
        <v>151</v>
      </c>
      <c r="AQ25" s="198" t="s">
        <v>152</v>
      </c>
      <c r="AR25" s="198" t="s">
        <v>151</v>
      </c>
      <c r="AS25" s="203" t="s">
        <v>151</v>
      </c>
      <c r="AT25" s="198" t="s">
        <v>152</v>
      </c>
      <c r="AU25" s="198" t="s">
        <v>151</v>
      </c>
      <c r="AV25" s="203" t="s">
        <v>151</v>
      </c>
      <c r="AW25" s="201">
        <v>2</v>
      </c>
      <c r="AX25" s="201">
        <v>2</v>
      </c>
      <c r="AY25" s="202">
        <f t="shared" si="27"/>
        <v>1</v>
      </c>
      <c r="AZ25" s="203" t="s">
        <v>151</v>
      </c>
      <c r="BA25" s="204">
        <v>0</v>
      </c>
      <c r="BB25" s="203"/>
      <c r="BC25" s="201">
        <v>7</v>
      </c>
      <c r="BD25" s="201">
        <v>7</v>
      </c>
      <c r="BE25" s="202">
        <f t="shared" si="28"/>
        <v>1</v>
      </c>
      <c r="BF25" s="203" t="s">
        <v>151</v>
      </c>
      <c r="BG25" s="204">
        <v>0</v>
      </c>
      <c r="BH25" s="203" t="s">
        <v>151</v>
      </c>
      <c r="BI25" s="201">
        <v>1</v>
      </c>
      <c r="BJ25" s="201">
        <v>1</v>
      </c>
      <c r="BK25" s="202">
        <f t="shared" si="29"/>
        <v>1</v>
      </c>
      <c r="BL25" s="203" t="s">
        <v>151</v>
      </c>
      <c r="BM25" s="204">
        <v>0</v>
      </c>
      <c r="BN25" s="203" t="s">
        <v>151</v>
      </c>
      <c r="BO25" s="201">
        <v>0</v>
      </c>
      <c r="BP25" s="201">
        <v>0</v>
      </c>
      <c r="BQ25" s="202" t="str">
        <f t="shared" si="30"/>
        <v/>
      </c>
      <c r="BR25" s="203" t="s">
        <v>151</v>
      </c>
      <c r="BS25" s="204">
        <v>0</v>
      </c>
      <c r="BT25" s="203" t="s">
        <v>151</v>
      </c>
      <c r="BU25" s="201">
        <v>2</v>
      </c>
      <c r="BV25" s="201">
        <v>2</v>
      </c>
      <c r="BW25" s="202">
        <f t="shared" si="31"/>
        <v>1</v>
      </c>
      <c r="BX25" s="203" t="s">
        <v>151</v>
      </c>
      <c r="BY25" s="204">
        <v>0</v>
      </c>
      <c r="BZ25" s="203" t="s">
        <v>151</v>
      </c>
      <c r="CA25" s="201">
        <v>0</v>
      </c>
      <c r="CB25" s="201">
        <v>0</v>
      </c>
      <c r="CC25" s="202" t="str">
        <f t="shared" si="32"/>
        <v/>
      </c>
      <c r="CD25" s="203" t="s">
        <v>151</v>
      </c>
      <c r="CE25" s="204">
        <v>0</v>
      </c>
      <c r="CF25" s="203" t="s">
        <v>151</v>
      </c>
      <c r="CG25" s="201">
        <v>0</v>
      </c>
      <c r="CH25" s="201">
        <v>0</v>
      </c>
      <c r="CI25" s="202" t="str">
        <f t="shared" si="33"/>
        <v/>
      </c>
      <c r="CJ25" s="203" t="s">
        <v>151</v>
      </c>
      <c r="CK25" s="204">
        <v>0</v>
      </c>
      <c r="CL25" s="203" t="s">
        <v>151</v>
      </c>
      <c r="CM25" s="201">
        <v>0</v>
      </c>
      <c r="CN25" s="201">
        <v>0</v>
      </c>
      <c r="CO25" s="202" t="str">
        <f t="shared" si="34"/>
        <v/>
      </c>
      <c r="CP25" s="203" t="s">
        <v>151</v>
      </c>
      <c r="CQ25" s="204">
        <v>0</v>
      </c>
      <c r="CR25" s="203" t="s">
        <v>151</v>
      </c>
      <c r="CS25" s="201">
        <v>0</v>
      </c>
      <c r="CT25" s="201">
        <v>0</v>
      </c>
      <c r="CU25" s="202" t="str">
        <f t="shared" si="35"/>
        <v/>
      </c>
      <c r="CV25" s="203" t="s">
        <v>151</v>
      </c>
      <c r="CW25" s="204">
        <v>0</v>
      </c>
      <c r="CX25" s="203" t="s">
        <v>151</v>
      </c>
      <c r="CY25" s="201">
        <v>17</v>
      </c>
      <c r="CZ25" s="201">
        <v>3</v>
      </c>
      <c r="DA25" s="202">
        <f t="shared" si="36"/>
        <v>0.17647058823529413</v>
      </c>
      <c r="DB25" s="203" t="s">
        <v>269</v>
      </c>
      <c r="DC25" s="204">
        <v>14</v>
      </c>
      <c r="DD25" s="203" t="s">
        <v>522</v>
      </c>
      <c r="DE25" s="201">
        <v>24</v>
      </c>
      <c r="DF25" s="201">
        <v>18</v>
      </c>
      <c r="DG25" s="202">
        <f t="shared" si="37"/>
        <v>0.75</v>
      </c>
      <c r="DH25" s="203" t="s">
        <v>283</v>
      </c>
      <c r="DI25" s="204">
        <v>0</v>
      </c>
      <c r="DJ25" s="203"/>
      <c r="DK25" s="201">
        <v>1</v>
      </c>
      <c r="DL25" s="201">
        <v>1</v>
      </c>
      <c r="DM25" s="202">
        <f t="shared" si="38"/>
        <v>1</v>
      </c>
      <c r="DN25" s="203" t="s">
        <v>151</v>
      </c>
      <c r="DO25" s="204">
        <v>0</v>
      </c>
      <c r="DP25" s="203" t="s">
        <v>151</v>
      </c>
      <c r="DQ25" s="201">
        <v>1</v>
      </c>
      <c r="DR25" s="201">
        <v>1</v>
      </c>
      <c r="DS25" s="202">
        <f t="shared" si="39"/>
        <v>1</v>
      </c>
      <c r="DT25" s="203" t="s">
        <v>151</v>
      </c>
      <c r="DU25" s="203">
        <v>0</v>
      </c>
      <c r="DV25" s="203" t="s">
        <v>151</v>
      </c>
      <c r="DW25" s="201">
        <v>0</v>
      </c>
      <c r="DX25" s="201">
        <v>0</v>
      </c>
      <c r="DY25" s="202" t="str">
        <f t="shared" si="40"/>
        <v/>
      </c>
      <c r="DZ25" s="203" t="s">
        <v>151</v>
      </c>
      <c r="EA25" s="204">
        <v>0</v>
      </c>
      <c r="EB25" s="203" t="s">
        <v>151</v>
      </c>
      <c r="EC25" s="201">
        <v>1</v>
      </c>
      <c r="ED25" s="201">
        <v>0</v>
      </c>
      <c r="EE25" s="202">
        <f t="shared" si="41"/>
        <v>0</v>
      </c>
      <c r="EF25" s="203" t="s">
        <v>313</v>
      </c>
      <c r="EG25" s="204">
        <v>1</v>
      </c>
      <c r="EH25" s="203" t="s">
        <v>314</v>
      </c>
      <c r="EI25" s="201">
        <v>5</v>
      </c>
      <c r="EJ25" s="201">
        <v>5</v>
      </c>
      <c r="EK25" s="202">
        <f t="shared" si="42"/>
        <v>1</v>
      </c>
      <c r="EL25" s="203" t="s">
        <v>151</v>
      </c>
      <c r="EM25" s="204">
        <v>0</v>
      </c>
      <c r="EN25" s="203" t="s">
        <v>151</v>
      </c>
      <c r="EO25" s="201">
        <v>0</v>
      </c>
      <c r="EP25" s="201">
        <v>0</v>
      </c>
      <c r="EQ25" s="202" t="str">
        <f t="shared" si="43"/>
        <v/>
      </c>
      <c r="ER25" s="203" t="s">
        <v>151</v>
      </c>
      <c r="ES25" s="204">
        <v>0</v>
      </c>
      <c r="ET25" s="203" t="s">
        <v>151</v>
      </c>
      <c r="EU25" s="201">
        <v>4</v>
      </c>
      <c r="EV25" s="201">
        <v>4</v>
      </c>
      <c r="EW25" s="202">
        <f t="shared" si="44"/>
        <v>1</v>
      </c>
      <c r="EX25" s="203" t="s">
        <v>151</v>
      </c>
      <c r="EY25" s="204">
        <v>0</v>
      </c>
      <c r="EZ25" s="203" t="s">
        <v>151</v>
      </c>
      <c r="FA25" s="201">
        <v>2</v>
      </c>
      <c r="FB25" s="201">
        <v>2</v>
      </c>
      <c r="FC25" s="202">
        <f t="shared" si="45"/>
        <v>1</v>
      </c>
      <c r="FD25" s="203" t="s">
        <v>151</v>
      </c>
      <c r="FE25" s="204">
        <v>0</v>
      </c>
      <c r="FF25" s="203" t="s">
        <v>151</v>
      </c>
      <c r="FG25" s="201">
        <v>0</v>
      </c>
      <c r="FH25" s="201">
        <v>0</v>
      </c>
      <c r="FI25" s="202" t="str">
        <f t="shared" si="46"/>
        <v/>
      </c>
      <c r="FJ25" s="203" t="s">
        <v>151</v>
      </c>
      <c r="FK25" s="204">
        <v>0</v>
      </c>
      <c r="FL25" s="203" t="s">
        <v>151</v>
      </c>
      <c r="FM25" s="201">
        <v>0</v>
      </c>
      <c r="FN25" s="201">
        <v>0</v>
      </c>
      <c r="FO25" s="202" t="str">
        <f t="shared" si="47"/>
        <v/>
      </c>
      <c r="FP25" s="203" t="s">
        <v>151</v>
      </c>
      <c r="FQ25" s="204">
        <v>0</v>
      </c>
      <c r="FR25" s="203" t="s">
        <v>151</v>
      </c>
      <c r="FS25" s="201">
        <v>3</v>
      </c>
      <c r="FT25" s="201">
        <v>0</v>
      </c>
      <c r="FU25" s="202">
        <f t="shared" si="48"/>
        <v>0</v>
      </c>
      <c r="FV25" s="203" t="s">
        <v>601</v>
      </c>
      <c r="FW25" s="204">
        <v>3</v>
      </c>
      <c r="FX25" s="203" t="s">
        <v>641</v>
      </c>
      <c r="FY25" s="201">
        <v>1</v>
      </c>
      <c r="FZ25" s="201">
        <v>1</v>
      </c>
      <c r="GA25" s="202">
        <f t="shared" si="49"/>
        <v>1</v>
      </c>
      <c r="GB25" s="203" t="s">
        <v>151</v>
      </c>
      <c r="GC25" s="204">
        <v>0</v>
      </c>
      <c r="GD25" s="203" t="s">
        <v>151</v>
      </c>
      <c r="GE25" s="203" t="s">
        <v>437</v>
      </c>
      <c r="GF25" s="203" t="s">
        <v>439</v>
      </c>
      <c r="GG25" s="204" t="s">
        <v>152</v>
      </c>
      <c r="GH25" s="204" t="s">
        <v>152</v>
      </c>
      <c r="GI25" s="204" t="s">
        <v>152</v>
      </c>
      <c r="GJ25" s="204" t="s">
        <v>152</v>
      </c>
      <c r="GK25" s="203" t="s">
        <v>151</v>
      </c>
      <c r="GL25" s="204" t="s">
        <v>152</v>
      </c>
      <c r="GM25" s="204" t="s">
        <v>152</v>
      </c>
      <c r="GN25" s="204" t="s">
        <v>152</v>
      </c>
      <c r="GO25" s="204" t="s">
        <v>151</v>
      </c>
      <c r="GP25" s="204"/>
      <c r="GQ25" s="204" t="s">
        <v>151</v>
      </c>
      <c r="GR25" s="100"/>
      <c r="GS25" s="101"/>
      <c r="GT25" s="204" t="s">
        <v>152</v>
      </c>
      <c r="GU25" s="204"/>
      <c r="GV25" s="204"/>
      <c r="GW25" s="145" t="s">
        <v>152</v>
      </c>
      <c r="GX25" s="145"/>
      <c r="GY25" s="204"/>
      <c r="GZ25" s="204" t="s">
        <v>457</v>
      </c>
      <c r="HA25" s="203"/>
      <c r="HB25" s="203"/>
      <c r="HC25" s="203"/>
      <c r="HD25" s="203"/>
      <c r="HE25" s="203"/>
      <c r="HF25" s="203"/>
      <c r="HG25" s="204" t="s">
        <v>457</v>
      </c>
      <c r="HH25" s="203"/>
      <c r="HI25" s="203"/>
      <c r="HJ25" s="203"/>
      <c r="HK25" s="203"/>
      <c r="HL25" s="203"/>
      <c r="HM25" s="203"/>
      <c r="HN25" s="204" t="s">
        <v>457</v>
      </c>
      <c r="HO25" s="203"/>
      <c r="HP25" s="203"/>
      <c r="HQ25" s="203"/>
      <c r="HR25" s="203"/>
      <c r="HS25" s="203"/>
      <c r="HT25" s="203"/>
      <c r="HU25" s="204" t="s">
        <v>457</v>
      </c>
      <c r="HV25" s="203"/>
      <c r="HW25" s="203"/>
      <c r="HX25" s="203"/>
      <c r="HY25" s="203"/>
      <c r="HZ25" s="204" t="s">
        <v>457</v>
      </c>
      <c r="IA25" s="203"/>
      <c r="IB25" s="203"/>
      <c r="IC25" s="203"/>
      <c r="ID25" s="203"/>
      <c r="IE25" s="204" t="s">
        <v>457</v>
      </c>
      <c r="IF25" s="203"/>
      <c r="IG25" s="203"/>
      <c r="IH25" s="203"/>
      <c r="II25" s="203"/>
      <c r="IJ25" s="140" t="str">
        <f t="shared" si="2"/>
        <v>○</v>
      </c>
    </row>
    <row r="26" spans="1:244" s="93" customFormat="1" ht="79.2">
      <c r="A26" s="97" t="s">
        <v>523</v>
      </c>
      <c r="B26" s="204" t="s">
        <v>178</v>
      </c>
      <c r="C26" s="198" t="s">
        <v>152</v>
      </c>
      <c r="D26" s="198" t="s">
        <v>151</v>
      </c>
      <c r="E26" s="203" t="s">
        <v>151</v>
      </c>
      <c r="F26" s="198" t="s">
        <v>152</v>
      </c>
      <c r="G26" s="198" t="s">
        <v>151</v>
      </c>
      <c r="H26" s="203" t="s">
        <v>151</v>
      </c>
      <c r="I26" s="198" t="s">
        <v>152</v>
      </c>
      <c r="J26" s="198" t="s">
        <v>151</v>
      </c>
      <c r="K26" s="203" t="s">
        <v>151</v>
      </c>
      <c r="L26" s="198" t="s">
        <v>152</v>
      </c>
      <c r="M26" s="198" t="s">
        <v>151</v>
      </c>
      <c r="N26" s="203" t="s">
        <v>151</v>
      </c>
      <c r="O26" s="198" t="s">
        <v>152</v>
      </c>
      <c r="P26" s="198" t="s">
        <v>151</v>
      </c>
      <c r="Q26" s="203" t="s">
        <v>151</v>
      </c>
      <c r="R26" s="198" t="s">
        <v>152</v>
      </c>
      <c r="S26" s="198" t="s">
        <v>151</v>
      </c>
      <c r="T26" s="203" t="s">
        <v>151</v>
      </c>
      <c r="U26" s="198" t="s">
        <v>152</v>
      </c>
      <c r="V26" s="198" t="s">
        <v>151</v>
      </c>
      <c r="W26" s="203" t="s">
        <v>151</v>
      </c>
      <c r="X26" s="204"/>
      <c r="Y26" s="204" t="s">
        <v>457</v>
      </c>
      <c r="Z26" s="204"/>
      <c r="AA26" s="98" t="str">
        <f>IF(OR(X26="○",Y26="○"),"○","")</f>
        <v>○</v>
      </c>
      <c r="AB26" s="204" t="s">
        <v>152</v>
      </c>
      <c r="AC26" s="204"/>
      <c r="AD26" s="98" t="str">
        <f t="shared" ref="AD26:AD28" si="51">IF(AND(Z26="○",AB26="○"),"○","")</f>
        <v/>
      </c>
      <c r="AE26" s="99"/>
      <c r="AF26" s="203"/>
      <c r="AG26" s="203"/>
      <c r="AH26" s="198" t="s">
        <v>160</v>
      </c>
      <c r="AI26" s="198" t="s">
        <v>151</v>
      </c>
      <c r="AJ26" s="203" t="s">
        <v>151</v>
      </c>
      <c r="AK26" s="198" t="s">
        <v>152</v>
      </c>
      <c r="AL26" s="198" t="s">
        <v>151</v>
      </c>
      <c r="AM26" s="203" t="s">
        <v>151</v>
      </c>
      <c r="AN26" s="198" t="s">
        <v>152</v>
      </c>
      <c r="AO26" s="198" t="s">
        <v>151</v>
      </c>
      <c r="AP26" s="203" t="s">
        <v>151</v>
      </c>
      <c r="AQ26" s="198" t="s">
        <v>152</v>
      </c>
      <c r="AR26" s="198" t="s">
        <v>151</v>
      </c>
      <c r="AS26" s="203" t="s">
        <v>151</v>
      </c>
      <c r="AT26" s="198" t="s">
        <v>152</v>
      </c>
      <c r="AU26" s="198" t="s">
        <v>151</v>
      </c>
      <c r="AV26" s="203" t="s">
        <v>151</v>
      </c>
      <c r="AW26" s="201">
        <v>1</v>
      </c>
      <c r="AX26" s="201">
        <v>1</v>
      </c>
      <c r="AY26" s="202">
        <f t="shared" si="27"/>
        <v>1</v>
      </c>
      <c r="AZ26" s="203" t="s">
        <v>151</v>
      </c>
      <c r="BA26" s="204">
        <v>0</v>
      </c>
      <c r="BB26" s="203" t="s">
        <v>151</v>
      </c>
      <c r="BC26" s="201">
        <v>8</v>
      </c>
      <c r="BD26" s="201">
        <v>8</v>
      </c>
      <c r="BE26" s="202">
        <f t="shared" si="28"/>
        <v>1</v>
      </c>
      <c r="BF26" s="203" t="s">
        <v>151</v>
      </c>
      <c r="BG26" s="204">
        <v>0</v>
      </c>
      <c r="BH26" s="203" t="s">
        <v>151</v>
      </c>
      <c r="BI26" s="201">
        <v>0</v>
      </c>
      <c r="BJ26" s="201">
        <v>0</v>
      </c>
      <c r="BK26" s="202" t="str">
        <f t="shared" si="29"/>
        <v/>
      </c>
      <c r="BL26" s="203" t="s">
        <v>151</v>
      </c>
      <c r="BM26" s="204">
        <v>0</v>
      </c>
      <c r="BN26" s="203" t="s">
        <v>151</v>
      </c>
      <c r="BO26" s="201">
        <v>0</v>
      </c>
      <c r="BP26" s="201">
        <v>0</v>
      </c>
      <c r="BQ26" s="202" t="str">
        <f t="shared" si="30"/>
        <v/>
      </c>
      <c r="BR26" s="203" t="s">
        <v>151</v>
      </c>
      <c r="BS26" s="204">
        <v>0</v>
      </c>
      <c r="BT26" s="203" t="s">
        <v>151</v>
      </c>
      <c r="BU26" s="201">
        <v>0</v>
      </c>
      <c r="BV26" s="201">
        <v>0</v>
      </c>
      <c r="BW26" s="202" t="str">
        <f t="shared" si="31"/>
        <v/>
      </c>
      <c r="BX26" s="203" t="s">
        <v>151</v>
      </c>
      <c r="BY26" s="204">
        <v>0</v>
      </c>
      <c r="BZ26" s="203" t="s">
        <v>151</v>
      </c>
      <c r="CA26" s="201">
        <v>0</v>
      </c>
      <c r="CB26" s="201">
        <v>0</v>
      </c>
      <c r="CC26" s="202" t="str">
        <f t="shared" si="32"/>
        <v/>
      </c>
      <c r="CD26" s="203" t="s">
        <v>151</v>
      </c>
      <c r="CE26" s="204">
        <v>0</v>
      </c>
      <c r="CF26" s="203" t="s">
        <v>151</v>
      </c>
      <c r="CG26" s="201">
        <v>6</v>
      </c>
      <c r="CH26" s="201">
        <v>6</v>
      </c>
      <c r="CI26" s="202">
        <f t="shared" si="33"/>
        <v>1</v>
      </c>
      <c r="CJ26" s="203" t="s">
        <v>151</v>
      </c>
      <c r="CK26" s="204">
        <v>0</v>
      </c>
      <c r="CL26" s="203" t="s">
        <v>151</v>
      </c>
      <c r="CM26" s="201">
        <v>1</v>
      </c>
      <c r="CN26" s="201">
        <v>1</v>
      </c>
      <c r="CO26" s="202">
        <f t="shared" si="34"/>
        <v>1</v>
      </c>
      <c r="CP26" s="203" t="s">
        <v>151</v>
      </c>
      <c r="CQ26" s="204">
        <v>0</v>
      </c>
      <c r="CR26" s="203" t="s">
        <v>151</v>
      </c>
      <c r="CS26" s="201">
        <v>1</v>
      </c>
      <c r="CT26" s="201">
        <v>1</v>
      </c>
      <c r="CU26" s="202">
        <f t="shared" si="35"/>
        <v>1</v>
      </c>
      <c r="CV26" s="203" t="s">
        <v>151</v>
      </c>
      <c r="CW26" s="204">
        <v>0</v>
      </c>
      <c r="CX26" s="203" t="s">
        <v>151</v>
      </c>
      <c r="CY26" s="201">
        <v>4</v>
      </c>
      <c r="CZ26" s="201">
        <v>0</v>
      </c>
      <c r="DA26" s="202">
        <f t="shared" si="36"/>
        <v>0</v>
      </c>
      <c r="DB26" s="203" t="s">
        <v>270</v>
      </c>
      <c r="DC26" s="204">
        <v>3</v>
      </c>
      <c r="DD26" s="203" t="s">
        <v>271</v>
      </c>
      <c r="DE26" s="201">
        <v>16</v>
      </c>
      <c r="DF26" s="201">
        <v>14</v>
      </c>
      <c r="DG26" s="202">
        <f t="shared" si="37"/>
        <v>0.875</v>
      </c>
      <c r="DH26" s="203" t="s">
        <v>270</v>
      </c>
      <c r="DI26" s="204">
        <v>2</v>
      </c>
      <c r="DJ26" s="203" t="s">
        <v>284</v>
      </c>
      <c r="DK26" s="201">
        <v>55</v>
      </c>
      <c r="DL26" s="201">
        <v>55</v>
      </c>
      <c r="DM26" s="202">
        <f t="shared" si="38"/>
        <v>1</v>
      </c>
      <c r="DN26" s="203" t="s">
        <v>151</v>
      </c>
      <c r="DO26" s="204">
        <v>0</v>
      </c>
      <c r="DP26" s="203" t="s">
        <v>151</v>
      </c>
      <c r="DQ26" s="201">
        <v>0</v>
      </c>
      <c r="DR26" s="201">
        <v>0</v>
      </c>
      <c r="DS26" s="202" t="str">
        <f t="shared" si="39"/>
        <v/>
      </c>
      <c r="DT26" s="203" t="s">
        <v>151</v>
      </c>
      <c r="DU26" s="203">
        <v>0</v>
      </c>
      <c r="DV26" s="203" t="s">
        <v>151</v>
      </c>
      <c r="DW26" s="201">
        <v>0</v>
      </c>
      <c r="DX26" s="201">
        <v>0</v>
      </c>
      <c r="DY26" s="202" t="str">
        <f t="shared" si="40"/>
        <v/>
      </c>
      <c r="DZ26" s="203" t="s">
        <v>151</v>
      </c>
      <c r="EA26" s="204">
        <v>0</v>
      </c>
      <c r="EB26" s="203" t="s">
        <v>151</v>
      </c>
      <c r="EC26" s="201">
        <v>1</v>
      </c>
      <c r="ED26" s="201">
        <v>0</v>
      </c>
      <c r="EE26" s="202">
        <f t="shared" si="41"/>
        <v>0</v>
      </c>
      <c r="EF26" s="203" t="s">
        <v>270</v>
      </c>
      <c r="EG26" s="204">
        <v>1</v>
      </c>
      <c r="EH26" s="203" t="s">
        <v>315</v>
      </c>
      <c r="EI26" s="201">
        <v>12</v>
      </c>
      <c r="EJ26" s="201">
        <v>6</v>
      </c>
      <c r="EK26" s="202">
        <f t="shared" si="42"/>
        <v>0.5</v>
      </c>
      <c r="EL26" s="203" t="s">
        <v>270</v>
      </c>
      <c r="EM26" s="204">
        <v>10</v>
      </c>
      <c r="EN26" s="203" t="s">
        <v>358</v>
      </c>
      <c r="EO26" s="201">
        <v>0</v>
      </c>
      <c r="EP26" s="201">
        <v>0</v>
      </c>
      <c r="EQ26" s="202" t="str">
        <f t="shared" si="43"/>
        <v/>
      </c>
      <c r="ER26" s="203" t="s">
        <v>151</v>
      </c>
      <c r="ES26" s="204">
        <v>0</v>
      </c>
      <c r="ET26" s="203" t="s">
        <v>151</v>
      </c>
      <c r="EU26" s="201">
        <v>3</v>
      </c>
      <c r="EV26" s="201">
        <v>2</v>
      </c>
      <c r="EW26" s="202">
        <f t="shared" si="44"/>
        <v>0.66666666666666663</v>
      </c>
      <c r="EX26" s="203" t="s">
        <v>270</v>
      </c>
      <c r="EY26" s="204">
        <v>1</v>
      </c>
      <c r="EZ26" s="203" t="s">
        <v>386</v>
      </c>
      <c r="FA26" s="201">
        <v>11</v>
      </c>
      <c r="FB26" s="201">
        <v>8</v>
      </c>
      <c r="FC26" s="202">
        <f t="shared" si="45"/>
        <v>0.72727272727272729</v>
      </c>
      <c r="FD26" s="203" t="s">
        <v>270</v>
      </c>
      <c r="FE26" s="204">
        <v>7</v>
      </c>
      <c r="FF26" s="203" t="s">
        <v>392</v>
      </c>
      <c r="FG26" s="201">
        <v>0</v>
      </c>
      <c r="FH26" s="201">
        <v>0</v>
      </c>
      <c r="FI26" s="202" t="str">
        <f t="shared" si="46"/>
        <v/>
      </c>
      <c r="FJ26" s="203" t="s">
        <v>151</v>
      </c>
      <c r="FK26" s="204">
        <v>0</v>
      </c>
      <c r="FL26" s="203" t="s">
        <v>151</v>
      </c>
      <c r="FM26" s="201">
        <v>0</v>
      </c>
      <c r="FN26" s="201">
        <v>0</v>
      </c>
      <c r="FO26" s="202" t="str">
        <f t="shared" si="47"/>
        <v/>
      </c>
      <c r="FP26" s="203" t="s">
        <v>151</v>
      </c>
      <c r="FQ26" s="204">
        <v>0</v>
      </c>
      <c r="FR26" s="203" t="s">
        <v>151</v>
      </c>
      <c r="FS26" s="201">
        <v>3</v>
      </c>
      <c r="FT26" s="201">
        <v>3</v>
      </c>
      <c r="FU26" s="202">
        <f t="shared" si="48"/>
        <v>1</v>
      </c>
      <c r="FV26" s="203" t="s">
        <v>151</v>
      </c>
      <c r="FW26" s="204">
        <v>0</v>
      </c>
      <c r="FX26" s="203" t="s">
        <v>151</v>
      </c>
      <c r="FY26" s="201">
        <v>0</v>
      </c>
      <c r="FZ26" s="201">
        <v>0</v>
      </c>
      <c r="GA26" s="202" t="str">
        <f t="shared" si="49"/>
        <v/>
      </c>
      <c r="GB26" s="203" t="s">
        <v>151</v>
      </c>
      <c r="GC26" s="204">
        <v>0</v>
      </c>
      <c r="GD26" s="203" t="s">
        <v>151</v>
      </c>
      <c r="GE26" s="203" t="s">
        <v>437</v>
      </c>
      <c r="GF26" s="203" t="s">
        <v>439</v>
      </c>
      <c r="GG26" s="204" t="s">
        <v>152</v>
      </c>
      <c r="GH26" s="204" t="s">
        <v>151</v>
      </c>
      <c r="GI26" s="204" t="s">
        <v>152</v>
      </c>
      <c r="GJ26" s="204" t="s">
        <v>152</v>
      </c>
      <c r="GK26" s="203"/>
      <c r="GL26" s="204" t="s">
        <v>152</v>
      </c>
      <c r="GM26" s="204" t="s">
        <v>152</v>
      </c>
      <c r="GN26" s="204" t="s">
        <v>151</v>
      </c>
      <c r="GO26" s="204" t="s">
        <v>151</v>
      </c>
      <c r="GP26" s="204" t="s">
        <v>152</v>
      </c>
      <c r="GQ26" s="204" t="s">
        <v>152</v>
      </c>
      <c r="GR26" s="100"/>
      <c r="GS26" s="101"/>
      <c r="GT26" s="204" t="s">
        <v>152</v>
      </c>
      <c r="GU26" s="204"/>
      <c r="GV26" s="204"/>
      <c r="GW26" s="145" t="s">
        <v>152</v>
      </c>
      <c r="GX26" s="145"/>
      <c r="GY26" s="204" t="s">
        <v>149</v>
      </c>
      <c r="GZ26" s="203"/>
      <c r="HA26" s="203"/>
      <c r="HB26" s="203"/>
      <c r="HC26" s="203"/>
      <c r="HD26" s="204" t="s">
        <v>457</v>
      </c>
      <c r="HE26" s="203"/>
      <c r="HF26" s="203" t="s">
        <v>690</v>
      </c>
      <c r="HG26" s="204" t="s">
        <v>457</v>
      </c>
      <c r="HH26" s="204"/>
      <c r="HI26" s="204"/>
      <c r="HJ26" s="204"/>
      <c r="HK26" s="204"/>
      <c r="HL26" s="204"/>
      <c r="HM26" s="203"/>
      <c r="HN26" s="204" t="s">
        <v>457</v>
      </c>
      <c r="HO26" s="204"/>
      <c r="HP26" s="204"/>
      <c r="HQ26" s="204"/>
      <c r="HR26" s="204"/>
      <c r="HS26" s="204"/>
      <c r="HT26" s="203"/>
      <c r="HU26" s="204"/>
      <c r="HV26" s="204"/>
      <c r="HW26" s="204" t="s">
        <v>457</v>
      </c>
      <c r="HX26" s="204"/>
      <c r="HY26" s="203" t="s">
        <v>691</v>
      </c>
      <c r="HZ26" s="204" t="s">
        <v>457</v>
      </c>
      <c r="IA26" s="203"/>
      <c r="IB26" s="203"/>
      <c r="IC26" s="203"/>
      <c r="ID26" s="203"/>
      <c r="IE26" s="204" t="s">
        <v>457</v>
      </c>
      <c r="IF26" s="203"/>
      <c r="IG26" s="203"/>
      <c r="IH26" s="203"/>
      <c r="II26" s="203"/>
      <c r="IJ26" s="140" t="str">
        <f t="shared" si="2"/>
        <v>○</v>
      </c>
    </row>
    <row r="27" spans="1:244" s="93" customFormat="1" ht="52.8">
      <c r="A27" s="166" t="s">
        <v>179</v>
      </c>
      <c r="B27" s="204" t="s">
        <v>180</v>
      </c>
      <c r="C27" s="198" t="s">
        <v>152</v>
      </c>
      <c r="D27" s="198" t="s">
        <v>151</v>
      </c>
      <c r="E27" s="203" t="s">
        <v>151</v>
      </c>
      <c r="F27" s="198" t="s">
        <v>152</v>
      </c>
      <c r="G27" s="198" t="s">
        <v>151</v>
      </c>
      <c r="H27" s="203" t="s">
        <v>151</v>
      </c>
      <c r="I27" s="198" t="s">
        <v>152</v>
      </c>
      <c r="J27" s="198" t="s">
        <v>151</v>
      </c>
      <c r="K27" s="203" t="s">
        <v>151</v>
      </c>
      <c r="L27" s="198" t="s">
        <v>152</v>
      </c>
      <c r="M27" s="198" t="s">
        <v>151</v>
      </c>
      <c r="N27" s="203" t="s">
        <v>151</v>
      </c>
      <c r="O27" s="198" t="s">
        <v>152</v>
      </c>
      <c r="P27" s="198" t="s">
        <v>151</v>
      </c>
      <c r="Q27" s="203" t="s">
        <v>151</v>
      </c>
      <c r="R27" s="198" t="s">
        <v>152</v>
      </c>
      <c r="S27" s="198" t="s">
        <v>151</v>
      </c>
      <c r="T27" s="203" t="s">
        <v>151</v>
      </c>
      <c r="U27" s="198" t="s">
        <v>152</v>
      </c>
      <c r="V27" s="198" t="s">
        <v>151</v>
      </c>
      <c r="W27" s="203" t="s">
        <v>151</v>
      </c>
      <c r="X27" s="204"/>
      <c r="Y27" s="204"/>
      <c r="Z27" s="204" t="s">
        <v>152</v>
      </c>
      <c r="AA27" s="98" t="str">
        <f t="shared" ref="AA27:AA28" si="52">IF(OR(X27="○",Y27="○"),"○","")</f>
        <v/>
      </c>
      <c r="AB27" s="204"/>
      <c r="AC27" s="204" t="s">
        <v>152</v>
      </c>
      <c r="AD27" s="98" t="str">
        <f t="shared" si="51"/>
        <v/>
      </c>
      <c r="AE27" s="99" t="s">
        <v>455</v>
      </c>
      <c r="AF27" s="203"/>
      <c r="AG27" s="203"/>
      <c r="AH27" s="198" t="s">
        <v>160</v>
      </c>
      <c r="AI27" s="198" t="s">
        <v>151</v>
      </c>
      <c r="AJ27" s="203" t="s">
        <v>151</v>
      </c>
      <c r="AK27" s="198" t="s">
        <v>152</v>
      </c>
      <c r="AL27" s="198" t="s">
        <v>151</v>
      </c>
      <c r="AM27" s="203" t="s">
        <v>151</v>
      </c>
      <c r="AN27" s="198" t="s">
        <v>152</v>
      </c>
      <c r="AO27" s="198" t="s">
        <v>151</v>
      </c>
      <c r="AP27" s="203" t="s">
        <v>151</v>
      </c>
      <c r="AQ27" s="198" t="s">
        <v>152</v>
      </c>
      <c r="AR27" s="198" t="s">
        <v>151</v>
      </c>
      <c r="AS27" s="203" t="s">
        <v>151</v>
      </c>
      <c r="AT27" s="198" t="s">
        <v>152</v>
      </c>
      <c r="AU27" s="198" t="s">
        <v>151</v>
      </c>
      <c r="AV27" s="203" t="s">
        <v>151</v>
      </c>
      <c r="AW27" s="201">
        <v>0</v>
      </c>
      <c r="AX27" s="201">
        <v>0</v>
      </c>
      <c r="AY27" s="202" t="str">
        <f>IF(ISERROR(AX27/AW27),"",AX27/AW27)</f>
        <v/>
      </c>
      <c r="AZ27" s="203" t="s">
        <v>151</v>
      </c>
      <c r="BA27" s="204">
        <v>0</v>
      </c>
      <c r="BB27" s="203" t="s">
        <v>151</v>
      </c>
      <c r="BC27" s="201">
        <v>8</v>
      </c>
      <c r="BD27" s="201">
        <v>7</v>
      </c>
      <c r="BE27" s="202">
        <f t="shared" si="28"/>
        <v>0.875</v>
      </c>
      <c r="BF27" s="203" t="s">
        <v>461</v>
      </c>
      <c r="BG27" s="204">
        <v>1</v>
      </c>
      <c r="BH27" s="203" t="s">
        <v>475</v>
      </c>
      <c r="BI27" s="201">
        <v>0</v>
      </c>
      <c r="BJ27" s="201">
        <v>0</v>
      </c>
      <c r="BK27" s="202" t="str">
        <f t="shared" si="29"/>
        <v/>
      </c>
      <c r="BL27" s="203" t="s">
        <v>151</v>
      </c>
      <c r="BM27" s="204">
        <v>0</v>
      </c>
      <c r="BN27" s="203" t="s">
        <v>151</v>
      </c>
      <c r="BO27" s="201">
        <v>0</v>
      </c>
      <c r="BP27" s="201">
        <v>0</v>
      </c>
      <c r="BQ27" s="202" t="str">
        <f t="shared" si="30"/>
        <v/>
      </c>
      <c r="BR27" s="203" t="s">
        <v>151</v>
      </c>
      <c r="BS27" s="204">
        <v>0</v>
      </c>
      <c r="BT27" s="203" t="s">
        <v>151</v>
      </c>
      <c r="BU27" s="201">
        <v>0</v>
      </c>
      <c r="BV27" s="201">
        <v>0</v>
      </c>
      <c r="BW27" s="202" t="str">
        <f t="shared" si="31"/>
        <v/>
      </c>
      <c r="BX27" s="203" t="s">
        <v>151</v>
      </c>
      <c r="BY27" s="204">
        <v>0</v>
      </c>
      <c r="BZ27" s="203" t="s">
        <v>151</v>
      </c>
      <c r="CA27" s="201">
        <v>4</v>
      </c>
      <c r="CB27" s="201">
        <v>4</v>
      </c>
      <c r="CC27" s="202">
        <f t="shared" si="32"/>
        <v>1</v>
      </c>
      <c r="CD27" s="203" t="s">
        <v>151</v>
      </c>
      <c r="CE27" s="204">
        <v>0</v>
      </c>
      <c r="CF27" s="203" t="s">
        <v>151</v>
      </c>
      <c r="CG27" s="201">
        <v>2</v>
      </c>
      <c r="CH27" s="201">
        <v>2</v>
      </c>
      <c r="CI27" s="202">
        <f t="shared" si="33"/>
        <v>1</v>
      </c>
      <c r="CJ27" s="203" t="s">
        <v>151</v>
      </c>
      <c r="CK27" s="204">
        <v>0</v>
      </c>
      <c r="CL27" s="203" t="s">
        <v>151</v>
      </c>
      <c r="CM27" s="201">
        <v>4</v>
      </c>
      <c r="CN27" s="201">
        <v>1</v>
      </c>
      <c r="CO27" s="202">
        <f t="shared" si="34"/>
        <v>0.25</v>
      </c>
      <c r="CP27" s="203" t="s">
        <v>476</v>
      </c>
      <c r="CQ27" s="204">
        <v>3</v>
      </c>
      <c r="CR27" s="203" t="s">
        <v>477</v>
      </c>
      <c r="CS27" s="201">
        <v>1</v>
      </c>
      <c r="CT27" s="201">
        <v>1</v>
      </c>
      <c r="CU27" s="202">
        <f t="shared" si="35"/>
        <v>1</v>
      </c>
      <c r="CV27" s="203" t="s">
        <v>151</v>
      </c>
      <c r="CW27" s="204">
        <v>0</v>
      </c>
      <c r="CX27" s="203" t="s">
        <v>151</v>
      </c>
      <c r="CY27" s="201">
        <v>0</v>
      </c>
      <c r="CZ27" s="201">
        <v>0</v>
      </c>
      <c r="DA27" s="202" t="str">
        <f t="shared" si="36"/>
        <v/>
      </c>
      <c r="DB27" s="203" t="s">
        <v>151</v>
      </c>
      <c r="DC27" s="204">
        <v>0</v>
      </c>
      <c r="DD27" s="203" t="s">
        <v>151</v>
      </c>
      <c r="DE27" s="201">
        <v>9</v>
      </c>
      <c r="DF27" s="201">
        <v>6</v>
      </c>
      <c r="DG27" s="202">
        <f t="shared" si="37"/>
        <v>0.66666666666666663</v>
      </c>
      <c r="DH27" s="203" t="s">
        <v>476</v>
      </c>
      <c r="DI27" s="204">
        <v>2</v>
      </c>
      <c r="DJ27" s="203" t="s">
        <v>462</v>
      </c>
      <c r="DK27" s="201">
        <v>13</v>
      </c>
      <c r="DL27" s="201">
        <v>11</v>
      </c>
      <c r="DM27" s="202">
        <f t="shared" si="38"/>
        <v>0.84615384615384615</v>
      </c>
      <c r="DN27" s="203" t="s">
        <v>692</v>
      </c>
      <c r="DO27" s="204">
        <v>0</v>
      </c>
      <c r="DP27" s="203" t="s">
        <v>151</v>
      </c>
      <c r="DQ27" s="201">
        <v>2</v>
      </c>
      <c r="DR27" s="201">
        <v>1</v>
      </c>
      <c r="DS27" s="202">
        <f t="shared" si="39"/>
        <v>0.5</v>
      </c>
      <c r="DT27" s="203" t="s">
        <v>483</v>
      </c>
      <c r="DU27" s="203">
        <v>0</v>
      </c>
      <c r="DV27" s="203" t="s">
        <v>151</v>
      </c>
      <c r="DW27" s="201">
        <v>0</v>
      </c>
      <c r="DX27" s="201">
        <v>0</v>
      </c>
      <c r="DY27" s="202" t="str">
        <f t="shared" si="40"/>
        <v/>
      </c>
      <c r="DZ27" s="203" t="s">
        <v>151</v>
      </c>
      <c r="EA27" s="204">
        <v>0</v>
      </c>
      <c r="EB27" s="203" t="s">
        <v>151</v>
      </c>
      <c r="EC27" s="201">
        <v>4</v>
      </c>
      <c r="ED27" s="201">
        <v>0</v>
      </c>
      <c r="EE27" s="202">
        <f t="shared" si="41"/>
        <v>0</v>
      </c>
      <c r="EF27" s="203" t="s">
        <v>476</v>
      </c>
      <c r="EG27" s="204">
        <v>4</v>
      </c>
      <c r="EH27" s="203" t="s">
        <v>486</v>
      </c>
      <c r="EI27" s="201">
        <v>8</v>
      </c>
      <c r="EJ27" s="201">
        <v>1</v>
      </c>
      <c r="EK27" s="202">
        <f t="shared" si="42"/>
        <v>0.125</v>
      </c>
      <c r="EL27" s="203" t="s">
        <v>476</v>
      </c>
      <c r="EM27" s="204">
        <v>7</v>
      </c>
      <c r="EN27" s="203" t="s">
        <v>489</v>
      </c>
      <c r="EO27" s="201"/>
      <c r="EP27" s="201"/>
      <c r="EQ27" s="202" t="str">
        <f t="shared" si="43"/>
        <v/>
      </c>
      <c r="ER27" s="203" t="s">
        <v>151</v>
      </c>
      <c r="ES27" s="204"/>
      <c r="ET27" s="203" t="s">
        <v>151</v>
      </c>
      <c r="EU27" s="201">
        <v>2</v>
      </c>
      <c r="EV27" s="201">
        <v>2</v>
      </c>
      <c r="EW27" s="202">
        <f t="shared" si="44"/>
        <v>1</v>
      </c>
      <c r="EX27" s="203" t="s">
        <v>151</v>
      </c>
      <c r="EY27" s="204">
        <v>0</v>
      </c>
      <c r="EZ27" s="203" t="s">
        <v>151</v>
      </c>
      <c r="FA27" s="201">
        <v>9</v>
      </c>
      <c r="FB27" s="201">
        <v>2</v>
      </c>
      <c r="FC27" s="202">
        <f t="shared" si="45"/>
        <v>0.22222222222222221</v>
      </c>
      <c r="FD27" s="203" t="s">
        <v>476</v>
      </c>
      <c r="FE27" s="204">
        <v>7</v>
      </c>
      <c r="FF27" s="203" t="s">
        <v>492</v>
      </c>
      <c r="FG27" s="201">
        <v>0</v>
      </c>
      <c r="FH27" s="201">
        <v>0</v>
      </c>
      <c r="FI27" s="202" t="str">
        <f t="shared" si="46"/>
        <v/>
      </c>
      <c r="FJ27" s="203" t="s">
        <v>151</v>
      </c>
      <c r="FK27" s="204">
        <v>0</v>
      </c>
      <c r="FL27" s="203" t="s">
        <v>151</v>
      </c>
      <c r="FM27" s="201">
        <v>0</v>
      </c>
      <c r="FN27" s="201">
        <v>0</v>
      </c>
      <c r="FO27" s="202" t="str">
        <f t="shared" si="47"/>
        <v/>
      </c>
      <c r="FP27" s="203" t="s">
        <v>151</v>
      </c>
      <c r="FQ27" s="204">
        <v>0</v>
      </c>
      <c r="FR27" s="203" t="s">
        <v>151</v>
      </c>
      <c r="FS27" s="201">
        <v>1</v>
      </c>
      <c r="FT27" s="201">
        <v>1</v>
      </c>
      <c r="FU27" s="202">
        <f t="shared" si="48"/>
        <v>1</v>
      </c>
      <c r="FV27" s="203" t="s">
        <v>151</v>
      </c>
      <c r="FW27" s="204">
        <v>0</v>
      </c>
      <c r="FX27" s="203" t="s">
        <v>151</v>
      </c>
      <c r="FY27" s="201">
        <v>2</v>
      </c>
      <c r="FZ27" s="201">
        <v>2</v>
      </c>
      <c r="GA27" s="202">
        <f t="shared" si="49"/>
        <v>1</v>
      </c>
      <c r="GB27" s="203" t="s">
        <v>151</v>
      </c>
      <c r="GC27" s="204">
        <v>0</v>
      </c>
      <c r="GD27" s="203" t="s">
        <v>151</v>
      </c>
      <c r="GE27" s="203" t="s">
        <v>437</v>
      </c>
      <c r="GF27" s="203" t="s">
        <v>439</v>
      </c>
      <c r="GG27" s="204" t="s">
        <v>152</v>
      </c>
      <c r="GH27" s="204" t="s">
        <v>151</v>
      </c>
      <c r="GI27" s="204" t="s">
        <v>152</v>
      </c>
      <c r="GJ27" s="204" t="s">
        <v>152</v>
      </c>
      <c r="GK27" s="203" t="s">
        <v>151</v>
      </c>
      <c r="GL27" s="204" t="s">
        <v>152</v>
      </c>
      <c r="GM27" s="204" t="s">
        <v>152</v>
      </c>
      <c r="GN27" s="204" t="s">
        <v>152</v>
      </c>
      <c r="GO27" s="204" t="s">
        <v>152</v>
      </c>
      <c r="GP27" s="204" t="s">
        <v>151</v>
      </c>
      <c r="GQ27" s="204" t="s">
        <v>151</v>
      </c>
      <c r="GR27" s="100" t="s">
        <v>152</v>
      </c>
      <c r="GS27" s="101"/>
      <c r="GT27" s="204" t="s">
        <v>152</v>
      </c>
      <c r="GU27" s="204"/>
      <c r="GV27" s="204"/>
      <c r="GW27" s="145" t="s">
        <v>152</v>
      </c>
      <c r="GX27" s="145"/>
      <c r="GY27" s="204" t="s">
        <v>149</v>
      </c>
      <c r="GZ27" s="203" t="s">
        <v>152</v>
      </c>
      <c r="HA27" s="203"/>
      <c r="HB27" s="203"/>
      <c r="HC27" s="203"/>
      <c r="HD27" s="203"/>
      <c r="HE27" s="203"/>
      <c r="HF27" s="203"/>
      <c r="HG27" s="203" t="s">
        <v>152</v>
      </c>
      <c r="HH27" s="203"/>
      <c r="HI27" s="203"/>
      <c r="HJ27" s="203"/>
      <c r="HK27" s="203"/>
      <c r="HL27" s="203"/>
      <c r="HM27" s="203"/>
      <c r="HN27" s="204" t="s">
        <v>457</v>
      </c>
      <c r="HO27" s="203"/>
      <c r="HP27" s="203"/>
      <c r="HQ27" s="203"/>
      <c r="HR27" s="203"/>
      <c r="HS27" s="203"/>
      <c r="HT27" s="203"/>
      <c r="HU27" s="203" t="s">
        <v>152</v>
      </c>
      <c r="HV27" s="203"/>
      <c r="HW27" s="203"/>
      <c r="HX27" s="203"/>
      <c r="HY27" s="203"/>
      <c r="HZ27" s="203"/>
      <c r="IA27" s="203" t="s">
        <v>152</v>
      </c>
      <c r="IB27" s="203"/>
      <c r="IC27" s="203"/>
      <c r="ID27" s="203" t="s">
        <v>693</v>
      </c>
      <c r="IE27" s="203"/>
      <c r="IF27" s="204" t="s">
        <v>457</v>
      </c>
      <c r="IG27" s="203"/>
      <c r="IH27" s="203"/>
      <c r="II27" s="203" t="s">
        <v>694</v>
      </c>
      <c r="IJ27" s="140" t="str">
        <f t="shared" si="2"/>
        <v>○</v>
      </c>
    </row>
    <row r="28" spans="1:244" s="93" customFormat="1" ht="110.1" customHeight="1">
      <c r="A28" s="97" t="s">
        <v>181</v>
      </c>
      <c r="B28" s="204" t="s">
        <v>182</v>
      </c>
      <c r="C28" s="198" t="s">
        <v>152</v>
      </c>
      <c r="D28" s="198" t="s">
        <v>151</v>
      </c>
      <c r="E28" s="203" t="s">
        <v>151</v>
      </c>
      <c r="F28" s="198" t="s">
        <v>152</v>
      </c>
      <c r="G28" s="198"/>
      <c r="H28" s="203"/>
      <c r="I28" s="198"/>
      <c r="J28" s="198" t="s">
        <v>151</v>
      </c>
      <c r="K28" s="203" t="s">
        <v>151</v>
      </c>
      <c r="L28" s="198" t="s">
        <v>152</v>
      </c>
      <c r="M28" s="198" t="s">
        <v>151</v>
      </c>
      <c r="N28" s="203" t="s">
        <v>151</v>
      </c>
      <c r="O28" s="198"/>
      <c r="P28" s="198" t="s">
        <v>152</v>
      </c>
      <c r="Q28" s="203" t="s">
        <v>602</v>
      </c>
      <c r="R28" s="198" t="s">
        <v>152</v>
      </c>
      <c r="S28" s="198" t="s">
        <v>151</v>
      </c>
      <c r="T28" s="203" t="s">
        <v>151</v>
      </c>
      <c r="U28" s="198" t="s">
        <v>152</v>
      </c>
      <c r="V28" s="198" t="s">
        <v>151</v>
      </c>
      <c r="W28" s="203" t="s">
        <v>151</v>
      </c>
      <c r="X28" s="204"/>
      <c r="Y28" s="204"/>
      <c r="Z28" s="204" t="s">
        <v>152</v>
      </c>
      <c r="AA28" s="98" t="str">
        <f t="shared" si="52"/>
        <v/>
      </c>
      <c r="AB28" s="204" t="s">
        <v>152</v>
      </c>
      <c r="AC28" s="204"/>
      <c r="AD28" s="98" t="str">
        <f t="shared" si="51"/>
        <v>○</v>
      </c>
      <c r="AE28" s="99" t="s">
        <v>152</v>
      </c>
      <c r="AF28" s="203" t="s">
        <v>231</v>
      </c>
      <c r="AG28" s="203"/>
      <c r="AH28" s="198" t="s">
        <v>160</v>
      </c>
      <c r="AI28" s="198" t="s">
        <v>151</v>
      </c>
      <c r="AJ28" s="203" t="s">
        <v>151</v>
      </c>
      <c r="AK28" s="198" t="s">
        <v>152</v>
      </c>
      <c r="AL28" s="198" t="s">
        <v>151</v>
      </c>
      <c r="AM28" s="203" t="s">
        <v>151</v>
      </c>
      <c r="AN28" s="198" t="s">
        <v>152</v>
      </c>
      <c r="AO28" s="198" t="s">
        <v>151</v>
      </c>
      <c r="AP28" s="203" t="s">
        <v>151</v>
      </c>
      <c r="AQ28" s="198" t="s">
        <v>152</v>
      </c>
      <c r="AR28" s="198" t="s">
        <v>151</v>
      </c>
      <c r="AS28" s="203" t="s">
        <v>151</v>
      </c>
      <c r="AT28" s="198" t="s">
        <v>152</v>
      </c>
      <c r="AU28" s="198" t="s">
        <v>152</v>
      </c>
      <c r="AV28" s="101" t="s">
        <v>695</v>
      </c>
      <c r="AW28" s="201">
        <v>5</v>
      </c>
      <c r="AX28" s="201">
        <v>5</v>
      </c>
      <c r="AY28" s="202">
        <f t="shared" ref="AY28" si="53">IF(ISERROR(AX28/AW28),"",AX28/AW28)</f>
        <v>1</v>
      </c>
      <c r="AZ28" s="203" t="s">
        <v>151</v>
      </c>
      <c r="BA28" s="204">
        <v>0</v>
      </c>
      <c r="BB28" s="203" t="s">
        <v>151</v>
      </c>
      <c r="BC28" s="201">
        <v>5</v>
      </c>
      <c r="BD28" s="201">
        <v>5</v>
      </c>
      <c r="BE28" s="202">
        <f t="shared" si="28"/>
        <v>1</v>
      </c>
      <c r="BF28" s="203" t="s">
        <v>151</v>
      </c>
      <c r="BG28" s="204">
        <v>0</v>
      </c>
      <c r="BH28" s="203" t="s">
        <v>151</v>
      </c>
      <c r="BI28" s="201">
        <v>4</v>
      </c>
      <c r="BJ28" s="201">
        <v>4</v>
      </c>
      <c r="BK28" s="202">
        <f t="shared" si="29"/>
        <v>1</v>
      </c>
      <c r="BL28" s="203" t="s">
        <v>151</v>
      </c>
      <c r="BM28" s="204">
        <v>0</v>
      </c>
      <c r="BN28" s="203" t="s">
        <v>151</v>
      </c>
      <c r="BO28" s="201">
        <v>0</v>
      </c>
      <c r="BP28" s="201">
        <v>0</v>
      </c>
      <c r="BQ28" s="202" t="str">
        <f t="shared" si="30"/>
        <v/>
      </c>
      <c r="BR28" s="203" t="s">
        <v>151</v>
      </c>
      <c r="BS28" s="204">
        <v>0</v>
      </c>
      <c r="BT28" s="203" t="s">
        <v>151</v>
      </c>
      <c r="BU28" s="201">
        <v>0</v>
      </c>
      <c r="BV28" s="201">
        <v>0</v>
      </c>
      <c r="BW28" s="202" t="str">
        <f t="shared" si="31"/>
        <v/>
      </c>
      <c r="BX28" s="203" t="s">
        <v>151</v>
      </c>
      <c r="BY28" s="204">
        <v>0</v>
      </c>
      <c r="BZ28" s="203" t="s">
        <v>151</v>
      </c>
      <c r="CA28" s="201">
        <v>1</v>
      </c>
      <c r="CB28" s="201">
        <v>1</v>
      </c>
      <c r="CC28" s="202">
        <f t="shared" si="32"/>
        <v>1</v>
      </c>
      <c r="CD28" s="203" t="s">
        <v>151</v>
      </c>
      <c r="CE28" s="204">
        <v>0</v>
      </c>
      <c r="CF28" s="203" t="s">
        <v>151</v>
      </c>
      <c r="CG28" s="167" t="s">
        <v>603</v>
      </c>
      <c r="CH28" s="167" t="s">
        <v>603</v>
      </c>
      <c r="CI28" s="202">
        <v>1</v>
      </c>
      <c r="CJ28" s="203" t="s">
        <v>151</v>
      </c>
      <c r="CK28" s="204">
        <v>0</v>
      </c>
      <c r="CL28" s="203" t="s">
        <v>151</v>
      </c>
      <c r="CM28" s="201">
        <v>0</v>
      </c>
      <c r="CN28" s="201">
        <v>0</v>
      </c>
      <c r="CO28" s="202" t="str">
        <f t="shared" si="34"/>
        <v/>
      </c>
      <c r="CP28" s="203" t="s">
        <v>151</v>
      </c>
      <c r="CQ28" s="204">
        <v>0</v>
      </c>
      <c r="CR28" s="203" t="s">
        <v>151</v>
      </c>
      <c r="CS28" s="201">
        <v>1</v>
      </c>
      <c r="CT28" s="201">
        <v>1</v>
      </c>
      <c r="CU28" s="202">
        <f t="shared" si="35"/>
        <v>1</v>
      </c>
      <c r="CV28" s="203" t="s">
        <v>151</v>
      </c>
      <c r="CW28" s="204">
        <v>0</v>
      </c>
      <c r="CX28" s="203" t="s">
        <v>151</v>
      </c>
      <c r="CY28" s="201">
        <v>0</v>
      </c>
      <c r="CZ28" s="201">
        <v>0</v>
      </c>
      <c r="DA28" s="202" t="str">
        <f t="shared" si="36"/>
        <v/>
      </c>
      <c r="DB28" s="203" t="s">
        <v>151</v>
      </c>
      <c r="DC28" s="204">
        <v>0</v>
      </c>
      <c r="DD28" s="203" t="s">
        <v>151</v>
      </c>
      <c r="DE28" s="167" t="s">
        <v>604</v>
      </c>
      <c r="DF28" s="167" t="s">
        <v>604</v>
      </c>
      <c r="DG28" s="202">
        <v>1</v>
      </c>
      <c r="DH28" s="203" t="s">
        <v>151</v>
      </c>
      <c r="DI28" s="204">
        <v>0</v>
      </c>
      <c r="DJ28" s="203" t="s">
        <v>151</v>
      </c>
      <c r="DK28" s="201">
        <v>90</v>
      </c>
      <c r="DL28" s="201">
        <v>19</v>
      </c>
      <c r="DM28" s="202">
        <f t="shared" si="38"/>
        <v>0.21111111111111111</v>
      </c>
      <c r="DN28" s="203"/>
      <c r="DO28" s="204">
        <v>0</v>
      </c>
      <c r="DP28" s="203" t="s">
        <v>151</v>
      </c>
      <c r="DQ28" s="201">
        <v>1</v>
      </c>
      <c r="DR28" s="201">
        <v>1</v>
      </c>
      <c r="DS28" s="202">
        <f t="shared" si="39"/>
        <v>1</v>
      </c>
      <c r="DT28" s="203" t="s">
        <v>151</v>
      </c>
      <c r="DU28" s="204">
        <v>0</v>
      </c>
      <c r="DV28" s="203" t="s">
        <v>151</v>
      </c>
      <c r="DW28" s="201">
        <v>0</v>
      </c>
      <c r="DX28" s="201">
        <v>0</v>
      </c>
      <c r="DY28" s="202" t="str">
        <f t="shared" si="40"/>
        <v/>
      </c>
      <c r="DZ28" s="203" t="s">
        <v>151</v>
      </c>
      <c r="EA28" s="204">
        <v>0</v>
      </c>
      <c r="EB28" s="203" t="s">
        <v>151</v>
      </c>
      <c r="EC28" s="201">
        <v>1</v>
      </c>
      <c r="ED28" s="201">
        <v>1</v>
      </c>
      <c r="EE28" s="202">
        <f t="shared" si="41"/>
        <v>1</v>
      </c>
      <c r="EF28" s="203" t="s">
        <v>151</v>
      </c>
      <c r="EG28" s="204">
        <v>1</v>
      </c>
      <c r="EH28" s="203" t="s">
        <v>316</v>
      </c>
      <c r="EI28" s="167" t="s">
        <v>605</v>
      </c>
      <c r="EJ28" s="167" t="s">
        <v>606</v>
      </c>
      <c r="EK28" s="202">
        <v>0.81799999999999995</v>
      </c>
      <c r="EL28" s="203" t="s">
        <v>607</v>
      </c>
      <c r="EM28" s="101" t="s">
        <v>608</v>
      </c>
      <c r="EN28" s="203" t="s">
        <v>609</v>
      </c>
      <c r="EO28" s="201">
        <v>0</v>
      </c>
      <c r="EP28" s="201">
        <v>0</v>
      </c>
      <c r="EQ28" s="202" t="str">
        <f t="shared" si="43"/>
        <v/>
      </c>
      <c r="ER28" s="203" t="s">
        <v>151</v>
      </c>
      <c r="ES28" s="204">
        <v>0</v>
      </c>
      <c r="ET28" s="203" t="s">
        <v>151</v>
      </c>
      <c r="EU28" s="201">
        <v>4</v>
      </c>
      <c r="EV28" s="201">
        <v>4</v>
      </c>
      <c r="EW28" s="202">
        <f t="shared" si="44"/>
        <v>1</v>
      </c>
      <c r="EX28" s="203" t="s">
        <v>151</v>
      </c>
      <c r="EY28" s="204">
        <v>0</v>
      </c>
      <c r="EZ28" s="203" t="s">
        <v>151</v>
      </c>
      <c r="FA28" s="201">
        <v>6</v>
      </c>
      <c r="FB28" s="201">
        <v>5</v>
      </c>
      <c r="FC28" s="202">
        <f t="shared" si="45"/>
        <v>0.83333333333333337</v>
      </c>
      <c r="FD28" s="203" t="s">
        <v>393</v>
      </c>
      <c r="FE28" s="204">
        <v>1</v>
      </c>
      <c r="FF28" s="203" t="s">
        <v>394</v>
      </c>
      <c r="FG28" s="201">
        <v>0</v>
      </c>
      <c r="FH28" s="201">
        <v>0</v>
      </c>
      <c r="FI28" s="202" t="str">
        <f t="shared" si="46"/>
        <v/>
      </c>
      <c r="FJ28" s="203" t="s">
        <v>151</v>
      </c>
      <c r="FK28" s="204">
        <v>0</v>
      </c>
      <c r="FL28" s="203" t="s">
        <v>151</v>
      </c>
      <c r="FM28" s="201">
        <v>0</v>
      </c>
      <c r="FN28" s="201">
        <v>0</v>
      </c>
      <c r="FO28" s="202" t="str">
        <f t="shared" si="47"/>
        <v/>
      </c>
      <c r="FP28" s="203" t="s">
        <v>151</v>
      </c>
      <c r="FQ28" s="204">
        <v>0</v>
      </c>
      <c r="FR28" s="203" t="s">
        <v>151</v>
      </c>
      <c r="FS28" s="201">
        <v>4</v>
      </c>
      <c r="FT28" s="201">
        <v>4</v>
      </c>
      <c r="FU28" s="202">
        <v>1</v>
      </c>
      <c r="FV28" s="203" t="s">
        <v>151</v>
      </c>
      <c r="FW28" s="101" t="s">
        <v>610</v>
      </c>
      <c r="FX28" s="203" t="s">
        <v>543</v>
      </c>
      <c r="FY28" s="201">
        <v>0</v>
      </c>
      <c r="FZ28" s="201">
        <v>0</v>
      </c>
      <c r="GA28" s="202" t="str">
        <f t="shared" si="49"/>
        <v/>
      </c>
      <c r="GB28" s="203" t="s">
        <v>151</v>
      </c>
      <c r="GC28" s="204">
        <v>0</v>
      </c>
      <c r="GD28" s="203"/>
      <c r="GE28" s="203" t="s">
        <v>437</v>
      </c>
      <c r="GF28" s="203" t="s">
        <v>438</v>
      </c>
      <c r="GG28" s="204" t="s">
        <v>152</v>
      </c>
      <c r="GH28" s="204" t="s">
        <v>152</v>
      </c>
      <c r="GI28" s="204" t="s">
        <v>152</v>
      </c>
      <c r="GJ28" s="204" t="s">
        <v>151</v>
      </c>
      <c r="GK28" s="203" t="s">
        <v>151</v>
      </c>
      <c r="GL28" s="204" t="s">
        <v>152</v>
      </c>
      <c r="GM28" s="204" t="s">
        <v>152</v>
      </c>
      <c r="GN28" s="204" t="s">
        <v>151</v>
      </c>
      <c r="GO28" s="204" t="s">
        <v>152</v>
      </c>
      <c r="GP28" s="204" t="s">
        <v>151</v>
      </c>
      <c r="GQ28" s="204" t="s">
        <v>151</v>
      </c>
      <c r="GR28" s="100"/>
      <c r="GS28" s="101"/>
      <c r="GT28" s="204" t="s">
        <v>152</v>
      </c>
      <c r="GU28" s="204"/>
      <c r="GV28" s="204"/>
      <c r="GW28" s="145" t="s">
        <v>152</v>
      </c>
      <c r="GX28" s="145"/>
      <c r="GY28" s="204" t="s">
        <v>149</v>
      </c>
      <c r="GZ28" s="204" t="s">
        <v>457</v>
      </c>
      <c r="HA28" s="203"/>
      <c r="HB28" s="203"/>
      <c r="HC28" s="203"/>
      <c r="HD28" s="203"/>
      <c r="HE28" s="203"/>
      <c r="HF28" s="203"/>
      <c r="HG28" s="204" t="s">
        <v>457</v>
      </c>
      <c r="HH28" s="203"/>
      <c r="HI28" s="203"/>
      <c r="HJ28" s="203"/>
      <c r="HK28" s="203"/>
      <c r="HL28" s="203"/>
      <c r="HM28" s="203"/>
      <c r="HN28" s="204" t="s">
        <v>457</v>
      </c>
      <c r="HO28" s="203"/>
      <c r="HP28" s="203"/>
      <c r="HQ28" s="203"/>
      <c r="HR28" s="203"/>
      <c r="HS28" s="203"/>
      <c r="HT28" s="203"/>
      <c r="HU28" s="203"/>
      <c r="HV28" s="203"/>
      <c r="HW28" s="204" t="s">
        <v>457</v>
      </c>
      <c r="HX28" s="203"/>
      <c r="HY28" s="203" t="s">
        <v>696</v>
      </c>
      <c r="HZ28" s="203"/>
      <c r="IA28" s="203"/>
      <c r="IB28" s="204" t="s">
        <v>457</v>
      </c>
      <c r="IC28" s="203"/>
      <c r="ID28" s="203" t="s">
        <v>697</v>
      </c>
      <c r="IE28" s="203"/>
      <c r="IF28" s="204" t="s">
        <v>750</v>
      </c>
      <c r="IG28" s="203"/>
      <c r="IH28" s="203"/>
      <c r="II28" s="203" t="s">
        <v>698</v>
      </c>
      <c r="IJ28" s="140" t="str">
        <f t="shared" si="2"/>
        <v>○</v>
      </c>
    </row>
    <row r="29" spans="1:244" s="93" customFormat="1" ht="167.25" customHeight="1">
      <c r="A29" s="97" t="s">
        <v>569</v>
      </c>
      <c r="B29" s="198" t="s">
        <v>183</v>
      </c>
      <c r="C29" s="198" t="s">
        <v>152</v>
      </c>
      <c r="D29" s="198" t="s">
        <v>151</v>
      </c>
      <c r="E29" s="168" t="s">
        <v>151</v>
      </c>
      <c r="F29" s="198" t="s">
        <v>152</v>
      </c>
      <c r="G29" s="198" t="s">
        <v>151</v>
      </c>
      <c r="H29" s="168" t="s">
        <v>151</v>
      </c>
      <c r="I29" s="198" t="s">
        <v>152</v>
      </c>
      <c r="J29" s="198" t="s">
        <v>151</v>
      </c>
      <c r="K29" s="168" t="s">
        <v>151</v>
      </c>
      <c r="L29" s="198" t="s">
        <v>152</v>
      </c>
      <c r="M29" s="198" t="s">
        <v>151</v>
      </c>
      <c r="N29" s="168" t="s">
        <v>151</v>
      </c>
      <c r="O29" s="198" t="s">
        <v>152</v>
      </c>
      <c r="P29" s="198" t="s">
        <v>151</v>
      </c>
      <c r="Q29" s="168" t="s">
        <v>151</v>
      </c>
      <c r="R29" s="198" t="s">
        <v>152</v>
      </c>
      <c r="S29" s="198" t="s">
        <v>151</v>
      </c>
      <c r="T29" s="168" t="s">
        <v>151</v>
      </c>
      <c r="U29" s="198" t="s">
        <v>152</v>
      </c>
      <c r="V29" s="198" t="s">
        <v>151</v>
      </c>
      <c r="W29" s="168" t="s">
        <v>151</v>
      </c>
      <c r="X29" s="198"/>
      <c r="Y29" s="198"/>
      <c r="Z29" s="198" t="s">
        <v>152</v>
      </c>
      <c r="AA29" s="169" t="s">
        <v>149</v>
      </c>
      <c r="AB29" s="198" t="s">
        <v>152</v>
      </c>
      <c r="AC29" s="198"/>
      <c r="AD29" s="169" t="s">
        <v>152</v>
      </c>
      <c r="AE29" s="198"/>
      <c r="AF29" s="168" t="s">
        <v>570</v>
      </c>
      <c r="AG29" s="168"/>
      <c r="AH29" s="198" t="s">
        <v>152</v>
      </c>
      <c r="AI29" s="198" t="s">
        <v>151</v>
      </c>
      <c r="AJ29" s="168" t="s">
        <v>151</v>
      </c>
      <c r="AK29" s="198" t="s">
        <v>152</v>
      </c>
      <c r="AL29" s="198" t="s">
        <v>151</v>
      </c>
      <c r="AM29" s="168" t="s">
        <v>151</v>
      </c>
      <c r="AN29" s="198" t="s">
        <v>152</v>
      </c>
      <c r="AO29" s="198" t="s">
        <v>151</v>
      </c>
      <c r="AP29" s="168" t="s">
        <v>151</v>
      </c>
      <c r="AQ29" s="198" t="s">
        <v>152</v>
      </c>
      <c r="AR29" s="198" t="s">
        <v>151</v>
      </c>
      <c r="AS29" s="168" t="s">
        <v>151</v>
      </c>
      <c r="AT29" s="198" t="s">
        <v>152</v>
      </c>
      <c r="AU29" s="198" t="s">
        <v>151</v>
      </c>
      <c r="AV29" s="168" t="s">
        <v>151</v>
      </c>
      <c r="AW29" s="201">
        <v>0</v>
      </c>
      <c r="AX29" s="201">
        <v>0</v>
      </c>
      <c r="AY29" s="202" t="s">
        <v>149</v>
      </c>
      <c r="AZ29" s="168" t="s">
        <v>151</v>
      </c>
      <c r="BA29" s="198">
        <v>0</v>
      </c>
      <c r="BB29" s="168" t="s">
        <v>151</v>
      </c>
      <c r="BC29" s="201">
        <v>4</v>
      </c>
      <c r="BD29" s="201">
        <v>4</v>
      </c>
      <c r="BE29" s="202">
        <v>1</v>
      </c>
      <c r="BF29" s="168" t="s">
        <v>151</v>
      </c>
      <c r="BG29" s="198">
        <v>0</v>
      </c>
      <c r="BH29" s="168" t="s">
        <v>151</v>
      </c>
      <c r="BI29" s="201">
        <v>0</v>
      </c>
      <c r="BJ29" s="201">
        <v>0</v>
      </c>
      <c r="BK29" s="202" t="s">
        <v>149</v>
      </c>
      <c r="BL29" s="168" t="s">
        <v>151</v>
      </c>
      <c r="BM29" s="198">
        <v>0</v>
      </c>
      <c r="BN29" s="168" t="s">
        <v>151</v>
      </c>
      <c r="BO29" s="201">
        <v>0</v>
      </c>
      <c r="BP29" s="201">
        <v>0</v>
      </c>
      <c r="BQ29" s="202" t="s">
        <v>149</v>
      </c>
      <c r="BR29" s="168" t="s">
        <v>151</v>
      </c>
      <c r="BS29" s="198">
        <v>0</v>
      </c>
      <c r="BT29" s="168" t="s">
        <v>151</v>
      </c>
      <c r="BU29" s="201">
        <v>0</v>
      </c>
      <c r="BV29" s="201">
        <v>0</v>
      </c>
      <c r="BW29" s="202" t="s">
        <v>149</v>
      </c>
      <c r="BX29" s="168" t="s">
        <v>151</v>
      </c>
      <c r="BY29" s="198">
        <v>0</v>
      </c>
      <c r="BZ29" s="168" t="s">
        <v>151</v>
      </c>
      <c r="CA29" s="201">
        <v>0</v>
      </c>
      <c r="CB29" s="201">
        <v>0</v>
      </c>
      <c r="CC29" s="202" t="s">
        <v>149</v>
      </c>
      <c r="CD29" s="168" t="s">
        <v>151</v>
      </c>
      <c r="CE29" s="198">
        <v>0</v>
      </c>
      <c r="CF29" s="168" t="s">
        <v>151</v>
      </c>
      <c r="CG29" s="201">
        <v>0</v>
      </c>
      <c r="CH29" s="201">
        <v>0</v>
      </c>
      <c r="CI29" s="202" t="s">
        <v>149</v>
      </c>
      <c r="CJ29" s="168" t="s">
        <v>151</v>
      </c>
      <c r="CK29" s="198">
        <v>0</v>
      </c>
      <c r="CL29" s="168" t="s">
        <v>151</v>
      </c>
      <c r="CM29" s="201">
        <v>0</v>
      </c>
      <c r="CN29" s="201">
        <v>0</v>
      </c>
      <c r="CO29" s="202" t="s">
        <v>149</v>
      </c>
      <c r="CP29" s="168" t="s">
        <v>151</v>
      </c>
      <c r="CQ29" s="198">
        <v>0</v>
      </c>
      <c r="CR29" s="168" t="s">
        <v>151</v>
      </c>
      <c r="CS29" s="201">
        <v>0</v>
      </c>
      <c r="CT29" s="201">
        <v>0</v>
      </c>
      <c r="CU29" s="202" t="s">
        <v>149</v>
      </c>
      <c r="CV29" s="168" t="s">
        <v>151</v>
      </c>
      <c r="CW29" s="198">
        <v>0</v>
      </c>
      <c r="CX29" s="168" t="s">
        <v>151</v>
      </c>
      <c r="CY29" s="201">
        <v>0</v>
      </c>
      <c r="CZ29" s="201">
        <v>0</v>
      </c>
      <c r="DA29" s="202" t="s">
        <v>149</v>
      </c>
      <c r="DB29" s="168" t="s">
        <v>151</v>
      </c>
      <c r="DC29" s="198">
        <v>0</v>
      </c>
      <c r="DD29" s="168" t="s">
        <v>151</v>
      </c>
      <c r="DE29" s="201">
        <v>4</v>
      </c>
      <c r="DF29" s="201">
        <v>4</v>
      </c>
      <c r="DG29" s="199">
        <v>1</v>
      </c>
      <c r="DH29" s="203" t="s">
        <v>151</v>
      </c>
      <c r="DI29" s="204">
        <v>0</v>
      </c>
      <c r="DJ29" s="203" t="s">
        <v>151</v>
      </c>
      <c r="DK29" s="201">
        <v>144</v>
      </c>
      <c r="DL29" s="201">
        <v>0</v>
      </c>
      <c r="DM29" s="199">
        <v>0</v>
      </c>
      <c r="DN29" s="200" t="s">
        <v>776</v>
      </c>
      <c r="DO29" s="204">
        <v>0</v>
      </c>
      <c r="DP29" s="203" t="s">
        <v>151</v>
      </c>
      <c r="DQ29" s="201">
        <v>0</v>
      </c>
      <c r="DR29" s="201">
        <v>0</v>
      </c>
      <c r="DS29" s="199" t="s">
        <v>149</v>
      </c>
      <c r="DT29" s="203" t="s">
        <v>151</v>
      </c>
      <c r="DU29" s="204">
        <v>0</v>
      </c>
      <c r="DV29" s="203" t="s">
        <v>151</v>
      </c>
      <c r="DW29" s="201">
        <v>0</v>
      </c>
      <c r="DX29" s="201">
        <v>0</v>
      </c>
      <c r="DY29" s="199" t="s">
        <v>149</v>
      </c>
      <c r="DZ29" s="203" t="s">
        <v>151</v>
      </c>
      <c r="EA29" s="204">
        <v>0</v>
      </c>
      <c r="EB29" s="203" t="s">
        <v>151</v>
      </c>
      <c r="EC29" s="201">
        <v>1</v>
      </c>
      <c r="ED29" s="201">
        <v>0</v>
      </c>
      <c r="EE29" s="199">
        <v>0</v>
      </c>
      <c r="EF29" s="203" t="s">
        <v>777</v>
      </c>
      <c r="EG29" s="204">
        <v>1</v>
      </c>
      <c r="EH29" s="200" t="s">
        <v>699</v>
      </c>
      <c r="EI29" s="201">
        <v>7</v>
      </c>
      <c r="EJ29" s="201">
        <v>3</v>
      </c>
      <c r="EK29" s="199">
        <v>0.42799999999999999</v>
      </c>
      <c r="EL29" s="203" t="s">
        <v>778</v>
      </c>
      <c r="EM29" s="204">
        <v>1</v>
      </c>
      <c r="EN29" s="203" t="s">
        <v>359</v>
      </c>
      <c r="EO29" s="201">
        <v>0</v>
      </c>
      <c r="EP29" s="201">
        <v>0</v>
      </c>
      <c r="EQ29" s="199" t="s">
        <v>149</v>
      </c>
      <c r="ER29" s="203" t="s">
        <v>151</v>
      </c>
      <c r="ES29" s="204">
        <v>0</v>
      </c>
      <c r="ET29" s="203" t="s">
        <v>151</v>
      </c>
      <c r="EU29" s="201">
        <v>5</v>
      </c>
      <c r="EV29" s="201">
        <v>5</v>
      </c>
      <c r="EW29" s="199">
        <v>1</v>
      </c>
      <c r="EX29" s="203" t="s">
        <v>151</v>
      </c>
      <c r="EY29" s="204">
        <v>0</v>
      </c>
      <c r="EZ29" s="203" t="s">
        <v>151</v>
      </c>
      <c r="FA29" s="201">
        <v>2</v>
      </c>
      <c r="FB29" s="201">
        <v>2</v>
      </c>
      <c r="FC29" s="199">
        <v>1</v>
      </c>
      <c r="FD29" s="203" t="s">
        <v>151</v>
      </c>
      <c r="FE29" s="204">
        <v>0</v>
      </c>
      <c r="FF29" s="203" t="s">
        <v>151</v>
      </c>
      <c r="FG29" s="201">
        <v>0</v>
      </c>
      <c r="FH29" s="201">
        <v>0</v>
      </c>
      <c r="FI29" s="199" t="s">
        <v>149</v>
      </c>
      <c r="FJ29" s="203" t="s">
        <v>151</v>
      </c>
      <c r="FK29" s="204">
        <v>0</v>
      </c>
      <c r="FL29" s="203" t="s">
        <v>151</v>
      </c>
      <c r="FM29" s="201">
        <v>0</v>
      </c>
      <c r="FN29" s="201">
        <v>0</v>
      </c>
      <c r="FO29" s="199" t="s">
        <v>149</v>
      </c>
      <c r="FP29" s="203" t="s">
        <v>151</v>
      </c>
      <c r="FQ29" s="204">
        <v>0</v>
      </c>
      <c r="FR29" s="203" t="s">
        <v>151</v>
      </c>
      <c r="FS29" s="201">
        <v>7</v>
      </c>
      <c r="FT29" s="201">
        <v>4</v>
      </c>
      <c r="FU29" s="199">
        <v>0.5714285714285714</v>
      </c>
      <c r="FV29" s="203" t="s">
        <v>422</v>
      </c>
      <c r="FW29" s="204">
        <v>3</v>
      </c>
      <c r="FX29" s="203" t="s">
        <v>423</v>
      </c>
      <c r="FY29" s="201">
        <v>0</v>
      </c>
      <c r="FZ29" s="201">
        <v>0</v>
      </c>
      <c r="GA29" s="199" t="s">
        <v>149</v>
      </c>
      <c r="GB29" s="203" t="s">
        <v>151</v>
      </c>
      <c r="GC29" s="204">
        <v>0</v>
      </c>
      <c r="GD29" s="203" t="s">
        <v>151</v>
      </c>
      <c r="GE29" s="168" t="s">
        <v>437</v>
      </c>
      <c r="GF29" s="168" t="s">
        <v>439</v>
      </c>
      <c r="GG29" s="198" t="s">
        <v>152</v>
      </c>
      <c r="GH29" s="198" t="s">
        <v>152</v>
      </c>
      <c r="GI29" s="198" t="s">
        <v>152</v>
      </c>
      <c r="GJ29" s="198" t="s">
        <v>152</v>
      </c>
      <c r="GK29" s="168" t="s">
        <v>151</v>
      </c>
      <c r="GL29" s="198" t="s">
        <v>152</v>
      </c>
      <c r="GM29" s="198" t="s">
        <v>152</v>
      </c>
      <c r="GN29" s="198" t="s">
        <v>151</v>
      </c>
      <c r="GO29" s="198" t="s">
        <v>151</v>
      </c>
      <c r="GP29" s="198" t="s">
        <v>152</v>
      </c>
      <c r="GQ29" s="198" t="s">
        <v>152</v>
      </c>
      <c r="GR29" s="100"/>
      <c r="GS29" s="101"/>
      <c r="GT29" s="204" t="s">
        <v>152</v>
      </c>
      <c r="GU29" s="204"/>
      <c r="GV29" s="204"/>
      <c r="GW29" s="145" t="s">
        <v>152</v>
      </c>
      <c r="GX29" s="145"/>
      <c r="GY29" s="204" t="s">
        <v>149</v>
      </c>
      <c r="GZ29" s="204" t="s">
        <v>152</v>
      </c>
      <c r="HA29" s="203"/>
      <c r="HB29" s="203"/>
      <c r="HC29" s="203"/>
      <c r="HD29" s="203"/>
      <c r="HE29" s="203"/>
      <c r="HF29" s="203"/>
      <c r="HG29" s="204" t="s">
        <v>152</v>
      </c>
      <c r="HH29" s="203"/>
      <c r="HI29" s="203"/>
      <c r="HJ29" s="203"/>
      <c r="HK29" s="203"/>
      <c r="HL29" s="203"/>
      <c r="HM29" s="203"/>
      <c r="HN29" s="204" t="s">
        <v>152</v>
      </c>
      <c r="HO29" s="203"/>
      <c r="HP29" s="203"/>
      <c r="HQ29" s="203"/>
      <c r="HR29" s="203"/>
      <c r="HS29" s="203"/>
      <c r="HT29" s="203"/>
      <c r="HU29" s="204" t="s">
        <v>152</v>
      </c>
      <c r="HV29" s="203"/>
      <c r="HW29" s="203"/>
      <c r="HX29" s="203"/>
      <c r="HY29" s="203"/>
      <c r="HZ29" s="204" t="s">
        <v>152</v>
      </c>
      <c r="IA29" s="203"/>
      <c r="IB29" s="203"/>
      <c r="IC29" s="203"/>
      <c r="ID29" s="203"/>
      <c r="IE29" s="204" t="s">
        <v>457</v>
      </c>
      <c r="IF29" s="203"/>
      <c r="IG29" s="203"/>
      <c r="IH29" s="203"/>
      <c r="II29" s="203"/>
      <c r="IJ29" s="140" t="str">
        <f t="shared" si="2"/>
        <v>○</v>
      </c>
    </row>
    <row r="30" spans="1:244" s="93" customFormat="1" ht="132" customHeight="1">
      <c r="A30" s="97" t="s">
        <v>184</v>
      </c>
      <c r="B30" s="204" t="s">
        <v>185</v>
      </c>
      <c r="C30" s="198" t="s">
        <v>152</v>
      </c>
      <c r="D30" s="198" t="s">
        <v>151</v>
      </c>
      <c r="E30" s="203" t="s">
        <v>151</v>
      </c>
      <c r="F30" s="198" t="s">
        <v>152</v>
      </c>
      <c r="G30" s="198" t="s">
        <v>151</v>
      </c>
      <c r="H30" s="203" t="s">
        <v>151</v>
      </c>
      <c r="I30" s="198" t="s">
        <v>152</v>
      </c>
      <c r="J30" s="198" t="s">
        <v>151</v>
      </c>
      <c r="K30" s="203" t="s">
        <v>151</v>
      </c>
      <c r="L30" s="198" t="s">
        <v>152</v>
      </c>
      <c r="M30" s="198" t="s">
        <v>151</v>
      </c>
      <c r="N30" s="203" t="s">
        <v>151</v>
      </c>
      <c r="O30" s="198" t="s">
        <v>152</v>
      </c>
      <c r="P30" s="198" t="s">
        <v>151</v>
      </c>
      <c r="Q30" s="203" t="s">
        <v>151</v>
      </c>
      <c r="R30" s="198" t="s">
        <v>152</v>
      </c>
      <c r="S30" s="198" t="s">
        <v>151</v>
      </c>
      <c r="T30" s="203" t="s">
        <v>151</v>
      </c>
      <c r="U30" s="198" t="s">
        <v>152</v>
      </c>
      <c r="V30" s="198" t="s">
        <v>151</v>
      </c>
      <c r="W30" s="203" t="s">
        <v>151</v>
      </c>
      <c r="X30" s="204"/>
      <c r="Y30" s="204"/>
      <c r="Z30" s="204" t="s">
        <v>152</v>
      </c>
      <c r="AA30" s="98" t="str">
        <f t="shared" ref="AA30:AA34" si="54">IF(OR(X30="○",Y30="○"),"○","")</f>
        <v/>
      </c>
      <c r="AB30" s="204" t="s">
        <v>152</v>
      </c>
      <c r="AC30" s="204"/>
      <c r="AD30" s="98" t="str">
        <f t="shared" ref="AD30:AD34" si="55">IF(AND(Z30="○",AB30="○"),"○","")</f>
        <v>○</v>
      </c>
      <c r="AE30" s="99" t="s">
        <v>229</v>
      </c>
      <c r="AF30" s="203" t="s">
        <v>524</v>
      </c>
      <c r="AG30" s="203"/>
      <c r="AH30" s="198" t="s">
        <v>160</v>
      </c>
      <c r="AI30" s="198" t="s">
        <v>151</v>
      </c>
      <c r="AJ30" s="203" t="s">
        <v>151</v>
      </c>
      <c r="AK30" s="198" t="s">
        <v>152</v>
      </c>
      <c r="AL30" s="198" t="s">
        <v>151</v>
      </c>
      <c r="AM30" s="203" t="s">
        <v>151</v>
      </c>
      <c r="AN30" s="198" t="s">
        <v>152</v>
      </c>
      <c r="AO30" s="198" t="s">
        <v>151</v>
      </c>
      <c r="AP30" s="203" t="s">
        <v>151</v>
      </c>
      <c r="AQ30" s="198" t="s">
        <v>152</v>
      </c>
      <c r="AR30" s="198" t="s">
        <v>151</v>
      </c>
      <c r="AS30" s="203" t="s">
        <v>151</v>
      </c>
      <c r="AT30" s="198" t="s">
        <v>152</v>
      </c>
      <c r="AU30" s="198" t="s">
        <v>151</v>
      </c>
      <c r="AV30" s="203" t="s">
        <v>151</v>
      </c>
      <c r="AW30" s="201">
        <v>2</v>
      </c>
      <c r="AX30" s="201">
        <v>2</v>
      </c>
      <c r="AY30" s="202">
        <f t="shared" ref="AY30:AY34" si="56">IF(ISERROR(AX30/AW30),"",AX30/AW30)</f>
        <v>1</v>
      </c>
      <c r="AZ30" s="203" t="s">
        <v>151</v>
      </c>
      <c r="BA30" s="204">
        <v>0</v>
      </c>
      <c r="BB30" s="203" t="s">
        <v>151</v>
      </c>
      <c r="BC30" s="201">
        <v>4</v>
      </c>
      <c r="BD30" s="201">
        <v>4</v>
      </c>
      <c r="BE30" s="202">
        <f t="shared" ref="BE30:BE34" si="57">IF(ISERROR(BD30/BC30),"",BD30/BC30)</f>
        <v>1</v>
      </c>
      <c r="BF30" s="203" t="s">
        <v>151</v>
      </c>
      <c r="BG30" s="204">
        <v>0</v>
      </c>
      <c r="BH30" s="203" t="s">
        <v>151</v>
      </c>
      <c r="BI30" s="201">
        <v>1</v>
      </c>
      <c r="BJ30" s="201">
        <v>1</v>
      </c>
      <c r="BK30" s="202">
        <f t="shared" ref="BK30:BK34" si="58">IF(ISERROR(BJ30/BI30),"",BJ30/BI30)</f>
        <v>1</v>
      </c>
      <c r="BL30" s="203" t="s">
        <v>151</v>
      </c>
      <c r="BM30" s="204">
        <v>0</v>
      </c>
      <c r="BN30" s="203" t="s">
        <v>151</v>
      </c>
      <c r="BO30" s="201">
        <v>0</v>
      </c>
      <c r="BP30" s="201">
        <v>0</v>
      </c>
      <c r="BQ30" s="202" t="str">
        <f t="shared" ref="BQ30:BQ34" si="59">IF(ISERROR(BP30/BO30),"",BP30/BO30)</f>
        <v/>
      </c>
      <c r="BR30" s="203" t="s">
        <v>151</v>
      </c>
      <c r="BS30" s="204">
        <v>0</v>
      </c>
      <c r="BT30" s="203" t="s">
        <v>151</v>
      </c>
      <c r="BU30" s="201">
        <v>1</v>
      </c>
      <c r="BV30" s="201">
        <v>1</v>
      </c>
      <c r="BW30" s="202">
        <f t="shared" ref="BW30:BW34" si="60">IF(ISERROR(BV30/BU30),"",BV30/BU30)</f>
        <v>1</v>
      </c>
      <c r="BX30" s="203" t="s">
        <v>151</v>
      </c>
      <c r="BY30" s="204">
        <v>0</v>
      </c>
      <c r="BZ30" s="203" t="s">
        <v>151</v>
      </c>
      <c r="CA30" s="201">
        <v>0</v>
      </c>
      <c r="CB30" s="201">
        <v>0</v>
      </c>
      <c r="CC30" s="202" t="str">
        <f t="shared" ref="CC30:CC34" si="61">IF(ISERROR(CB30/CA30),"",CB30/CA30)</f>
        <v/>
      </c>
      <c r="CD30" s="203" t="s">
        <v>151</v>
      </c>
      <c r="CE30" s="204">
        <v>0</v>
      </c>
      <c r="CF30" s="203" t="s">
        <v>151</v>
      </c>
      <c r="CG30" s="201">
        <v>0</v>
      </c>
      <c r="CH30" s="201">
        <v>0</v>
      </c>
      <c r="CI30" s="202" t="str">
        <f t="shared" ref="CI30:CI34" si="62">IF(ISERROR(CH30/CG30),"",CH30/CG30)</f>
        <v/>
      </c>
      <c r="CJ30" s="203" t="s">
        <v>151</v>
      </c>
      <c r="CK30" s="204">
        <v>0</v>
      </c>
      <c r="CL30" s="203" t="s">
        <v>151</v>
      </c>
      <c r="CM30" s="201">
        <v>1</v>
      </c>
      <c r="CN30" s="201">
        <v>1</v>
      </c>
      <c r="CO30" s="202">
        <f t="shared" ref="CO30:CO34" si="63">IF(ISERROR(CN30/CM30),"",CN30/CM30)</f>
        <v>1</v>
      </c>
      <c r="CP30" s="203" t="s">
        <v>151</v>
      </c>
      <c r="CQ30" s="204">
        <v>0</v>
      </c>
      <c r="CR30" s="203" t="s">
        <v>151</v>
      </c>
      <c r="CS30" s="201">
        <v>1</v>
      </c>
      <c r="CT30" s="201">
        <v>1</v>
      </c>
      <c r="CU30" s="202">
        <f t="shared" ref="CU30:CU34" si="64">IF(ISERROR(CT30/CS30),"",CT30/CS30)</f>
        <v>1</v>
      </c>
      <c r="CV30" s="203" t="s">
        <v>151</v>
      </c>
      <c r="CW30" s="204">
        <v>0</v>
      </c>
      <c r="CX30" s="203" t="s">
        <v>151</v>
      </c>
      <c r="CY30" s="201">
        <v>0</v>
      </c>
      <c r="CZ30" s="201">
        <v>0</v>
      </c>
      <c r="DA30" s="202" t="str">
        <f t="shared" ref="DA30:DA34" si="65">IF(ISERROR(CZ30/CY30),"",CZ30/CY30)</f>
        <v/>
      </c>
      <c r="DB30" s="203" t="s">
        <v>151</v>
      </c>
      <c r="DC30" s="204">
        <v>0</v>
      </c>
      <c r="DD30" s="203" t="s">
        <v>151</v>
      </c>
      <c r="DE30" s="201">
        <v>6</v>
      </c>
      <c r="DF30" s="201">
        <v>6</v>
      </c>
      <c r="DG30" s="202">
        <f t="shared" ref="DG30:DG34" si="66">IF(ISERROR(DF30/DE30),"",DF30/DE30)</f>
        <v>1</v>
      </c>
      <c r="DH30" s="203" t="s">
        <v>151</v>
      </c>
      <c r="DI30" s="204">
        <v>0</v>
      </c>
      <c r="DJ30" s="203" t="s">
        <v>151</v>
      </c>
      <c r="DK30" s="201">
        <v>14</v>
      </c>
      <c r="DL30" s="201">
        <v>1</v>
      </c>
      <c r="DM30" s="202">
        <f t="shared" ref="DM30:DM35" si="67">IF(ISERROR(DL30/DK30),"",DL30/DK30)</f>
        <v>7.1428571428571425E-2</v>
      </c>
      <c r="DN30" s="203" t="s">
        <v>290</v>
      </c>
      <c r="DO30" s="204">
        <v>0</v>
      </c>
      <c r="DP30" s="203" t="s">
        <v>151</v>
      </c>
      <c r="DQ30" s="201">
        <v>1</v>
      </c>
      <c r="DR30" s="201">
        <v>1</v>
      </c>
      <c r="DS30" s="202">
        <f t="shared" ref="DS30:DS34" si="68">IF(ISERROR(DR30/DQ30),"",DR30/DQ30)</f>
        <v>1</v>
      </c>
      <c r="DT30" s="203" t="s">
        <v>151</v>
      </c>
      <c r="DU30" s="203">
        <v>0</v>
      </c>
      <c r="DV30" s="203" t="s">
        <v>151</v>
      </c>
      <c r="DW30" s="201">
        <v>0</v>
      </c>
      <c r="DX30" s="201">
        <v>0</v>
      </c>
      <c r="DY30" s="202" t="str">
        <f t="shared" ref="DY30:DY34" si="69">IF(ISERROR(DX30/DW30),"",DX30/DW30)</f>
        <v/>
      </c>
      <c r="DZ30" s="203" t="s">
        <v>151</v>
      </c>
      <c r="EA30" s="204">
        <v>0</v>
      </c>
      <c r="EB30" s="203" t="s">
        <v>151</v>
      </c>
      <c r="EC30" s="201">
        <v>1</v>
      </c>
      <c r="ED30" s="201">
        <v>0</v>
      </c>
      <c r="EE30" s="202">
        <f t="shared" ref="EE30:EE34" si="70">IF(ISERROR(ED30/EC30),"",ED30/EC30)</f>
        <v>0</v>
      </c>
      <c r="EF30" s="203" t="s">
        <v>317</v>
      </c>
      <c r="EG30" s="204">
        <v>1</v>
      </c>
      <c r="EH30" s="203" t="s">
        <v>318</v>
      </c>
      <c r="EI30" s="201">
        <v>14</v>
      </c>
      <c r="EJ30" s="201">
        <v>6</v>
      </c>
      <c r="EK30" s="202">
        <f>IF(ISERROR(EJ30/EI30),"",EJ30/EI30)</f>
        <v>0.42857142857142855</v>
      </c>
      <c r="EL30" s="203" t="s">
        <v>586</v>
      </c>
      <c r="EM30" s="204">
        <v>7</v>
      </c>
      <c r="EN30" s="203" t="s">
        <v>318</v>
      </c>
      <c r="EO30" s="201">
        <v>0</v>
      </c>
      <c r="EP30" s="201">
        <v>0</v>
      </c>
      <c r="EQ30" s="202" t="str">
        <f t="shared" ref="EQ30:EQ34" si="71">IF(ISERROR(EP30/EO30),"",EP30/EO30)</f>
        <v/>
      </c>
      <c r="ER30" s="203" t="s">
        <v>151</v>
      </c>
      <c r="ES30" s="204">
        <v>0</v>
      </c>
      <c r="ET30" s="203" t="s">
        <v>151</v>
      </c>
      <c r="EU30" s="201">
        <v>3</v>
      </c>
      <c r="EV30" s="201">
        <v>3</v>
      </c>
      <c r="EW30" s="202">
        <f t="shared" ref="EW30:EW34" si="72">IF(ISERROR(EV30/EU30),"",EV30/EU30)</f>
        <v>1</v>
      </c>
      <c r="EX30" s="203" t="s">
        <v>151</v>
      </c>
      <c r="EY30" s="204">
        <v>0</v>
      </c>
      <c r="EZ30" s="203" t="s">
        <v>151</v>
      </c>
      <c r="FA30" s="201">
        <v>1</v>
      </c>
      <c r="FB30" s="201">
        <v>1</v>
      </c>
      <c r="FC30" s="202">
        <f t="shared" ref="FC30:FC34" si="73">IF(ISERROR(FB30/FA30),"",FB30/FA30)</f>
        <v>1</v>
      </c>
      <c r="FD30" s="203" t="s">
        <v>151</v>
      </c>
      <c r="FE30" s="204">
        <v>0</v>
      </c>
      <c r="FF30" s="203" t="s">
        <v>151</v>
      </c>
      <c r="FG30" s="201">
        <v>2</v>
      </c>
      <c r="FH30" s="201">
        <v>2</v>
      </c>
      <c r="FI30" s="202">
        <f t="shared" ref="FI30:FI34" si="74">IF(ISERROR(FH30/FG30),"",FH30/FG30)</f>
        <v>1</v>
      </c>
      <c r="FJ30" s="203" t="s">
        <v>151</v>
      </c>
      <c r="FK30" s="204">
        <v>0</v>
      </c>
      <c r="FL30" s="203" t="s">
        <v>151</v>
      </c>
      <c r="FM30" s="201">
        <v>0</v>
      </c>
      <c r="FN30" s="201">
        <v>0</v>
      </c>
      <c r="FO30" s="202" t="str">
        <f t="shared" ref="FO30:FO55" si="75">IF(ISERROR(FN30/FM30),"",FN30/FM30)</f>
        <v/>
      </c>
      <c r="FP30" s="203" t="s">
        <v>151</v>
      </c>
      <c r="FQ30" s="204">
        <v>0</v>
      </c>
      <c r="FR30" s="203" t="s">
        <v>151</v>
      </c>
      <c r="FS30" s="201">
        <v>13</v>
      </c>
      <c r="FT30" s="201">
        <v>8</v>
      </c>
      <c r="FU30" s="202">
        <f t="shared" ref="FU30:FU55" si="76">IF(ISERROR(FT30/FS30),"",FT30/FS30)</f>
        <v>0.61538461538461542</v>
      </c>
      <c r="FV30" s="203" t="s">
        <v>249</v>
      </c>
      <c r="FW30" s="204">
        <v>5</v>
      </c>
      <c r="FX30" s="203" t="s">
        <v>424</v>
      </c>
      <c r="FY30" s="201">
        <v>0</v>
      </c>
      <c r="FZ30" s="201">
        <v>0</v>
      </c>
      <c r="GA30" s="202" t="str">
        <f t="shared" ref="GA30:GA55" si="77">IF(ISERROR(FZ30/FY30),"",FZ30/FY30)</f>
        <v/>
      </c>
      <c r="GB30" s="203" t="s">
        <v>151</v>
      </c>
      <c r="GC30" s="204">
        <v>0</v>
      </c>
      <c r="GD30" s="203" t="s">
        <v>151</v>
      </c>
      <c r="GE30" s="203" t="s">
        <v>437</v>
      </c>
      <c r="GF30" s="203" t="s">
        <v>439</v>
      </c>
      <c r="GG30" s="204" t="s">
        <v>152</v>
      </c>
      <c r="GH30" s="204" t="s">
        <v>152</v>
      </c>
      <c r="GI30" s="204" t="s">
        <v>152</v>
      </c>
      <c r="GJ30" s="204" t="s">
        <v>152</v>
      </c>
      <c r="GK30" s="203" t="s">
        <v>151</v>
      </c>
      <c r="GL30" s="204" t="s">
        <v>152</v>
      </c>
      <c r="GM30" s="204" t="s">
        <v>152</v>
      </c>
      <c r="GN30" s="204" t="s">
        <v>151</v>
      </c>
      <c r="GO30" s="204" t="s">
        <v>151</v>
      </c>
      <c r="GP30" s="204" t="s">
        <v>152</v>
      </c>
      <c r="GQ30" s="204" t="s">
        <v>152</v>
      </c>
      <c r="GR30" s="100"/>
      <c r="GS30" s="101"/>
      <c r="GT30" s="204" t="s">
        <v>152</v>
      </c>
      <c r="GU30" s="204"/>
      <c r="GV30" s="204"/>
      <c r="GW30" s="145" t="s">
        <v>149</v>
      </c>
      <c r="GX30" s="145" t="s">
        <v>152</v>
      </c>
      <c r="GY30" s="204" t="s">
        <v>753</v>
      </c>
      <c r="GZ30" s="204" t="s">
        <v>457</v>
      </c>
      <c r="HA30" s="204"/>
      <c r="HB30" s="204"/>
      <c r="HC30" s="204"/>
      <c r="HD30" s="204"/>
      <c r="HE30" s="204"/>
      <c r="HF30" s="204"/>
      <c r="HG30" s="204" t="s">
        <v>152</v>
      </c>
      <c r="HH30" s="204"/>
      <c r="HI30" s="204"/>
      <c r="HJ30" s="204"/>
      <c r="HK30" s="204"/>
      <c r="HL30" s="204"/>
      <c r="HM30" s="204"/>
      <c r="HN30" s="204" t="s">
        <v>152</v>
      </c>
      <c r="HO30" s="204"/>
      <c r="HP30" s="204"/>
      <c r="HQ30" s="204"/>
      <c r="HR30" s="204"/>
      <c r="HS30" s="204"/>
      <c r="HT30" s="204"/>
      <c r="HU30" s="204" t="s">
        <v>152</v>
      </c>
      <c r="HV30" s="204"/>
      <c r="HW30" s="204"/>
      <c r="HX30" s="204"/>
      <c r="HY30" s="204"/>
      <c r="HZ30" s="204" t="s">
        <v>152</v>
      </c>
      <c r="IA30" s="204"/>
      <c r="IB30" s="204"/>
      <c r="IC30" s="204"/>
      <c r="ID30" s="204"/>
      <c r="IE30" s="204"/>
      <c r="IF30" s="204" t="s">
        <v>750</v>
      </c>
      <c r="IG30" s="204"/>
      <c r="IH30" s="204"/>
      <c r="II30" s="203" t="s">
        <v>700</v>
      </c>
      <c r="IJ30" s="140" t="str">
        <f t="shared" si="2"/>
        <v>○</v>
      </c>
    </row>
    <row r="31" spans="1:244" s="96" customFormat="1" ht="92.4">
      <c r="A31" s="149" t="s">
        <v>186</v>
      </c>
      <c r="B31" s="150" t="s">
        <v>187</v>
      </c>
      <c r="C31" s="150" t="s">
        <v>152</v>
      </c>
      <c r="D31" s="150" t="s">
        <v>151</v>
      </c>
      <c r="E31" s="151" t="s">
        <v>151</v>
      </c>
      <c r="F31" s="150" t="s">
        <v>152</v>
      </c>
      <c r="G31" s="150" t="s">
        <v>151</v>
      </c>
      <c r="H31" s="151" t="s">
        <v>151</v>
      </c>
      <c r="I31" s="150" t="s">
        <v>152</v>
      </c>
      <c r="J31" s="150" t="s">
        <v>151</v>
      </c>
      <c r="K31" s="151" t="s">
        <v>151</v>
      </c>
      <c r="L31" s="150" t="s">
        <v>160</v>
      </c>
      <c r="M31" s="150" t="s">
        <v>151</v>
      </c>
      <c r="N31" s="151" t="s">
        <v>151</v>
      </c>
      <c r="O31" s="150" t="s">
        <v>152</v>
      </c>
      <c r="P31" s="150" t="s">
        <v>151</v>
      </c>
      <c r="Q31" s="151" t="s">
        <v>151</v>
      </c>
      <c r="R31" s="150" t="s">
        <v>152</v>
      </c>
      <c r="S31" s="150" t="s">
        <v>151</v>
      </c>
      <c r="T31" s="151" t="s">
        <v>151</v>
      </c>
      <c r="U31" s="150" t="s">
        <v>152</v>
      </c>
      <c r="V31" s="150" t="s">
        <v>151</v>
      </c>
      <c r="W31" s="151" t="s">
        <v>151</v>
      </c>
      <c r="X31" s="150"/>
      <c r="Y31" s="150" t="s">
        <v>152</v>
      </c>
      <c r="Z31" s="150"/>
      <c r="AA31" s="152" t="str">
        <f t="shared" si="54"/>
        <v>○</v>
      </c>
      <c r="AB31" s="150" t="s">
        <v>152</v>
      </c>
      <c r="AC31" s="150"/>
      <c r="AD31" s="152" t="str">
        <f t="shared" si="55"/>
        <v/>
      </c>
      <c r="AE31" s="153"/>
      <c r="AF31" s="151"/>
      <c r="AG31" s="151"/>
      <c r="AH31" s="150" t="s">
        <v>160</v>
      </c>
      <c r="AI31" s="150" t="s">
        <v>151</v>
      </c>
      <c r="AJ31" s="151" t="s">
        <v>151</v>
      </c>
      <c r="AK31" s="150" t="s">
        <v>152</v>
      </c>
      <c r="AL31" s="150" t="s">
        <v>151</v>
      </c>
      <c r="AM31" s="151" t="s">
        <v>151</v>
      </c>
      <c r="AN31" s="150" t="s">
        <v>152</v>
      </c>
      <c r="AO31" s="150" t="s">
        <v>151</v>
      </c>
      <c r="AP31" s="151" t="s">
        <v>151</v>
      </c>
      <c r="AQ31" s="150" t="s">
        <v>152</v>
      </c>
      <c r="AR31" s="150" t="s">
        <v>151</v>
      </c>
      <c r="AS31" s="151" t="s">
        <v>151</v>
      </c>
      <c r="AT31" s="150" t="s">
        <v>152</v>
      </c>
      <c r="AU31" s="150" t="s">
        <v>151</v>
      </c>
      <c r="AV31" s="151" t="s">
        <v>151</v>
      </c>
      <c r="AW31" s="154">
        <v>8</v>
      </c>
      <c r="AX31" s="154">
        <v>7</v>
      </c>
      <c r="AY31" s="155">
        <f t="shared" si="56"/>
        <v>0.875</v>
      </c>
      <c r="AZ31" s="151" t="s">
        <v>571</v>
      </c>
      <c r="BA31" s="150">
        <v>1</v>
      </c>
      <c r="BB31" s="151" t="s">
        <v>572</v>
      </c>
      <c r="BC31" s="154">
        <v>15</v>
      </c>
      <c r="BD31" s="154">
        <v>15</v>
      </c>
      <c r="BE31" s="155">
        <f t="shared" si="57"/>
        <v>1</v>
      </c>
      <c r="BF31" s="151" t="s">
        <v>151</v>
      </c>
      <c r="BG31" s="150">
        <v>0</v>
      </c>
      <c r="BH31" s="151" t="s">
        <v>151</v>
      </c>
      <c r="BI31" s="154">
        <v>3</v>
      </c>
      <c r="BJ31" s="154">
        <v>3</v>
      </c>
      <c r="BK31" s="155">
        <f t="shared" si="58"/>
        <v>1</v>
      </c>
      <c r="BL31" s="151" t="s">
        <v>151</v>
      </c>
      <c r="BM31" s="150">
        <v>0</v>
      </c>
      <c r="BN31" s="151" t="s">
        <v>151</v>
      </c>
      <c r="BO31" s="154">
        <v>0</v>
      </c>
      <c r="BP31" s="154">
        <v>0</v>
      </c>
      <c r="BQ31" s="155" t="str">
        <f t="shared" si="59"/>
        <v/>
      </c>
      <c r="BR31" s="151" t="s">
        <v>151</v>
      </c>
      <c r="BS31" s="150">
        <v>0</v>
      </c>
      <c r="BT31" s="151" t="s">
        <v>151</v>
      </c>
      <c r="BU31" s="154">
        <v>0</v>
      </c>
      <c r="BV31" s="154">
        <v>0</v>
      </c>
      <c r="BW31" s="155" t="str">
        <f t="shared" si="60"/>
        <v/>
      </c>
      <c r="BX31" s="151" t="s">
        <v>480</v>
      </c>
      <c r="BY31" s="150">
        <v>0</v>
      </c>
      <c r="BZ31" s="151" t="s">
        <v>151</v>
      </c>
      <c r="CA31" s="154">
        <v>1</v>
      </c>
      <c r="CB31" s="154">
        <v>1</v>
      </c>
      <c r="CC31" s="155">
        <f t="shared" si="61"/>
        <v>1</v>
      </c>
      <c r="CD31" s="151" t="s">
        <v>480</v>
      </c>
      <c r="CE31" s="150">
        <v>0</v>
      </c>
      <c r="CF31" s="151"/>
      <c r="CG31" s="154">
        <v>3</v>
      </c>
      <c r="CH31" s="154">
        <v>3</v>
      </c>
      <c r="CI31" s="155">
        <f t="shared" si="62"/>
        <v>1</v>
      </c>
      <c r="CJ31" s="151" t="s">
        <v>151</v>
      </c>
      <c r="CK31" s="150">
        <v>0</v>
      </c>
      <c r="CL31" s="151" t="s">
        <v>151</v>
      </c>
      <c r="CM31" s="154">
        <v>0</v>
      </c>
      <c r="CN31" s="154">
        <v>0</v>
      </c>
      <c r="CO31" s="155" t="str">
        <f t="shared" si="63"/>
        <v/>
      </c>
      <c r="CP31" s="151" t="s">
        <v>151</v>
      </c>
      <c r="CQ31" s="150">
        <v>0</v>
      </c>
      <c r="CR31" s="151" t="s">
        <v>151</v>
      </c>
      <c r="CS31" s="154">
        <v>0</v>
      </c>
      <c r="CT31" s="154">
        <v>0</v>
      </c>
      <c r="CU31" s="155" t="str">
        <f t="shared" si="64"/>
        <v/>
      </c>
      <c r="CV31" s="151" t="s">
        <v>151</v>
      </c>
      <c r="CW31" s="150">
        <v>0</v>
      </c>
      <c r="CX31" s="151" t="s">
        <v>151</v>
      </c>
      <c r="CY31" s="154">
        <v>10</v>
      </c>
      <c r="CZ31" s="154">
        <v>1</v>
      </c>
      <c r="DA31" s="155">
        <f t="shared" si="65"/>
        <v>0.1</v>
      </c>
      <c r="DB31" s="151" t="s">
        <v>272</v>
      </c>
      <c r="DC31" s="150">
        <v>9</v>
      </c>
      <c r="DD31" s="151" t="s">
        <v>273</v>
      </c>
      <c r="DE31" s="154">
        <v>5</v>
      </c>
      <c r="DF31" s="154">
        <v>5</v>
      </c>
      <c r="DG31" s="155">
        <f t="shared" si="66"/>
        <v>1</v>
      </c>
      <c r="DH31" s="151" t="s">
        <v>151</v>
      </c>
      <c r="DI31" s="150">
        <v>0</v>
      </c>
      <c r="DJ31" s="151" t="s">
        <v>151</v>
      </c>
      <c r="DK31" s="154">
        <v>142</v>
      </c>
      <c r="DL31" s="154">
        <v>0</v>
      </c>
      <c r="DM31" s="155">
        <f t="shared" si="67"/>
        <v>0</v>
      </c>
      <c r="DN31" s="151" t="s">
        <v>291</v>
      </c>
      <c r="DO31" s="150">
        <v>0</v>
      </c>
      <c r="DP31" s="151" t="s">
        <v>151</v>
      </c>
      <c r="DQ31" s="154">
        <v>0</v>
      </c>
      <c r="DR31" s="154">
        <v>0</v>
      </c>
      <c r="DS31" s="155" t="str">
        <f t="shared" si="68"/>
        <v/>
      </c>
      <c r="DT31" s="151" t="s">
        <v>151</v>
      </c>
      <c r="DU31" s="151">
        <v>0</v>
      </c>
      <c r="DV31" s="151" t="s">
        <v>151</v>
      </c>
      <c r="DW31" s="154">
        <v>0</v>
      </c>
      <c r="DX31" s="154">
        <v>0</v>
      </c>
      <c r="DY31" s="155" t="str">
        <f t="shared" si="69"/>
        <v/>
      </c>
      <c r="DZ31" s="151" t="s">
        <v>151</v>
      </c>
      <c r="EA31" s="150">
        <v>0</v>
      </c>
      <c r="EB31" s="151" t="s">
        <v>151</v>
      </c>
      <c r="EC31" s="154">
        <v>1</v>
      </c>
      <c r="ED31" s="154">
        <v>0</v>
      </c>
      <c r="EE31" s="155">
        <f t="shared" si="70"/>
        <v>0</v>
      </c>
      <c r="EF31" s="151" t="s">
        <v>319</v>
      </c>
      <c r="EG31" s="150">
        <v>1</v>
      </c>
      <c r="EH31" s="151" t="s">
        <v>273</v>
      </c>
      <c r="EI31" s="154">
        <v>4</v>
      </c>
      <c r="EJ31" s="154">
        <v>0</v>
      </c>
      <c r="EK31" s="155">
        <f t="shared" ref="EK31:EK34" si="78">IF(ISERROR(EJ31/EI31),"",EJ31/EI31)</f>
        <v>0</v>
      </c>
      <c r="EL31" s="151" t="s">
        <v>360</v>
      </c>
      <c r="EM31" s="150">
        <v>4</v>
      </c>
      <c r="EN31" s="151" t="s">
        <v>273</v>
      </c>
      <c r="EO31" s="154"/>
      <c r="EP31" s="154"/>
      <c r="EQ31" s="155" t="str">
        <f t="shared" si="71"/>
        <v/>
      </c>
      <c r="ER31" s="151" t="s">
        <v>151</v>
      </c>
      <c r="ES31" s="150"/>
      <c r="ET31" s="151" t="s">
        <v>151</v>
      </c>
      <c r="EU31" s="154">
        <v>0</v>
      </c>
      <c r="EV31" s="154">
        <v>0</v>
      </c>
      <c r="EW31" s="155" t="str">
        <f t="shared" si="72"/>
        <v/>
      </c>
      <c r="EX31" s="151" t="s">
        <v>151</v>
      </c>
      <c r="EY31" s="150">
        <v>0</v>
      </c>
      <c r="EZ31" s="151" t="s">
        <v>151</v>
      </c>
      <c r="FA31" s="154">
        <v>4</v>
      </c>
      <c r="FB31" s="154">
        <v>2</v>
      </c>
      <c r="FC31" s="155">
        <f t="shared" si="73"/>
        <v>0.5</v>
      </c>
      <c r="FD31" s="151" t="s">
        <v>571</v>
      </c>
      <c r="FE31" s="150">
        <v>2</v>
      </c>
      <c r="FF31" s="151" t="s">
        <v>273</v>
      </c>
      <c r="FG31" s="154">
        <v>0</v>
      </c>
      <c r="FH31" s="154">
        <v>0</v>
      </c>
      <c r="FI31" s="155" t="str">
        <f t="shared" si="74"/>
        <v/>
      </c>
      <c r="FJ31" s="151" t="s">
        <v>151</v>
      </c>
      <c r="FK31" s="150">
        <v>0</v>
      </c>
      <c r="FL31" s="151" t="s">
        <v>151</v>
      </c>
      <c r="FM31" s="154">
        <v>0</v>
      </c>
      <c r="FN31" s="154">
        <v>0</v>
      </c>
      <c r="FO31" s="155" t="str">
        <f t="shared" si="75"/>
        <v/>
      </c>
      <c r="FP31" s="151" t="s">
        <v>151</v>
      </c>
      <c r="FQ31" s="150">
        <v>0</v>
      </c>
      <c r="FR31" s="151" t="s">
        <v>151</v>
      </c>
      <c r="FS31" s="170">
        <v>2</v>
      </c>
      <c r="FT31" s="170">
        <v>2</v>
      </c>
      <c r="FU31" s="155">
        <f t="shared" si="76"/>
        <v>1</v>
      </c>
      <c r="FV31" s="151" t="s">
        <v>151</v>
      </c>
      <c r="FW31" s="150">
        <v>0</v>
      </c>
      <c r="FX31" s="151"/>
      <c r="FY31" s="154">
        <v>0</v>
      </c>
      <c r="FZ31" s="154">
        <v>0</v>
      </c>
      <c r="GA31" s="155" t="str">
        <f t="shared" si="77"/>
        <v/>
      </c>
      <c r="GB31" s="151" t="s">
        <v>151</v>
      </c>
      <c r="GC31" s="150">
        <v>0</v>
      </c>
      <c r="GD31" s="151" t="s">
        <v>151</v>
      </c>
      <c r="GE31" s="151" t="s">
        <v>437</v>
      </c>
      <c r="GF31" s="151" t="s">
        <v>439</v>
      </c>
      <c r="GG31" s="150" t="s">
        <v>152</v>
      </c>
      <c r="GH31" s="150" t="s">
        <v>151</v>
      </c>
      <c r="GI31" s="150" t="s">
        <v>152</v>
      </c>
      <c r="GJ31" s="150" t="s">
        <v>151</v>
      </c>
      <c r="GK31" s="151" t="s">
        <v>151</v>
      </c>
      <c r="GL31" s="150" t="s">
        <v>152</v>
      </c>
      <c r="GM31" s="150" t="s">
        <v>152</v>
      </c>
      <c r="GN31" s="150" t="s">
        <v>152</v>
      </c>
      <c r="GO31" s="150" t="s">
        <v>152</v>
      </c>
      <c r="GP31" s="150" t="s">
        <v>151</v>
      </c>
      <c r="GQ31" s="150" t="s">
        <v>151</v>
      </c>
      <c r="GR31" s="465"/>
      <c r="GS31" s="466"/>
      <c r="GT31" s="150" t="s">
        <v>152</v>
      </c>
      <c r="GU31" s="150"/>
      <c r="GV31" s="150"/>
      <c r="GW31" s="145" t="s">
        <v>152</v>
      </c>
      <c r="GX31" s="145" t="s">
        <v>149</v>
      </c>
      <c r="GY31" s="150" t="s">
        <v>149</v>
      </c>
      <c r="GZ31" s="171" t="s">
        <v>152</v>
      </c>
      <c r="HA31" s="171"/>
      <c r="HB31" s="171"/>
      <c r="HC31" s="171"/>
      <c r="HD31" s="171"/>
      <c r="HE31" s="171"/>
      <c r="HF31" s="171"/>
      <c r="HG31" s="171" t="s">
        <v>152</v>
      </c>
      <c r="HH31" s="171"/>
      <c r="HI31" s="171"/>
      <c r="HJ31" s="171"/>
      <c r="HK31" s="171"/>
      <c r="HL31" s="171"/>
      <c r="HM31" s="171"/>
      <c r="HN31" s="171" t="s">
        <v>152</v>
      </c>
      <c r="HO31" s="171"/>
      <c r="HP31" s="171"/>
      <c r="HQ31" s="171"/>
      <c r="HR31" s="171"/>
      <c r="HS31" s="171"/>
      <c r="HT31" s="171"/>
      <c r="HU31" s="171" t="s">
        <v>152</v>
      </c>
      <c r="HV31" s="171"/>
      <c r="HW31" s="171"/>
      <c r="HX31" s="171"/>
      <c r="HY31" s="171"/>
      <c r="HZ31" s="171" t="s">
        <v>152</v>
      </c>
      <c r="IA31" s="171"/>
      <c r="IB31" s="171"/>
      <c r="IC31" s="171"/>
      <c r="ID31" s="171"/>
      <c r="IE31" s="204" t="s">
        <v>457</v>
      </c>
      <c r="IF31" s="171"/>
      <c r="IG31" s="171"/>
      <c r="IH31" s="171"/>
      <c r="II31" s="171"/>
      <c r="IJ31" s="141" t="str">
        <f t="shared" si="2"/>
        <v>○</v>
      </c>
    </row>
    <row r="32" spans="1:244" s="93" customFormat="1" ht="105.6">
      <c r="A32" s="97" t="s">
        <v>448</v>
      </c>
      <c r="B32" s="204" t="s">
        <v>188</v>
      </c>
      <c r="C32" s="198" t="s">
        <v>152</v>
      </c>
      <c r="D32" s="198" t="s">
        <v>151</v>
      </c>
      <c r="E32" s="203" t="s">
        <v>151</v>
      </c>
      <c r="F32" s="198" t="s">
        <v>152</v>
      </c>
      <c r="G32" s="198" t="s">
        <v>151</v>
      </c>
      <c r="H32" s="203" t="s">
        <v>151</v>
      </c>
      <c r="I32" s="198" t="s">
        <v>152</v>
      </c>
      <c r="J32" s="198" t="s">
        <v>151</v>
      </c>
      <c r="K32" s="203" t="s">
        <v>151</v>
      </c>
      <c r="L32" s="198" t="s">
        <v>152</v>
      </c>
      <c r="M32" s="198" t="s">
        <v>151</v>
      </c>
      <c r="N32" s="203" t="s">
        <v>151</v>
      </c>
      <c r="O32" s="198" t="s">
        <v>152</v>
      </c>
      <c r="P32" s="198" t="s">
        <v>151</v>
      </c>
      <c r="Q32" s="203" t="s">
        <v>151</v>
      </c>
      <c r="R32" s="198" t="s">
        <v>152</v>
      </c>
      <c r="S32" s="198" t="s">
        <v>151</v>
      </c>
      <c r="T32" s="203" t="s">
        <v>151</v>
      </c>
      <c r="U32" s="198" t="s">
        <v>152</v>
      </c>
      <c r="V32" s="198" t="s">
        <v>151</v>
      </c>
      <c r="W32" s="203" t="s">
        <v>151</v>
      </c>
      <c r="X32" s="204"/>
      <c r="Y32" s="204"/>
      <c r="Z32" s="204" t="s">
        <v>152</v>
      </c>
      <c r="AA32" s="98" t="str">
        <f t="shared" si="54"/>
        <v/>
      </c>
      <c r="AB32" s="204" t="s">
        <v>152</v>
      </c>
      <c r="AC32" s="204"/>
      <c r="AD32" s="98" t="str">
        <f t="shared" si="55"/>
        <v>○</v>
      </c>
      <c r="AE32" s="99"/>
      <c r="AF32" s="203" t="s">
        <v>456</v>
      </c>
      <c r="AG32" s="203"/>
      <c r="AH32" s="198" t="s">
        <v>160</v>
      </c>
      <c r="AI32" s="198" t="s">
        <v>151</v>
      </c>
      <c r="AJ32" s="203" t="s">
        <v>151</v>
      </c>
      <c r="AK32" s="198" t="s">
        <v>152</v>
      </c>
      <c r="AL32" s="198" t="s">
        <v>151</v>
      </c>
      <c r="AM32" s="203" t="s">
        <v>151</v>
      </c>
      <c r="AN32" s="198" t="s">
        <v>152</v>
      </c>
      <c r="AO32" s="198" t="s">
        <v>151</v>
      </c>
      <c r="AP32" s="203" t="s">
        <v>151</v>
      </c>
      <c r="AQ32" s="198" t="s">
        <v>152</v>
      </c>
      <c r="AR32" s="198" t="s">
        <v>151</v>
      </c>
      <c r="AS32" s="203" t="s">
        <v>151</v>
      </c>
      <c r="AT32" s="198" t="s">
        <v>152</v>
      </c>
      <c r="AU32" s="198" t="s">
        <v>151</v>
      </c>
      <c r="AV32" s="203" t="s">
        <v>151</v>
      </c>
      <c r="AW32" s="201">
        <v>2</v>
      </c>
      <c r="AX32" s="201">
        <v>2</v>
      </c>
      <c r="AY32" s="202">
        <f t="shared" si="56"/>
        <v>1</v>
      </c>
      <c r="AZ32" s="203" t="s">
        <v>151</v>
      </c>
      <c r="BA32" s="204">
        <v>0</v>
      </c>
      <c r="BB32" s="203" t="s">
        <v>151</v>
      </c>
      <c r="BC32" s="201">
        <v>5</v>
      </c>
      <c r="BD32" s="201">
        <v>5</v>
      </c>
      <c r="BE32" s="202">
        <f t="shared" si="57"/>
        <v>1</v>
      </c>
      <c r="BF32" s="203" t="s">
        <v>151</v>
      </c>
      <c r="BG32" s="204">
        <v>0</v>
      </c>
      <c r="BH32" s="203" t="s">
        <v>151</v>
      </c>
      <c r="BI32" s="201">
        <v>0</v>
      </c>
      <c r="BJ32" s="201">
        <v>0</v>
      </c>
      <c r="BK32" s="202" t="str">
        <f t="shared" si="58"/>
        <v/>
      </c>
      <c r="BL32" s="203" t="s">
        <v>151</v>
      </c>
      <c r="BM32" s="204">
        <v>0</v>
      </c>
      <c r="BN32" s="203" t="s">
        <v>151</v>
      </c>
      <c r="BO32" s="201">
        <v>0</v>
      </c>
      <c r="BP32" s="201">
        <v>0</v>
      </c>
      <c r="BQ32" s="202" t="str">
        <f t="shared" si="59"/>
        <v/>
      </c>
      <c r="BR32" s="203" t="s">
        <v>151</v>
      </c>
      <c r="BS32" s="204">
        <v>0</v>
      </c>
      <c r="BT32" s="203" t="s">
        <v>151</v>
      </c>
      <c r="BU32" s="201">
        <v>2</v>
      </c>
      <c r="BV32" s="201">
        <v>2</v>
      </c>
      <c r="BW32" s="202">
        <f t="shared" si="60"/>
        <v>1</v>
      </c>
      <c r="BX32" s="203" t="s">
        <v>151</v>
      </c>
      <c r="BY32" s="204">
        <v>0</v>
      </c>
      <c r="BZ32" s="203" t="s">
        <v>151</v>
      </c>
      <c r="CA32" s="201">
        <v>0</v>
      </c>
      <c r="CB32" s="201">
        <v>0</v>
      </c>
      <c r="CC32" s="202" t="str">
        <f t="shared" si="61"/>
        <v/>
      </c>
      <c r="CD32" s="203" t="s">
        <v>151</v>
      </c>
      <c r="CE32" s="204">
        <v>0</v>
      </c>
      <c r="CF32" s="203" t="s">
        <v>151</v>
      </c>
      <c r="CG32" s="201">
        <v>0</v>
      </c>
      <c r="CH32" s="201">
        <v>0</v>
      </c>
      <c r="CI32" s="202" t="str">
        <f t="shared" si="62"/>
        <v/>
      </c>
      <c r="CJ32" s="203" t="s">
        <v>151</v>
      </c>
      <c r="CK32" s="204">
        <v>0</v>
      </c>
      <c r="CL32" s="203" t="s">
        <v>151</v>
      </c>
      <c r="CM32" s="201">
        <v>0</v>
      </c>
      <c r="CN32" s="201">
        <v>0</v>
      </c>
      <c r="CO32" s="202" t="str">
        <f t="shared" si="63"/>
        <v/>
      </c>
      <c r="CP32" s="203" t="s">
        <v>151</v>
      </c>
      <c r="CQ32" s="204">
        <v>0</v>
      </c>
      <c r="CR32" s="203" t="s">
        <v>151</v>
      </c>
      <c r="CS32" s="201">
        <v>2</v>
      </c>
      <c r="CT32" s="201">
        <v>2</v>
      </c>
      <c r="CU32" s="202">
        <f t="shared" si="64"/>
        <v>1</v>
      </c>
      <c r="CV32" s="203" t="s">
        <v>151</v>
      </c>
      <c r="CW32" s="204">
        <v>0</v>
      </c>
      <c r="CX32" s="203" t="s">
        <v>151</v>
      </c>
      <c r="CY32" s="201">
        <v>1</v>
      </c>
      <c r="CZ32" s="201">
        <v>0</v>
      </c>
      <c r="DA32" s="202">
        <f t="shared" si="65"/>
        <v>0</v>
      </c>
      <c r="DB32" s="203" t="s">
        <v>274</v>
      </c>
      <c r="DC32" s="204">
        <v>1</v>
      </c>
      <c r="DD32" s="203" t="s">
        <v>274</v>
      </c>
      <c r="DE32" s="201">
        <v>17</v>
      </c>
      <c r="DF32" s="201">
        <v>17</v>
      </c>
      <c r="DG32" s="202">
        <f t="shared" si="66"/>
        <v>1</v>
      </c>
      <c r="DH32" s="203" t="s">
        <v>151</v>
      </c>
      <c r="DI32" s="204">
        <v>0</v>
      </c>
      <c r="DJ32" s="203" t="s">
        <v>151</v>
      </c>
      <c r="DK32" s="201">
        <v>297</v>
      </c>
      <c r="DL32" s="201">
        <v>0</v>
      </c>
      <c r="DM32" s="202">
        <f t="shared" si="67"/>
        <v>0</v>
      </c>
      <c r="DN32" s="203" t="s">
        <v>463</v>
      </c>
      <c r="DO32" s="204">
        <v>0</v>
      </c>
      <c r="DP32" s="203" t="s">
        <v>151</v>
      </c>
      <c r="DQ32" s="201">
        <v>0</v>
      </c>
      <c r="DR32" s="201">
        <v>0</v>
      </c>
      <c r="DS32" s="202" t="str">
        <f t="shared" si="68"/>
        <v/>
      </c>
      <c r="DT32" s="203" t="s">
        <v>151</v>
      </c>
      <c r="DU32" s="203">
        <v>0</v>
      </c>
      <c r="DV32" s="203" t="s">
        <v>151</v>
      </c>
      <c r="DW32" s="201">
        <v>0</v>
      </c>
      <c r="DX32" s="201">
        <v>0</v>
      </c>
      <c r="DY32" s="202" t="str">
        <f t="shared" si="69"/>
        <v/>
      </c>
      <c r="DZ32" s="203" t="s">
        <v>151</v>
      </c>
      <c r="EA32" s="204">
        <v>0</v>
      </c>
      <c r="EB32" s="203" t="s">
        <v>151</v>
      </c>
      <c r="EC32" s="201">
        <v>1</v>
      </c>
      <c r="ED32" s="201">
        <v>1</v>
      </c>
      <c r="EE32" s="202">
        <f t="shared" si="70"/>
        <v>1</v>
      </c>
      <c r="EF32" s="203" t="s">
        <v>151</v>
      </c>
      <c r="EG32" s="204">
        <v>0</v>
      </c>
      <c r="EH32" s="203"/>
      <c r="EI32" s="201">
        <v>6</v>
      </c>
      <c r="EJ32" s="201">
        <v>4</v>
      </c>
      <c r="EK32" s="202">
        <f t="shared" si="78"/>
        <v>0.66666666666666663</v>
      </c>
      <c r="EL32" s="203" t="s">
        <v>611</v>
      </c>
      <c r="EM32" s="204">
        <v>2</v>
      </c>
      <c r="EN32" s="203" t="s">
        <v>612</v>
      </c>
      <c r="EO32" s="201"/>
      <c r="EP32" s="201"/>
      <c r="EQ32" s="202" t="str">
        <f t="shared" si="71"/>
        <v/>
      </c>
      <c r="ER32" s="203" t="s">
        <v>151</v>
      </c>
      <c r="ES32" s="204"/>
      <c r="ET32" s="203" t="s">
        <v>151</v>
      </c>
      <c r="EU32" s="201">
        <v>0</v>
      </c>
      <c r="EV32" s="201">
        <v>0</v>
      </c>
      <c r="EW32" s="202" t="str">
        <f t="shared" si="72"/>
        <v/>
      </c>
      <c r="EX32" s="203" t="s">
        <v>151</v>
      </c>
      <c r="EY32" s="204">
        <v>0</v>
      </c>
      <c r="EZ32" s="203" t="s">
        <v>151</v>
      </c>
      <c r="FA32" s="201">
        <v>4</v>
      </c>
      <c r="FB32" s="201">
        <v>4</v>
      </c>
      <c r="FC32" s="202">
        <f t="shared" si="73"/>
        <v>1</v>
      </c>
      <c r="FD32" s="203" t="s">
        <v>151</v>
      </c>
      <c r="FE32" s="204">
        <v>0</v>
      </c>
      <c r="FF32" s="203" t="s">
        <v>151</v>
      </c>
      <c r="FG32" s="201">
        <v>0</v>
      </c>
      <c r="FH32" s="201">
        <v>0</v>
      </c>
      <c r="FI32" s="202" t="str">
        <f t="shared" si="74"/>
        <v/>
      </c>
      <c r="FJ32" s="203" t="s">
        <v>151</v>
      </c>
      <c r="FK32" s="204">
        <v>0</v>
      </c>
      <c r="FL32" s="203" t="s">
        <v>151</v>
      </c>
      <c r="FM32" s="201">
        <v>0</v>
      </c>
      <c r="FN32" s="201">
        <v>0</v>
      </c>
      <c r="FO32" s="202" t="str">
        <f t="shared" si="75"/>
        <v/>
      </c>
      <c r="FP32" s="203" t="s">
        <v>151</v>
      </c>
      <c r="FQ32" s="204">
        <v>0</v>
      </c>
      <c r="FR32" s="203" t="s">
        <v>151</v>
      </c>
      <c r="FS32" s="201">
        <v>0</v>
      </c>
      <c r="FT32" s="201">
        <v>0</v>
      </c>
      <c r="FU32" s="202" t="str">
        <f t="shared" si="76"/>
        <v/>
      </c>
      <c r="FV32" s="203" t="s">
        <v>151</v>
      </c>
      <c r="FW32" s="204">
        <v>0</v>
      </c>
      <c r="FX32" s="203" t="s">
        <v>151</v>
      </c>
      <c r="FY32" s="201">
        <v>0</v>
      </c>
      <c r="FZ32" s="201">
        <v>0</v>
      </c>
      <c r="GA32" s="202" t="str">
        <f t="shared" si="77"/>
        <v/>
      </c>
      <c r="GB32" s="203" t="s">
        <v>151</v>
      </c>
      <c r="GC32" s="204">
        <v>0</v>
      </c>
      <c r="GD32" s="203" t="s">
        <v>151</v>
      </c>
      <c r="GE32" s="203" t="s">
        <v>437</v>
      </c>
      <c r="GF32" s="203" t="s">
        <v>439</v>
      </c>
      <c r="GG32" s="204" t="s">
        <v>152</v>
      </c>
      <c r="GH32" s="204" t="s">
        <v>152</v>
      </c>
      <c r="GI32" s="204" t="s">
        <v>152</v>
      </c>
      <c r="GJ32" s="204" t="s">
        <v>152</v>
      </c>
      <c r="GK32" s="203" t="s">
        <v>151</v>
      </c>
      <c r="GL32" s="204" t="s">
        <v>152</v>
      </c>
      <c r="GM32" s="204" t="s">
        <v>152</v>
      </c>
      <c r="GN32" s="204" t="s">
        <v>152</v>
      </c>
      <c r="GO32" s="204" t="s">
        <v>151</v>
      </c>
      <c r="GP32" s="204" t="s">
        <v>152</v>
      </c>
      <c r="GQ32" s="204" t="s">
        <v>152</v>
      </c>
      <c r="GR32" s="100" t="s">
        <v>152</v>
      </c>
      <c r="GS32" s="101"/>
      <c r="GT32" s="204" t="s">
        <v>152</v>
      </c>
      <c r="GU32" s="204"/>
      <c r="GV32" s="204"/>
      <c r="GW32" s="145" t="s">
        <v>152</v>
      </c>
      <c r="GX32" s="145" t="s">
        <v>149</v>
      </c>
      <c r="GY32" s="204" t="s">
        <v>149</v>
      </c>
      <c r="GZ32" s="203"/>
      <c r="HA32" s="203"/>
      <c r="HB32" s="203"/>
      <c r="HC32" s="203"/>
      <c r="HD32" s="203" t="s">
        <v>457</v>
      </c>
      <c r="HE32" s="203"/>
      <c r="HF32" s="203" t="s">
        <v>701</v>
      </c>
      <c r="HG32" s="203" t="s">
        <v>457</v>
      </c>
      <c r="HH32" s="203"/>
      <c r="HI32" s="203"/>
      <c r="HJ32" s="203"/>
      <c r="HK32" s="203"/>
      <c r="HL32" s="203"/>
      <c r="HM32" s="203"/>
      <c r="HN32" s="203"/>
      <c r="HO32" s="203"/>
      <c r="HP32" s="203"/>
      <c r="HQ32" s="203"/>
      <c r="HR32" s="203"/>
      <c r="HS32" s="203" t="s">
        <v>457</v>
      </c>
      <c r="HT32" s="203" t="s">
        <v>702</v>
      </c>
      <c r="HU32" s="203"/>
      <c r="HV32" s="203"/>
      <c r="HW32" s="203" t="s">
        <v>152</v>
      </c>
      <c r="HX32" s="203"/>
      <c r="HY32" s="203" t="s">
        <v>763</v>
      </c>
      <c r="HZ32" s="203" t="s">
        <v>152</v>
      </c>
      <c r="IA32" s="203"/>
      <c r="IB32" s="203"/>
      <c r="IC32" s="203"/>
      <c r="ID32" s="203"/>
      <c r="IE32" s="203"/>
      <c r="IF32" s="203"/>
      <c r="IG32" s="203" t="s">
        <v>152</v>
      </c>
      <c r="IH32" s="203"/>
      <c r="II32" s="203" t="s">
        <v>763</v>
      </c>
      <c r="IJ32" s="140" t="str">
        <f t="shared" si="2"/>
        <v>○</v>
      </c>
    </row>
    <row r="33" spans="1:244" s="93" customFormat="1" ht="150" customHeight="1">
      <c r="A33" s="97" t="s">
        <v>449</v>
      </c>
      <c r="B33" s="204" t="s">
        <v>189</v>
      </c>
      <c r="C33" s="198" t="s">
        <v>152</v>
      </c>
      <c r="D33" s="198" t="s">
        <v>149</v>
      </c>
      <c r="E33" s="203" t="s">
        <v>151</v>
      </c>
      <c r="F33" s="198" t="s">
        <v>152</v>
      </c>
      <c r="G33" s="198" t="s">
        <v>151</v>
      </c>
      <c r="H33" s="203" t="s">
        <v>151</v>
      </c>
      <c r="I33" s="198" t="s">
        <v>152</v>
      </c>
      <c r="J33" s="198" t="s">
        <v>151</v>
      </c>
      <c r="K33" s="203" t="s">
        <v>151</v>
      </c>
      <c r="L33" s="198"/>
      <c r="M33" s="198" t="s">
        <v>151</v>
      </c>
      <c r="N33" s="203" t="s">
        <v>151</v>
      </c>
      <c r="O33" s="198" t="s">
        <v>152</v>
      </c>
      <c r="P33" s="198" t="s">
        <v>151</v>
      </c>
      <c r="Q33" s="203" t="s">
        <v>151</v>
      </c>
      <c r="R33" s="198" t="s">
        <v>152</v>
      </c>
      <c r="S33" s="198" t="s">
        <v>151</v>
      </c>
      <c r="T33" s="203" t="s">
        <v>151</v>
      </c>
      <c r="U33" s="198" t="s">
        <v>152</v>
      </c>
      <c r="V33" s="198" t="s">
        <v>151</v>
      </c>
      <c r="W33" s="203" t="s">
        <v>151</v>
      </c>
      <c r="X33" s="204"/>
      <c r="Y33" s="204"/>
      <c r="Z33" s="204" t="s">
        <v>152</v>
      </c>
      <c r="AA33" s="98" t="str">
        <f t="shared" si="54"/>
        <v/>
      </c>
      <c r="AB33" s="204"/>
      <c r="AC33" s="204" t="s">
        <v>152</v>
      </c>
      <c r="AD33" s="98" t="str">
        <f t="shared" si="55"/>
        <v/>
      </c>
      <c r="AE33" s="99"/>
      <c r="AF33" s="203"/>
      <c r="AG33" s="203"/>
      <c r="AH33" s="198" t="s">
        <v>160</v>
      </c>
      <c r="AI33" s="198" t="s">
        <v>151</v>
      </c>
      <c r="AJ33" s="203" t="s">
        <v>151</v>
      </c>
      <c r="AK33" s="198" t="s">
        <v>152</v>
      </c>
      <c r="AL33" s="198" t="s">
        <v>151</v>
      </c>
      <c r="AM33" s="203" t="s">
        <v>151</v>
      </c>
      <c r="AN33" s="198" t="s">
        <v>152</v>
      </c>
      <c r="AO33" s="198" t="s">
        <v>151</v>
      </c>
      <c r="AP33" s="203" t="s">
        <v>151</v>
      </c>
      <c r="AQ33" s="198" t="s">
        <v>152</v>
      </c>
      <c r="AR33" s="198" t="s">
        <v>151</v>
      </c>
      <c r="AS33" s="203" t="s">
        <v>151</v>
      </c>
      <c r="AT33" s="198" t="s">
        <v>152</v>
      </c>
      <c r="AU33" s="198" t="s">
        <v>151</v>
      </c>
      <c r="AV33" s="203" t="s">
        <v>151</v>
      </c>
      <c r="AW33" s="201">
        <v>3</v>
      </c>
      <c r="AX33" s="201">
        <v>3</v>
      </c>
      <c r="AY33" s="202">
        <f t="shared" si="56"/>
        <v>1</v>
      </c>
      <c r="AZ33" s="203" t="s">
        <v>151</v>
      </c>
      <c r="BA33" s="204">
        <v>0</v>
      </c>
      <c r="BB33" s="203"/>
      <c r="BC33" s="201">
        <v>6</v>
      </c>
      <c r="BD33" s="201">
        <v>6</v>
      </c>
      <c r="BE33" s="202">
        <f t="shared" si="57"/>
        <v>1</v>
      </c>
      <c r="BF33" s="203" t="s">
        <v>151</v>
      </c>
      <c r="BG33" s="204">
        <v>0</v>
      </c>
      <c r="BH33" s="203" t="s">
        <v>151</v>
      </c>
      <c r="BI33" s="201">
        <v>1</v>
      </c>
      <c r="BJ33" s="201">
        <v>1</v>
      </c>
      <c r="BK33" s="202">
        <f t="shared" si="58"/>
        <v>1</v>
      </c>
      <c r="BL33" s="203" t="s">
        <v>151</v>
      </c>
      <c r="BM33" s="204">
        <v>0</v>
      </c>
      <c r="BN33" s="203" t="s">
        <v>151</v>
      </c>
      <c r="BO33" s="201">
        <v>0</v>
      </c>
      <c r="BP33" s="201">
        <v>0</v>
      </c>
      <c r="BQ33" s="202" t="str">
        <f t="shared" si="59"/>
        <v/>
      </c>
      <c r="BR33" s="203" t="s">
        <v>151</v>
      </c>
      <c r="BS33" s="204">
        <v>0</v>
      </c>
      <c r="BT33" s="203" t="s">
        <v>151</v>
      </c>
      <c r="BU33" s="201">
        <v>0</v>
      </c>
      <c r="BV33" s="201">
        <v>0</v>
      </c>
      <c r="BW33" s="202" t="str">
        <f t="shared" si="60"/>
        <v/>
      </c>
      <c r="BX33" s="203" t="s">
        <v>151</v>
      </c>
      <c r="BY33" s="204">
        <v>0</v>
      </c>
      <c r="BZ33" s="203" t="s">
        <v>151</v>
      </c>
      <c r="CA33" s="201">
        <v>0</v>
      </c>
      <c r="CB33" s="201">
        <v>0</v>
      </c>
      <c r="CC33" s="202" t="str">
        <f t="shared" si="61"/>
        <v/>
      </c>
      <c r="CD33" s="203" t="s">
        <v>151</v>
      </c>
      <c r="CE33" s="204">
        <v>0</v>
      </c>
      <c r="CF33" s="203" t="s">
        <v>151</v>
      </c>
      <c r="CG33" s="201">
        <v>0</v>
      </c>
      <c r="CH33" s="201">
        <v>0</v>
      </c>
      <c r="CI33" s="202" t="str">
        <f t="shared" si="62"/>
        <v/>
      </c>
      <c r="CJ33" s="203" t="s">
        <v>151</v>
      </c>
      <c r="CK33" s="204">
        <v>0</v>
      </c>
      <c r="CL33" s="203" t="s">
        <v>151</v>
      </c>
      <c r="CM33" s="201">
        <v>0</v>
      </c>
      <c r="CN33" s="201">
        <v>0</v>
      </c>
      <c r="CO33" s="202" t="str">
        <f t="shared" si="63"/>
        <v/>
      </c>
      <c r="CP33" s="203" t="s">
        <v>151</v>
      </c>
      <c r="CQ33" s="204">
        <v>0</v>
      </c>
      <c r="CR33" s="203" t="s">
        <v>151</v>
      </c>
      <c r="CS33" s="201">
        <v>0</v>
      </c>
      <c r="CT33" s="201">
        <v>0</v>
      </c>
      <c r="CU33" s="202" t="str">
        <f t="shared" si="64"/>
        <v/>
      </c>
      <c r="CV33" s="203" t="s">
        <v>151</v>
      </c>
      <c r="CW33" s="204">
        <v>0</v>
      </c>
      <c r="CX33" s="203" t="s">
        <v>151</v>
      </c>
      <c r="CY33" s="201">
        <v>0</v>
      </c>
      <c r="CZ33" s="201">
        <v>0</v>
      </c>
      <c r="DA33" s="202" t="str">
        <f t="shared" si="65"/>
        <v/>
      </c>
      <c r="DB33" s="203" t="s">
        <v>151</v>
      </c>
      <c r="DC33" s="204">
        <v>0</v>
      </c>
      <c r="DD33" s="203" t="s">
        <v>151</v>
      </c>
      <c r="DE33" s="201">
        <v>8</v>
      </c>
      <c r="DF33" s="201">
        <v>8</v>
      </c>
      <c r="DG33" s="202">
        <f t="shared" si="66"/>
        <v>1</v>
      </c>
      <c r="DH33" s="203"/>
      <c r="DI33" s="204">
        <v>0</v>
      </c>
      <c r="DJ33" s="203" t="s">
        <v>151</v>
      </c>
      <c r="DK33" s="201">
        <v>59</v>
      </c>
      <c r="DL33" s="201">
        <v>59</v>
      </c>
      <c r="DM33" s="202">
        <f t="shared" si="67"/>
        <v>1</v>
      </c>
      <c r="DN33" s="203" t="s">
        <v>151</v>
      </c>
      <c r="DO33" s="204">
        <v>0</v>
      </c>
      <c r="DP33" s="203" t="s">
        <v>151</v>
      </c>
      <c r="DQ33" s="201">
        <v>0</v>
      </c>
      <c r="DR33" s="201">
        <v>0</v>
      </c>
      <c r="DS33" s="202" t="str">
        <f t="shared" si="68"/>
        <v/>
      </c>
      <c r="DT33" s="203" t="s">
        <v>151</v>
      </c>
      <c r="DU33" s="204">
        <v>0</v>
      </c>
      <c r="DV33" s="203" t="s">
        <v>151</v>
      </c>
      <c r="DW33" s="201">
        <v>0</v>
      </c>
      <c r="DX33" s="201">
        <v>0</v>
      </c>
      <c r="DY33" s="202" t="str">
        <f t="shared" si="69"/>
        <v/>
      </c>
      <c r="DZ33" s="203" t="s">
        <v>151</v>
      </c>
      <c r="EA33" s="204">
        <v>0</v>
      </c>
      <c r="EB33" s="203" t="s">
        <v>151</v>
      </c>
      <c r="EC33" s="201">
        <v>1</v>
      </c>
      <c r="ED33" s="201">
        <v>1</v>
      </c>
      <c r="EE33" s="202">
        <f t="shared" si="70"/>
        <v>1</v>
      </c>
      <c r="EF33" s="203" t="s">
        <v>151</v>
      </c>
      <c r="EG33" s="204">
        <v>1</v>
      </c>
      <c r="EH33" s="203" t="s">
        <v>320</v>
      </c>
      <c r="EI33" s="201">
        <v>4</v>
      </c>
      <c r="EJ33" s="201">
        <v>3</v>
      </c>
      <c r="EK33" s="202">
        <f t="shared" si="78"/>
        <v>0.75</v>
      </c>
      <c r="EL33" s="203" t="s">
        <v>703</v>
      </c>
      <c r="EM33" s="204">
        <v>3</v>
      </c>
      <c r="EN33" s="203" t="s">
        <v>361</v>
      </c>
      <c r="EO33" s="201">
        <v>0</v>
      </c>
      <c r="EP33" s="201">
        <v>0</v>
      </c>
      <c r="EQ33" s="202" t="str">
        <f t="shared" si="71"/>
        <v/>
      </c>
      <c r="ER33" s="203" t="s">
        <v>151</v>
      </c>
      <c r="ES33" s="204">
        <v>0</v>
      </c>
      <c r="ET33" s="203" t="s">
        <v>151</v>
      </c>
      <c r="EU33" s="201">
        <v>1</v>
      </c>
      <c r="EV33" s="201">
        <v>1</v>
      </c>
      <c r="EW33" s="202">
        <f t="shared" si="72"/>
        <v>1</v>
      </c>
      <c r="EX33" s="203" t="s">
        <v>151</v>
      </c>
      <c r="EY33" s="204">
        <v>0</v>
      </c>
      <c r="EZ33" s="203" t="s">
        <v>151</v>
      </c>
      <c r="FA33" s="201">
        <v>2</v>
      </c>
      <c r="FB33" s="201">
        <v>2</v>
      </c>
      <c r="FC33" s="202">
        <f t="shared" si="73"/>
        <v>1</v>
      </c>
      <c r="FD33" s="203" t="s">
        <v>151</v>
      </c>
      <c r="FE33" s="204">
        <v>0</v>
      </c>
      <c r="FF33" s="203" t="s">
        <v>151</v>
      </c>
      <c r="FG33" s="201">
        <v>0</v>
      </c>
      <c r="FH33" s="201">
        <v>0</v>
      </c>
      <c r="FI33" s="202" t="str">
        <f t="shared" si="74"/>
        <v/>
      </c>
      <c r="FJ33" s="203" t="s">
        <v>151</v>
      </c>
      <c r="FK33" s="204">
        <v>0</v>
      </c>
      <c r="FL33" s="203" t="s">
        <v>151</v>
      </c>
      <c r="FM33" s="201">
        <v>0</v>
      </c>
      <c r="FN33" s="201">
        <v>0</v>
      </c>
      <c r="FO33" s="202" t="str">
        <f t="shared" si="75"/>
        <v/>
      </c>
      <c r="FP33" s="203" t="s">
        <v>151</v>
      </c>
      <c r="FQ33" s="204">
        <v>0</v>
      </c>
      <c r="FR33" s="203" t="s">
        <v>151</v>
      </c>
      <c r="FS33" s="201">
        <v>4</v>
      </c>
      <c r="FT33" s="201">
        <v>4</v>
      </c>
      <c r="FU33" s="202">
        <f t="shared" si="76"/>
        <v>1</v>
      </c>
      <c r="FV33" s="203" t="s">
        <v>151</v>
      </c>
      <c r="FW33" s="204">
        <v>0</v>
      </c>
      <c r="FX33" s="203" t="s">
        <v>151</v>
      </c>
      <c r="FY33" s="201">
        <v>0</v>
      </c>
      <c r="FZ33" s="201">
        <v>0</v>
      </c>
      <c r="GA33" s="202" t="str">
        <f t="shared" si="77"/>
        <v/>
      </c>
      <c r="GB33" s="203" t="s">
        <v>151</v>
      </c>
      <c r="GC33" s="204">
        <v>0</v>
      </c>
      <c r="GD33" s="203" t="s">
        <v>151</v>
      </c>
      <c r="GE33" s="203" t="s">
        <v>437</v>
      </c>
      <c r="GF33" s="203" t="s">
        <v>439</v>
      </c>
      <c r="GG33" s="204" t="s">
        <v>152</v>
      </c>
      <c r="GH33" s="204" t="s">
        <v>152</v>
      </c>
      <c r="GI33" s="204" t="s">
        <v>152</v>
      </c>
      <c r="GJ33" s="204" t="s">
        <v>151</v>
      </c>
      <c r="GK33" s="203" t="s">
        <v>151</v>
      </c>
      <c r="GL33" s="204" t="s">
        <v>152</v>
      </c>
      <c r="GM33" s="204" t="s">
        <v>152</v>
      </c>
      <c r="GN33" s="204" t="s">
        <v>152</v>
      </c>
      <c r="GO33" s="204" t="s">
        <v>151</v>
      </c>
      <c r="GP33" s="204" t="s">
        <v>151</v>
      </c>
      <c r="GQ33" s="204" t="s">
        <v>151</v>
      </c>
      <c r="GR33" s="100"/>
      <c r="GS33" s="101"/>
      <c r="GT33" s="204" t="s">
        <v>152</v>
      </c>
      <c r="GU33" s="204"/>
      <c r="GV33" s="204"/>
      <c r="GW33" s="145" t="s">
        <v>152</v>
      </c>
      <c r="GX33" s="145" t="s">
        <v>149</v>
      </c>
      <c r="GY33" s="204" t="s">
        <v>149</v>
      </c>
      <c r="GZ33" s="131"/>
      <c r="HA33" s="131"/>
      <c r="HB33" s="131"/>
      <c r="HC33" s="131"/>
      <c r="HD33" s="131" t="s">
        <v>152</v>
      </c>
      <c r="HE33" s="131"/>
      <c r="HF33" s="104" t="s">
        <v>704</v>
      </c>
      <c r="HG33" s="131" t="s">
        <v>152</v>
      </c>
      <c r="HH33" s="131"/>
      <c r="HI33" s="131"/>
      <c r="HJ33" s="131"/>
      <c r="HK33" s="131"/>
      <c r="HL33" s="131"/>
      <c r="HM33" s="105"/>
      <c r="HN33" s="131" t="s">
        <v>152</v>
      </c>
      <c r="HO33" s="131"/>
      <c r="HP33" s="131"/>
      <c r="HQ33" s="131"/>
      <c r="HR33" s="131"/>
      <c r="HS33" s="131"/>
      <c r="HT33" s="105"/>
      <c r="HU33" s="131"/>
      <c r="HV33" s="131"/>
      <c r="HW33" s="131" t="s">
        <v>152</v>
      </c>
      <c r="HX33" s="131"/>
      <c r="HY33" s="104" t="s">
        <v>705</v>
      </c>
      <c r="HZ33" s="131" t="s">
        <v>152</v>
      </c>
      <c r="IA33" s="131"/>
      <c r="IB33" s="131"/>
      <c r="IC33" s="131"/>
      <c r="ID33" s="105"/>
      <c r="IE33" s="204" t="s">
        <v>457</v>
      </c>
      <c r="IF33" s="131"/>
      <c r="IG33" s="131"/>
      <c r="IH33" s="131"/>
      <c r="II33" s="98"/>
      <c r="IJ33" s="140" t="str">
        <f t="shared" si="2"/>
        <v>○</v>
      </c>
    </row>
    <row r="34" spans="1:244" s="93" customFormat="1" ht="156.75" customHeight="1">
      <c r="A34" s="97" t="s">
        <v>450</v>
      </c>
      <c r="B34" s="204" t="s">
        <v>190</v>
      </c>
      <c r="C34" s="198" t="s">
        <v>152</v>
      </c>
      <c r="D34" s="198" t="s">
        <v>151</v>
      </c>
      <c r="E34" s="203" t="s">
        <v>151</v>
      </c>
      <c r="F34" s="198" t="s">
        <v>152</v>
      </c>
      <c r="G34" s="198" t="s">
        <v>151</v>
      </c>
      <c r="H34" s="203" t="s">
        <v>151</v>
      </c>
      <c r="I34" s="198" t="s">
        <v>152</v>
      </c>
      <c r="J34" s="198" t="s">
        <v>151</v>
      </c>
      <c r="K34" s="203" t="s">
        <v>151</v>
      </c>
      <c r="L34" s="198" t="s">
        <v>152</v>
      </c>
      <c r="M34" s="198" t="s">
        <v>151</v>
      </c>
      <c r="N34" s="203" t="s">
        <v>151</v>
      </c>
      <c r="O34" s="198" t="s">
        <v>152</v>
      </c>
      <c r="P34" s="198" t="s">
        <v>151</v>
      </c>
      <c r="Q34" s="203" t="s">
        <v>151</v>
      </c>
      <c r="R34" s="198" t="s">
        <v>152</v>
      </c>
      <c r="S34" s="198" t="s">
        <v>151</v>
      </c>
      <c r="T34" s="203" t="s">
        <v>151</v>
      </c>
      <c r="U34" s="198" t="s">
        <v>152</v>
      </c>
      <c r="V34" s="198" t="s">
        <v>151</v>
      </c>
      <c r="W34" s="203" t="s">
        <v>151</v>
      </c>
      <c r="X34" s="204"/>
      <c r="Y34" s="204"/>
      <c r="Z34" s="204" t="s">
        <v>152</v>
      </c>
      <c r="AA34" s="98" t="str">
        <f t="shared" si="54"/>
        <v/>
      </c>
      <c r="AB34" s="204" t="s">
        <v>152</v>
      </c>
      <c r="AC34" s="204"/>
      <c r="AD34" s="98" t="str">
        <f t="shared" si="55"/>
        <v>○</v>
      </c>
      <c r="AE34" s="99" t="s">
        <v>229</v>
      </c>
      <c r="AF34" s="203" t="s">
        <v>706</v>
      </c>
      <c r="AG34" s="203"/>
      <c r="AH34" s="198" t="s">
        <v>160</v>
      </c>
      <c r="AI34" s="198" t="s">
        <v>151</v>
      </c>
      <c r="AJ34" s="203" t="s">
        <v>151</v>
      </c>
      <c r="AK34" s="198" t="s">
        <v>152</v>
      </c>
      <c r="AL34" s="198" t="s">
        <v>151</v>
      </c>
      <c r="AM34" s="203" t="s">
        <v>151</v>
      </c>
      <c r="AN34" s="198" t="s">
        <v>152</v>
      </c>
      <c r="AO34" s="198" t="s">
        <v>151</v>
      </c>
      <c r="AP34" s="203" t="s">
        <v>151</v>
      </c>
      <c r="AQ34" s="198" t="s">
        <v>152</v>
      </c>
      <c r="AR34" s="198" t="s">
        <v>151</v>
      </c>
      <c r="AS34" s="203" t="s">
        <v>151</v>
      </c>
      <c r="AT34" s="198" t="s">
        <v>152</v>
      </c>
      <c r="AU34" s="198" t="s">
        <v>151</v>
      </c>
      <c r="AV34" s="203" t="s">
        <v>151</v>
      </c>
      <c r="AW34" s="201">
        <v>2</v>
      </c>
      <c r="AX34" s="201">
        <v>2</v>
      </c>
      <c r="AY34" s="202">
        <f t="shared" si="56"/>
        <v>1</v>
      </c>
      <c r="AZ34" s="203" t="s">
        <v>151</v>
      </c>
      <c r="BA34" s="204">
        <v>0</v>
      </c>
      <c r="BB34" s="203" t="s">
        <v>151</v>
      </c>
      <c r="BC34" s="201">
        <v>9</v>
      </c>
      <c r="BD34" s="201">
        <v>9</v>
      </c>
      <c r="BE34" s="202">
        <f t="shared" si="57"/>
        <v>1</v>
      </c>
      <c r="BF34" s="203" t="s">
        <v>151</v>
      </c>
      <c r="BG34" s="204">
        <v>0</v>
      </c>
      <c r="BH34" s="203" t="s">
        <v>151</v>
      </c>
      <c r="BI34" s="201">
        <v>0</v>
      </c>
      <c r="BJ34" s="201">
        <v>0</v>
      </c>
      <c r="BK34" s="202" t="str">
        <f t="shared" si="58"/>
        <v/>
      </c>
      <c r="BL34" s="203" t="s">
        <v>151</v>
      </c>
      <c r="BM34" s="204">
        <v>0</v>
      </c>
      <c r="BN34" s="203" t="s">
        <v>151</v>
      </c>
      <c r="BO34" s="201">
        <v>0</v>
      </c>
      <c r="BP34" s="201">
        <v>0</v>
      </c>
      <c r="BQ34" s="202" t="str">
        <f t="shared" si="59"/>
        <v/>
      </c>
      <c r="BR34" s="203" t="s">
        <v>151</v>
      </c>
      <c r="BS34" s="204">
        <v>0</v>
      </c>
      <c r="BT34" s="203" t="s">
        <v>151</v>
      </c>
      <c r="BU34" s="201">
        <v>0</v>
      </c>
      <c r="BV34" s="201">
        <v>0</v>
      </c>
      <c r="BW34" s="202" t="str">
        <f t="shared" si="60"/>
        <v/>
      </c>
      <c r="BX34" s="203" t="s">
        <v>151</v>
      </c>
      <c r="BY34" s="204">
        <v>0</v>
      </c>
      <c r="BZ34" s="203" t="s">
        <v>151</v>
      </c>
      <c r="CA34" s="201">
        <v>0</v>
      </c>
      <c r="CB34" s="201">
        <v>0</v>
      </c>
      <c r="CC34" s="202" t="str">
        <f t="shared" si="61"/>
        <v/>
      </c>
      <c r="CD34" s="203" t="s">
        <v>151</v>
      </c>
      <c r="CE34" s="204">
        <v>0</v>
      </c>
      <c r="CF34" s="203" t="s">
        <v>151</v>
      </c>
      <c r="CG34" s="201">
        <v>1</v>
      </c>
      <c r="CH34" s="201">
        <v>1</v>
      </c>
      <c r="CI34" s="202">
        <f t="shared" si="62"/>
        <v>1</v>
      </c>
      <c r="CJ34" s="203" t="s">
        <v>151</v>
      </c>
      <c r="CK34" s="204">
        <v>0</v>
      </c>
      <c r="CL34" s="203" t="s">
        <v>151</v>
      </c>
      <c r="CM34" s="201">
        <v>0</v>
      </c>
      <c r="CN34" s="201">
        <v>0</v>
      </c>
      <c r="CO34" s="202" t="str">
        <f t="shared" si="63"/>
        <v/>
      </c>
      <c r="CP34" s="203" t="s">
        <v>151</v>
      </c>
      <c r="CQ34" s="204">
        <v>0</v>
      </c>
      <c r="CR34" s="203" t="s">
        <v>151</v>
      </c>
      <c r="CS34" s="201">
        <v>0</v>
      </c>
      <c r="CT34" s="201">
        <v>0</v>
      </c>
      <c r="CU34" s="202" t="str">
        <f t="shared" si="64"/>
        <v/>
      </c>
      <c r="CV34" s="203" t="s">
        <v>151</v>
      </c>
      <c r="CW34" s="204">
        <v>0</v>
      </c>
      <c r="CX34" s="203" t="s">
        <v>151</v>
      </c>
      <c r="CY34" s="201">
        <v>0</v>
      </c>
      <c r="CZ34" s="201">
        <v>0</v>
      </c>
      <c r="DA34" s="202" t="str">
        <f t="shared" si="65"/>
        <v/>
      </c>
      <c r="DB34" s="203" t="s">
        <v>151</v>
      </c>
      <c r="DC34" s="204">
        <v>0</v>
      </c>
      <c r="DD34" s="203" t="s">
        <v>151</v>
      </c>
      <c r="DE34" s="201">
        <v>7</v>
      </c>
      <c r="DF34" s="201">
        <v>7</v>
      </c>
      <c r="DG34" s="202">
        <f t="shared" si="66"/>
        <v>1</v>
      </c>
      <c r="DH34" s="203" t="s">
        <v>151</v>
      </c>
      <c r="DI34" s="204">
        <v>0</v>
      </c>
      <c r="DJ34" s="203" t="s">
        <v>151</v>
      </c>
      <c r="DK34" s="201">
        <v>41</v>
      </c>
      <c r="DL34" s="201">
        <v>41</v>
      </c>
      <c r="DM34" s="202">
        <f t="shared" si="67"/>
        <v>1</v>
      </c>
      <c r="DN34" s="203" t="s">
        <v>151</v>
      </c>
      <c r="DO34" s="204">
        <v>0</v>
      </c>
      <c r="DP34" s="203" t="s">
        <v>151</v>
      </c>
      <c r="DQ34" s="201">
        <v>0</v>
      </c>
      <c r="DR34" s="201">
        <v>0</v>
      </c>
      <c r="DS34" s="202" t="str">
        <f t="shared" si="68"/>
        <v/>
      </c>
      <c r="DT34" s="203" t="s">
        <v>151</v>
      </c>
      <c r="DU34" s="203">
        <v>0</v>
      </c>
      <c r="DV34" s="203" t="s">
        <v>151</v>
      </c>
      <c r="DW34" s="201">
        <v>0</v>
      </c>
      <c r="DX34" s="201">
        <v>0</v>
      </c>
      <c r="DY34" s="202" t="str">
        <f t="shared" si="69"/>
        <v/>
      </c>
      <c r="DZ34" s="203" t="s">
        <v>151</v>
      </c>
      <c r="EA34" s="204">
        <v>0</v>
      </c>
      <c r="EB34" s="203" t="s">
        <v>151</v>
      </c>
      <c r="EC34" s="201">
        <v>1</v>
      </c>
      <c r="ED34" s="201">
        <v>0</v>
      </c>
      <c r="EE34" s="202">
        <f t="shared" si="70"/>
        <v>0</v>
      </c>
      <c r="EF34" s="203" t="s">
        <v>321</v>
      </c>
      <c r="EG34" s="204">
        <v>1</v>
      </c>
      <c r="EH34" s="203" t="s">
        <v>322</v>
      </c>
      <c r="EI34" s="201">
        <v>6</v>
      </c>
      <c r="EJ34" s="201">
        <v>3</v>
      </c>
      <c r="EK34" s="202">
        <f t="shared" si="78"/>
        <v>0.5</v>
      </c>
      <c r="EL34" s="203" t="s">
        <v>707</v>
      </c>
      <c r="EM34" s="204">
        <v>3</v>
      </c>
      <c r="EN34" s="203" t="s">
        <v>362</v>
      </c>
      <c r="EO34" s="201">
        <v>0</v>
      </c>
      <c r="EP34" s="201">
        <v>0</v>
      </c>
      <c r="EQ34" s="202" t="str">
        <f t="shared" si="71"/>
        <v/>
      </c>
      <c r="ER34" s="203" t="s">
        <v>151</v>
      </c>
      <c r="ES34" s="204">
        <v>0</v>
      </c>
      <c r="ET34" s="203" t="s">
        <v>151</v>
      </c>
      <c r="EU34" s="201">
        <v>3</v>
      </c>
      <c r="EV34" s="201">
        <v>3</v>
      </c>
      <c r="EW34" s="202">
        <f t="shared" si="72"/>
        <v>1</v>
      </c>
      <c r="EX34" s="203" t="s">
        <v>151</v>
      </c>
      <c r="EY34" s="204">
        <v>0</v>
      </c>
      <c r="EZ34" s="203" t="s">
        <v>151</v>
      </c>
      <c r="FA34" s="201">
        <v>2</v>
      </c>
      <c r="FB34" s="201">
        <v>2</v>
      </c>
      <c r="FC34" s="202">
        <f t="shared" si="73"/>
        <v>1</v>
      </c>
      <c r="FD34" s="203" t="s">
        <v>151</v>
      </c>
      <c r="FE34" s="204">
        <v>0</v>
      </c>
      <c r="FF34" s="203" t="s">
        <v>151</v>
      </c>
      <c r="FG34" s="201">
        <v>0</v>
      </c>
      <c r="FH34" s="201">
        <v>0</v>
      </c>
      <c r="FI34" s="202" t="str">
        <f t="shared" si="74"/>
        <v/>
      </c>
      <c r="FJ34" s="203" t="s">
        <v>151</v>
      </c>
      <c r="FK34" s="204">
        <v>0</v>
      </c>
      <c r="FL34" s="203" t="s">
        <v>151</v>
      </c>
      <c r="FM34" s="201">
        <v>0</v>
      </c>
      <c r="FN34" s="201">
        <v>0</v>
      </c>
      <c r="FO34" s="202" t="str">
        <f t="shared" si="75"/>
        <v/>
      </c>
      <c r="FP34" s="203" t="s">
        <v>151</v>
      </c>
      <c r="FQ34" s="204">
        <v>0</v>
      </c>
      <c r="FR34" s="203" t="s">
        <v>151</v>
      </c>
      <c r="FS34" s="201">
        <v>5</v>
      </c>
      <c r="FT34" s="201">
        <v>5</v>
      </c>
      <c r="FU34" s="202">
        <f t="shared" si="76"/>
        <v>1</v>
      </c>
      <c r="FV34" s="203" t="s">
        <v>151</v>
      </c>
      <c r="FW34" s="204">
        <v>0</v>
      </c>
      <c r="FX34" s="203" t="s">
        <v>151</v>
      </c>
      <c r="FY34" s="201">
        <v>1</v>
      </c>
      <c r="FZ34" s="201">
        <v>1</v>
      </c>
      <c r="GA34" s="202">
        <f t="shared" si="77"/>
        <v>1</v>
      </c>
      <c r="GB34" s="203" t="s">
        <v>151</v>
      </c>
      <c r="GC34" s="204">
        <v>0</v>
      </c>
      <c r="GD34" s="203" t="s">
        <v>151</v>
      </c>
      <c r="GE34" s="203" t="s">
        <v>437</v>
      </c>
      <c r="GF34" s="203" t="s">
        <v>439</v>
      </c>
      <c r="GG34" s="204" t="s">
        <v>152</v>
      </c>
      <c r="GH34" s="204" t="s">
        <v>151</v>
      </c>
      <c r="GI34" s="204" t="s">
        <v>152</v>
      </c>
      <c r="GJ34" s="204" t="s">
        <v>151</v>
      </c>
      <c r="GK34" s="203" t="s">
        <v>151</v>
      </c>
      <c r="GL34" s="204" t="s">
        <v>152</v>
      </c>
      <c r="GM34" s="204" t="s">
        <v>152</v>
      </c>
      <c r="GN34" s="204" t="s">
        <v>152</v>
      </c>
      <c r="GO34" s="204" t="s">
        <v>152</v>
      </c>
      <c r="GP34" s="204" t="s">
        <v>152</v>
      </c>
      <c r="GQ34" s="204" t="s">
        <v>152</v>
      </c>
      <c r="GR34" s="100" t="s">
        <v>457</v>
      </c>
      <c r="GS34" s="101"/>
      <c r="GT34" s="204" t="s">
        <v>152</v>
      </c>
      <c r="GU34" s="204"/>
      <c r="GV34" s="204"/>
      <c r="GW34" s="145" t="s">
        <v>152</v>
      </c>
      <c r="GX34" s="145" t="s">
        <v>149</v>
      </c>
      <c r="GY34" s="204" t="s">
        <v>149</v>
      </c>
      <c r="GZ34" s="204" t="s">
        <v>152</v>
      </c>
      <c r="HA34" s="204"/>
      <c r="HB34" s="204"/>
      <c r="HC34" s="204"/>
      <c r="HD34" s="204"/>
      <c r="HE34" s="204"/>
      <c r="HF34" s="204"/>
      <c r="HG34" s="204" t="s">
        <v>152</v>
      </c>
      <c r="HH34" s="204"/>
      <c r="HI34" s="204"/>
      <c r="HJ34" s="204"/>
      <c r="HK34" s="204"/>
      <c r="HL34" s="204"/>
      <c r="HM34" s="204"/>
      <c r="HN34" s="204" t="s">
        <v>152</v>
      </c>
      <c r="HO34" s="204"/>
      <c r="HP34" s="204"/>
      <c r="HQ34" s="204"/>
      <c r="HR34" s="204"/>
      <c r="HS34" s="204"/>
      <c r="HT34" s="204"/>
      <c r="HU34" s="204" t="s">
        <v>152</v>
      </c>
      <c r="HV34" s="204"/>
      <c r="HW34" s="204"/>
      <c r="HX34" s="204"/>
      <c r="HY34" s="204"/>
      <c r="HZ34" s="204" t="s">
        <v>152</v>
      </c>
      <c r="IA34" s="204"/>
      <c r="IB34" s="204"/>
      <c r="IC34" s="204"/>
      <c r="ID34" s="204"/>
      <c r="IE34" s="204" t="s">
        <v>457</v>
      </c>
      <c r="IF34" s="204"/>
      <c r="IG34" s="204"/>
      <c r="IH34" s="204"/>
      <c r="II34" s="204"/>
      <c r="IJ34" s="140" t="str">
        <f t="shared" si="2"/>
        <v>○</v>
      </c>
    </row>
    <row r="35" spans="1:244" s="93" customFormat="1" ht="118.8">
      <c r="A35" s="97" t="s">
        <v>525</v>
      </c>
      <c r="B35" s="204" t="s">
        <v>191</v>
      </c>
      <c r="C35" s="198" t="s">
        <v>152</v>
      </c>
      <c r="D35" s="198" t="s">
        <v>151</v>
      </c>
      <c r="E35" s="203" t="s">
        <v>151</v>
      </c>
      <c r="F35" s="198" t="s">
        <v>152</v>
      </c>
      <c r="G35" s="198" t="s">
        <v>151</v>
      </c>
      <c r="H35" s="203" t="s">
        <v>151</v>
      </c>
      <c r="I35" s="198" t="s">
        <v>152</v>
      </c>
      <c r="J35" s="198" t="s">
        <v>151</v>
      </c>
      <c r="K35" s="203" t="s">
        <v>151</v>
      </c>
      <c r="L35" s="198" t="s">
        <v>152</v>
      </c>
      <c r="M35" s="198" t="s">
        <v>151</v>
      </c>
      <c r="N35" s="203" t="s">
        <v>151</v>
      </c>
      <c r="O35" s="198" t="s">
        <v>152</v>
      </c>
      <c r="P35" s="198" t="s">
        <v>151</v>
      </c>
      <c r="Q35" s="203" t="s">
        <v>151</v>
      </c>
      <c r="R35" s="198" t="s">
        <v>152</v>
      </c>
      <c r="S35" s="198" t="s">
        <v>151</v>
      </c>
      <c r="T35" s="203" t="s">
        <v>151</v>
      </c>
      <c r="U35" s="198" t="s">
        <v>160</v>
      </c>
      <c r="V35" s="198" t="s">
        <v>151</v>
      </c>
      <c r="W35" s="203" t="s">
        <v>151</v>
      </c>
      <c r="X35" s="204"/>
      <c r="Y35" s="204"/>
      <c r="Z35" s="204" t="s">
        <v>152</v>
      </c>
      <c r="AA35" s="98" t="s">
        <v>149</v>
      </c>
      <c r="AB35" s="204" t="s">
        <v>152</v>
      </c>
      <c r="AC35" s="204"/>
      <c r="AD35" s="98" t="s">
        <v>152</v>
      </c>
      <c r="AE35" s="99"/>
      <c r="AF35" s="203" t="s">
        <v>526</v>
      </c>
      <c r="AG35" s="203"/>
      <c r="AH35" s="198" t="s">
        <v>160</v>
      </c>
      <c r="AI35" s="198" t="s">
        <v>151</v>
      </c>
      <c r="AJ35" s="203" t="s">
        <v>151</v>
      </c>
      <c r="AK35" s="198" t="s">
        <v>152</v>
      </c>
      <c r="AL35" s="198" t="s">
        <v>151</v>
      </c>
      <c r="AM35" s="203" t="s">
        <v>151</v>
      </c>
      <c r="AN35" s="198" t="s">
        <v>152</v>
      </c>
      <c r="AO35" s="198" t="s">
        <v>151</v>
      </c>
      <c r="AP35" s="203" t="s">
        <v>151</v>
      </c>
      <c r="AQ35" s="198" t="s">
        <v>152</v>
      </c>
      <c r="AR35" s="198" t="s">
        <v>151</v>
      </c>
      <c r="AS35" s="203" t="s">
        <v>151</v>
      </c>
      <c r="AT35" s="198" t="s">
        <v>152</v>
      </c>
      <c r="AU35" s="198" t="s">
        <v>151</v>
      </c>
      <c r="AV35" s="203" t="s">
        <v>151</v>
      </c>
      <c r="AW35" s="201">
        <v>1</v>
      </c>
      <c r="AX35" s="201">
        <v>0</v>
      </c>
      <c r="AY35" s="202">
        <v>0</v>
      </c>
      <c r="AZ35" s="203" t="s">
        <v>238</v>
      </c>
      <c r="BA35" s="204">
        <v>1</v>
      </c>
      <c r="BB35" s="203" t="s">
        <v>464</v>
      </c>
      <c r="BC35" s="201">
        <v>1</v>
      </c>
      <c r="BD35" s="201">
        <v>1</v>
      </c>
      <c r="BE35" s="202">
        <v>1</v>
      </c>
      <c r="BF35" s="203" t="s">
        <v>151</v>
      </c>
      <c r="BG35" s="204">
        <v>0</v>
      </c>
      <c r="BH35" s="203" t="s">
        <v>151</v>
      </c>
      <c r="BI35" s="201">
        <v>0</v>
      </c>
      <c r="BJ35" s="201">
        <v>0</v>
      </c>
      <c r="BK35" s="202" t="s">
        <v>149</v>
      </c>
      <c r="BL35" s="203" t="s">
        <v>151</v>
      </c>
      <c r="BM35" s="204">
        <v>0</v>
      </c>
      <c r="BN35" s="203" t="s">
        <v>151</v>
      </c>
      <c r="BO35" s="201">
        <v>0</v>
      </c>
      <c r="BP35" s="201">
        <v>0</v>
      </c>
      <c r="BQ35" s="202" t="s">
        <v>149</v>
      </c>
      <c r="BR35" s="203" t="s">
        <v>151</v>
      </c>
      <c r="BS35" s="204">
        <v>0</v>
      </c>
      <c r="BT35" s="203" t="s">
        <v>151</v>
      </c>
      <c r="BU35" s="201">
        <v>0</v>
      </c>
      <c r="BV35" s="201">
        <v>0</v>
      </c>
      <c r="BW35" s="202" t="s">
        <v>149</v>
      </c>
      <c r="BX35" s="203" t="s">
        <v>151</v>
      </c>
      <c r="BY35" s="204">
        <v>0</v>
      </c>
      <c r="BZ35" s="203" t="s">
        <v>151</v>
      </c>
      <c r="CA35" s="201">
        <v>0</v>
      </c>
      <c r="CB35" s="201">
        <v>0</v>
      </c>
      <c r="CC35" s="202" t="s">
        <v>149</v>
      </c>
      <c r="CD35" s="203" t="s">
        <v>151</v>
      </c>
      <c r="CE35" s="204">
        <v>0</v>
      </c>
      <c r="CF35" s="203" t="s">
        <v>151</v>
      </c>
      <c r="CG35" s="201">
        <v>0</v>
      </c>
      <c r="CH35" s="201">
        <v>0</v>
      </c>
      <c r="CI35" s="202" t="s">
        <v>149</v>
      </c>
      <c r="CJ35" s="203" t="s">
        <v>151</v>
      </c>
      <c r="CK35" s="204">
        <v>0</v>
      </c>
      <c r="CL35" s="203" t="s">
        <v>151</v>
      </c>
      <c r="CM35" s="201">
        <v>0</v>
      </c>
      <c r="CN35" s="201">
        <v>0</v>
      </c>
      <c r="CO35" s="202" t="s">
        <v>149</v>
      </c>
      <c r="CP35" s="203" t="s">
        <v>151</v>
      </c>
      <c r="CQ35" s="204">
        <v>0</v>
      </c>
      <c r="CR35" s="203" t="s">
        <v>151</v>
      </c>
      <c r="CS35" s="201">
        <v>0</v>
      </c>
      <c r="CT35" s="201">
        <v>0</v>
      </c>
      <c r="CU35" s="202" t="s">
        <v>149</v>
      </c>
      <c r="CV35" s="203" t="s">
        <v>151</v>
      </c>
      <c r="CW35" s="204">
        <v>0</v>
      </c>
      <c r="CX35" s="203" t="s">
        <v>151</v>
      </c>
      <c r="CY35" s="201">
        <v>0</v>
      </c>
      <c r="CZ35" s="201">
        <v>0</v>
      </c>
      <c r="DA35" s="202" t="s">
        <v>149</v>
      </c>
      <c r="DB35" s="203" t="s">
        <v>151</v>
      </c>
      <c r="DC35" s="204">
        <v>0</v>
      </c>
      <c r="DD35" s="203" t="s">
        <v>151</v>
      </c>
      <c r="DE35" s="201">
        <v>11</v>
      </c>
      <c r="DF35" s="201">
        <v>4</v>
      </c>
      <c r="DG35" s="202">
        <v>0.36363636363636365</v>
      </c>
      <c r="DH35" s="203" t="s">
        <v>285</v>
      </c>
      <c r="DI35" s="204">
        <v>0</v>
      </c>
      <c r="DJ35" s="203" t="s">
        <v>151</v>
      </c>
      <c r="DK35" s="201">
        <v>137</v>
      </c>
      <c r="DL35" s="201">
        <v>129</v>
      </c>
      <c r="DM35" s="202">
        <f t="shared" si="67"/>
        <v>0.94160583941605835</v>
      </c>
      <c r="DN35" s="203" t="s">
        <v>757</v>
      </c>
      <c r="DO35" s="204">
        <v>0</v>
      </c>
      <c r="DP35" s="203" t="s">
        <v>151</v>
      </c>
      <c r="DQ35" s="201">
        <v>0</v>
      </c>
      <c r="DR35" s="201">
        <v>0</v>
      </c>
      <c r="DS35" s="202" t="s">
        <v>149</v>
      </c>
      <c r="DT35" s="203" t="s">
        <v>151</v>
      </c>
      <c r="DU35" s="203">
        <v>0</v>
      </c>
      <c r="DV35" s="203" t="s">
        <v>151</v>
      </c>
      <c r="DW35" s="201">
        <v>0</v>
      </c>
      <c r="DX35" s="201">
        <v>0</v>
      </c>
      <c r="DY35" s="202" t="s">
        <v>149</v>
      </c>
      <c r="DZ35" s="203" t="s">
        <v>151</v>
      </c>
      <c r="EA35" s="204">
        <v>0</v>
      </c>
      <c r="EB35" s="203" t="s">
        <v>151</v>
      </c>
      <c r="EC35" s="201">
        <v>1</v>
      </c>
      <c r="ED35" s="201">
        <v>0</v>
      </c>
      <c r="EE35" s="202">
        <v>0</v>
      </c>
      <c r="EF35" s="203" t="s">
        <v>323</v>
      </c>
      <c r="EG35" s="204">
        <v>1</v>
      </c>
      <c r="EH35" s="203" t="s">
        <v>324</v>
      </c>
      <c r="EI35" s="201">
        <v>5</v>
      </c>
      <c r="EJ35" s="201">
        <v>2</v>
      </c>
      <c r="EK35" s="202">
        <v>0.4</v>
      </c>
      <c r="EL35" s="203" t="s">
        <v>323</v>
      </c>
      <c r="EM35" s="204">
        <v>4</v>
      </c>
      <c r="EN35" s="203" t="s">
        <v>363</v>
      </c>
      <c r="EO35" s="201">
        <v>3</v>
      </c>
      <c r="EP35" s="201">
        <v>3</v>
      </c>
      <c r="EQ35" s="202">
        <v>1</v>
      </c>
      <c r="ER35" s="203" t="s">
        <v>151</v>
      </c>
      <c r="ES35" s="204">
        <v>0</v>
      </c>
      <c r="ET35" s="203" t="s">
        <v>151</v>
      </c>
      <c r="EU35" s="201">
        <v>2</v>
      </c>
      <c r="EV35" s="201">
        <v>2</v>
      </c>
      <c r="EW35" s="202">
        <v>1</v>
      </c>
      <c r="EX35" s="203" t="s">
        <v>151</v>
      </c>
      <c r="EY35" s="204">
        <v>0</v>
      </c>
      <c r="EZ35" s="203" t="s">
        <v>151</v>
      </c>
      <c r="FA35" s="201">
        <v>0</v>
      </c>
      <c r="FB35" s="201">
        <v>0</v>
      </c>
      <c r="FC35" s="202" t="s">
        <v>149</v>
      </c>
      <c r="FD35" s="203" t="s">
        <v>151</v>
      </c>
      <c r="FE35" s="204">
        <v>0</v>
      </c>
      <c r="FF35" s="203" t="s">
        <v>151</v>
      </c>
      <c r="FG35" s="201">
        <v>0</v>
      </c>
      <c r="FH35" s="201">
        <v>0</v>
      </c>
      <c r="FI35" s="202" t="s">
        <v>149</v>
      </c>
      <c r="FJ35" s="203" t="s">
        <v>151</v>
      </c>
      <c r="FK35" s="204">
        <v>0</v>
      </c>
      <c r="FL35" s="203" t="s">
        <v>151</v>
      </c>
      <c r="FM35" s="201">
        <v>0</v>
      </c>
      <c r="FN35" s="201">
        <v>0</v>
      </c>
      <c r="FO35" s="202" t="str">
        <f t="shared" si="75"/>
        <v/>
      </c>
      <c r="FP35" s="203" t="s">
        <v>151</v>
      </c>
      <c r="FQ35" s="204">
        <v>0</v>
      </c>
      <c r="FR35" s="203" t="s">
        <v>151</v>
      </c>
      <c r="FS35" s="201">
        <v>9</v>
      </c>
      <c r="FT35" s="201">
        <v>8</v>
      </c>
      <c r="FU35" s="202">
        <f t="shared" si="76"/>
        <v>0.88888888888888884</v>
      </c>
      <c r="FV35" s="203" t="s">
        <v>425</v>
      </c>
      <c r="FW35" s="204">
        <v>1</v>
      </c>
      <c r="FX35" s="203" t="s">
        <v>426</v>
      </c>
      <c r="FY35" s="201">
        <v>0</v>
      </c>
      <c r="FZ35" s="201">
        <v>0</v>
      </c>
      <c r="GA35" s="202" t="str">
        <f t="shared" si="77"/>
        <v/>
      </c>
      <c r="GB35" s="203" t="s">
        <v>151</v>
      </c>
      <c r="GC35" s="204">
        <v>0</v>
      </c>
      <c r="GD35" s="203" t="s">
        <v>151</v>
      </c>
      <c r="GE35" s="203" t="s">
        <v>437</v>
      </c>
      <c r="GF35" s="203" t="s">
        <v>439</v>
      </c>
      <c r="GG35" s="204" t="s">
        <v>152</v>
      </c>
      <c r="GH35" s="204" t="s">
        <v>152</v>
      </c>
      <c r="GI35" s="204" t="s">
        <v>152</v>
      </c>
      <c r="GJ35" s="204" t="s">
        <v>152</v>
      </c>
      <c r="GK35" s="203" t="s">
        <v>151</v>
      </c>
      <c r="GL35" s="204" t="s">
        <v>152</v>
      </c>
      <c r="GM35" s="204" t="s">
        <v>152</v>
      </c>
      <c r="GN35" s="204" t="s">
        <v>152</v>
      </c>
      <c r="GO35" s="204" t="s">
        <v>151</v>
      </c>
      <c r="GP35" s="204" t="s">
        <v>151</v>
      </c>
      <c r="GQ35" s="204" t="s">
        <v>151</v>
      </c>
      <c r="GR35" s="100" t="s">
        <v>152</v>
      </c>
      <c r="GS35" s="101"/>
      <c r="GT35" s="204" t="s">
        <v>152</v>
      </c>
      <c r="GU35" s="204"/>
      <c r="GV35" s="204"/>
      <c r="GW35" s="145" t="s">
        <v>152</v>
      </c>
      <c r="GX35" s="145"/>
      <c r="GY35" s="204" t="s">
        <v>149</v>
      </c>
      <c r="GZ35" s="203"/>
      <c r="HA35" s="203"/>
      <c r="HB35" s="203"/>
      <c r="HC35" s="203"/>
      <c r="HD35" s="204" t="s">
        <v>457</v>
      </c>
      <c r="HE35" s="203"/>
      <c r="HF35" s="203" t="s">
        <v>708</v>
      </c>
      <c r="HG35" s="204" t="s">
        <v>457</v>
      </c>
      <c r="HH35" s="203"/>
      <c r="HI35" s="203"/>
      <c r="HJ35" s="203"/>
      <c r="HK35" s="203"/>
      <c r="HL35" s="203"/>
      <c r="HM35" s="203"/>
      <c r="HN35" s="204" t="s">
        <v>457</v>
      </c>
      <c r="HO35" s="203"/>
      <c r="HP35" s="203"/>
      <c r="HQ35" s="203"/>
      <c r="HR35" s="203"/>
      <c r="HS35" s="203"/>
      <c r="HT35" s="203"/>
      <c r="HU35" s="203"/>
      <c r="HV35" s="203"/>
      <c r="HW35" s="204" t="s">
        <v>457</v>
      </c>
      <c r="HX35" s="203"/>
      <c r="HY35" s="203" t="s">
        <v>709</v>
      </c>
      <c r="HZ35" s="204" t="s">
        <v>457</v>
      </c>
      <c r="IA35" s="203"/>
      <c r="IB35" s="203"/>
      <c r="IC35" s="203"/>
      <c r="ID35" s="203"/>
      <c r="IE35" s="204" t="s">
        <v>457</v>
      </c>
      <c r="IF35" s="203"/>
      <c r="IG35" s="203"/>
      <c r="IH35" s="203"/>
      <c r="II35" s="203"/>
      <c r="IJ35" s="140" t="str">
        <f t="shared" si="2"/>
        <v>○</v>
      </c>
    </row>
    <row r="36" spans="1:244" s="93" customFormat="1" ht="200.1" customHeight="1">
      <c r="A36" s="97" t="s">
        <v>192</v>
      </c>
      <c r="B36" s="204" t="s">
        <v>193</v>
      </c>
      <c r="C36" s="198" t="s">
        <v>152</v>
      </c>
      <c r="D36" s="198" t="s">
        <v>151</v>
      </c>
      <c r="E36" s="203" t="s">
        <v>151</v>
      </c>
      <c r="F36" s="198" t="s">
        <v>152</v>
      </c>
      <c r="G36" s="198" t="s">
        <v>151</v>
      </c>
      <c r="H36" s="203" t="s">
        <v>151</v>
      </c>
      <c r="I36" s="198" t="s">
        <v>152</v>
      </c>
      <c r="J36" s="198" t="s">
        <v>151</v>
      </c>
      <c r="K36" s="203" t="s">
        <v>151</v>
      </c>
      <c r="L36" s="198" t="s">
        <v>152</v>
      </c>
      <c r="M36" s="198" t="s">
        <v>151</v>
      </c>
      <c r="N36" s="203" t="s">
        <v>151</v>
      </c>
      <c r="O36" s="198" t="s">
        <v>152</v>
      </c>
      <c r="P36" s="198" t="s">
        <v>151</v>
      </c>
      <c r="Q36" s="203" t="s">
        <v>151</v>
      </c>
      <c r="R36" s="198" t="s">
        <v>152</v>
      </c>
      <c r="S36" s="198" t="s">
        <v>151</v>
      </c>
      <c r="T36" s="203" t="s">
        <v>151</v>
      </c>
      <c r="U36" s="198" t="s">
        <v>152</v>
      </c>
      <c r="V36" s="198" t="s">
        <v>151</v>
      </c>
      <c r="W36" s="203" t="s">
        <v>151</v>
      </c>
      <c r="X36" s="204"/>
      <c r="Y36" s="204" t="s">
        <v>152</v>
      </c>
      <c r="Z36" s="204"/>
      <c r="AA36" s="98" t="str">
        <f t="shared" ref="AA36:AA42" si="79">IF(OR(X36="○",Y36="○"),"○","")</f>
        <v>○</v>
      </c>
      <c r="AB36" s="204" t="s">
        <v>152</v>
      </c>
      <c r="AC36" s="204"/>
      <c r="AD36" s="98" t="str">
        <f t="shared" ref="AD36:AD42" si="80">IF(AND(Z36="○",AB36="○"),"○","")</f>
        <v/>
      </c>
      <c r="AE36" s="99"/>
      <c r="AF36" s="203"/>
      <c r="AG36" s="203"/>
      <c r="AH36" s="198" t="s">
        <v>160</v>
      </c>
      <c r="AI36" s="198" t="s">
        <v>151</v>
      </c>
      <c r="AJ36" s="203" t="s">
        <v>151</v>
      </c>
      <c r="AK36" s="198" t="s">
        <v>152</v>
      </c>
      <c r="AL36" s="198" t="s">
        <v>151</v>
      </c>
      <c r="AM36" s="203" t="s">
        <v>151</v>
      </c>
      <c r="AN36" s="198" t="s">
        <v>152</v>
      </c>
      <c r="AO36" s="198" t="s">
        <v>151</v>
      </c>
      <c r="AP36" s="203" t="s">
        <v>151</v>
      </c>
      <c r="AQ36" s="198" t="s">
        <v>152</v>
      </c>
      <c r="AR36" s="198" t="s">
        <v>151</v>
      </c>
      <c r="AS36" s="203" t="s">
        <v>151</v>
      </c>
      <c r="AT36" s="198" t="s">
        <v>152</v>
      </c>
      <c r="AU36" s="198" t="s">
        <v>151</v>
      </c>
      <c r="AV36" s="203" t="s">
        <v>151</v>
      </c>
      <c r="AW36" s="201">
        <v>1</v>
      </c>
      <c r="AX36" s="201">
        <v>1</v>
      </c>
      <c r="AY36" s="202">
        <f t="shared" ref="AY36:AY55" si="81">IF(ISERROR(AX36/AW36),"",AX36/AW36)</f>
        <v>1</v>
      </c>
      <c r="AZ36" s="203" t="s">
        <v>151</v>
      </c>
      <c r="BA36" s="204">
        <v>0</v>
      </c>
      <c r="BB36" s="203" t="s">
        <v>151</v>
      </c>
      <c r="BC36" s="201">
        <v>3</v>
      </c>
      <c r="BD36" s="201">
        <v>3</v>
      </c>
      <c r="BE36" s="202">
        <f t="shared" ref="BE36:BE55" si="82">IF(ISERROR(BD36/BC36),"",BD36/BC36)</f>
        <v>1</v>
      </c>
      <c r="BF36" s="203" t="s">
        <v>151</v>
      </c>
      <c r="BG36" s="204">
        <v>0</v>
      </c>
      <c r="BH36" s="203" t="s">
        <v>151</v>
      </c>
      <c r="BI36" s="201">
        <v>0</v>
      </c>
      <c r="BJ36" s="201">
        <v>0</v>
      </c>
      <c r="BK36" s="202" t="str">
        <f t="shared" ref="BK36:BK55" si="83">IF(ISERROR(BJ36/BI36),"",BJ36/BI36)</f>
        <v/>
      </c>
      <c r="BL36" s="203" t="s">
        <v>151</v>
      </c>
      <c r="BM36" s="204">
        <v>0</v>
      </c>
      <c r="BN36" s="203" t="s">
        <v>151</v>
      </c>
      <c r="BO36" s="201">
        <v>0</v>
      </c>
      <c r="BP36" s="201">
        <v>0</v>
      </c>
      <c r="BQ36" s="202" t="str">
        <f t="shared" ref="BQ36:BQ55" si="84">IF(ISERROR(BP36/BO36),"",BP36/BO36)</f>
        <v/>
      </c>
      <c r="BR36" s="203" t="s">
        <v>151</v>
      </c>
      <c r="BS36" s="204">
        <v>0</v>
      </c>
      <c r="BT36" s="203" t="s">
        <v>151</v>
      </c>
      <c r="BU36" s="201">
        <v>0</v>
      </c>
      <c r="BV36" s="201">
        <v>0</v>
      </c>
      <c r="BW36" s="202" t="str">
        <f t="shared" ref="BW36:BW55" si="85">IF(ISERROR(BV36/BU36),"",BV36/BU36)</f>
        <v/>
      </c>
      <c r="BX36" s="203" t="s">
        <v>151</v>
      </c>
      <c r="BY36" s="204">
        <v>0</v>
      </c>
      <c r="BZ36" s="203" t="s">
        <v>151</v>
      </c>
      <c r="CA36" s="201">
        <v>2</v>
      </c>
      <c r="CB36" s="201">
        <v>2</v>
      </c>
      <c r="CC36" s="202">
        <f t="shared" ref="CC36:CC55" si="86">IF(ISERROR(CB36/CA36),"",CB36/CA36)</f>
        <v>1</v>
      </c>
      <c r="CD36" s="203" t="s">
        <v>151</v>
      </c>
      <c r="CE36" s="204">
        <v>0</v>
      </c>
      <c r="CF36" s="203" t="s">
        <v>151</v>
      </c>
      <c r="CG36" s="201">
        <v>0</v>
      </c>
      <c r="CH36" s="201">
        <v>0</v>
      </c>
      <c r="CI36" s="202" t="str">
        <f t="shared" ref="CI36:CI55" si="87">IF(ISERROR(CH36/CG36),"",CH36/CG36)</f>
        <v/>
      </c>
      <c r="CJ36" s="203" t="s">
        <v>151</v>
      </c>
      <c r="CK36" s="204">
        <v>0</v>
      </c>
      <c r="CL36" s="203" t="s">
        <v>151</v>
      </c>
      <c r="CM36" s="201">
        <v>0</v>
      </c>
      <c r="CN36" s="201">
        <v>0</v>
      </c>
      <c r="CO36" s="202" t="str">
        <f t="shared" ref="CO36:CO55" si="88">IF(ISERROR(CN36/CM36),"",CN36/CM36)</f>
        <v/>
      </c>
      <c r="CP36" s="203" t="s">
        <v>151</v>
      </c>
      <c r="CQ36" s="204">
        <v>0</v>
      </c>
      <c r="CR36" s="203" t="s">
        <v>151</v>
      </c>
      <c r="CS36" s="201">
        <v>0</v>
      </c>
      <c r="CT36" s="201">
        <v>0</v>
      </c>
      <c r="CU36" s="202" t="str">
        <f t="shared" ref="CU36:CU55" si="89">IF(ISERROR(CT36/CS36),"",CT36/CS36)</f>
        <v/>
      </c>
      <c r="CV36" s="203" t="s">
        <v>151</v>
      </c>
      <c r="CW36" s="204">
        <v>0</v>
      </c>
      <c r="CX36" s="203" t="s">
        <v>151</v>
      </c>
      <c r="CY36" s="201">
        <v>0</v>
      </c>
      <c r="CZ36" s="201">
        <v>0</v>
      </c>
      <c r="DA36" s="202" t="str">
        <f t="shared" ref="DA36:DA55" si="90">IF(ISERROR(CZ36/CY36),"",CZ36/CY36)</f>
        <v/>
      </c>
      <c r="DB36" s="203" t="s">
        <v>151</v>
      </c>
      <c r="DC36" s="204">
        <v>0</v>
      </c>
      <c r="DD36" s="203" t="s">
        <v>151</v>
      </c>
      <c r="DE36" s="201">
        <v>19</v>
      </c>
      <c r="DF36" s="201">
        <v>18</v>
      </c>
      <c r="DG36" s="202">
        <f t="shared" ref="DG36:DG55" si="91">IF(ISERROR(DF36/DE36),"",DF36/DE36)</f>
        <v>0.94736842105263153</v>
      </c>
      <c r="DH36" s="203" t="s">
        <v>613</v>
      </c>
      <c r="DI36" s="204">
        <v>1</v>
      </c>
      <c r="DJ36" s="203" t="s">
        <v>613</v>
      </c>
      <c r="DK36" s="201">
        <v>306</v>
      </c>
      <c r="DL36" s="201">
        <v>306</v>
      </c>
      <c r="DM36" s="202">
        <f t="shared" ref="DM36:DM37" si="92">IF(ISERROR(DL36/DK36),"",DL36/DK36)</f>
        <v>1</v>
      </c>
      <c r="DN36" s="203" t="s">
        <v>151</v>
      </c>
      <c r="DO36" s="204">
        <v>0</v>
      </c>
      <c r="DP36" s="203" t="s">
        <v>151</v>
      </c>
      <c r="DQ36" s="201">
        <v>3</v>
      </c>
      <c r="DR36" s="201">
        <v>3</v>
      </c>
      <c r="DS36" s="202">
        <f t="shared" ref="DS36:DS55" si="93">IF(ISERROR(DR36/DQ36),"",DR36/DQ36)</f>
        <v>1</v>
      </c>
      <c r="DT36" s="203" t="s">
        <v>151</v>
      </c>
      <c r="DU36" s="203">
        <v>0</v>
      </c>
      <c r="DV36" s="203" t="s">
        <v>151</v>
      </c>
      <c r="DW36" s="201">
        <v>0</v>
      </c>
      <c r="DX36" s="201">
        <v>0</v>
      </c>
      <c r="DY36" s="202" t="str">
        <f t="shared" ref="DY36:DY55" si="94">IF(ISERROR(DX36/DW36),"",DX36/DW36)</f>
        <v/>
      </c>
      <c r="DZ36" s="203" t="s">
        <v>151</v>
      </c>
      <c r="EA36" s="204">
        <v>0</v>
      </c>
      <c r="EB36" s="203" t="s">
        <v>151</v>
      </c>
      <c r="EC36" s="201">
        <v>2</v>
      </c>
      <c r="ED36" s="201">
        <v>2</v>
      </c>
      <c r="EE36" s="202">
        <f t="shared" ref="EE36:EE55" si="95">IF(ISERROR(ED36/EC36),"",ED36/EC36)</f>
        <v>1</v>
      </c>
      <c r="EF36" s="203" t="s">
        <v>151</v>
      </c>
      <c r="EG36" s="204">
        <v>2</v>
      </c>
      <c r="EH36" s="203" t="s">
        <v>325</v>
      </c>
      <c r="EI36" s="201">
        <v>6</v>
      </c>
      <c r="EJ36" s="201">
        <v>4</v>
      </c>
      <c r="EK36" s="202">
        <f t="shared" ref="EK36:EK55" si="96">IF(ISERROR(EJ36/EI36),"",EJ36/EI36)</f>
        <v>0.66666666666666663</v>
      </c>
      <c r="EL36" s="203" t="s">
        <v>364</v>
      </c>
      <c r="EM36" s="204">
        <v>2</v>
      </c>
      <c r="EN36" s="203" t="s">
        <v>364</v>
      </c>
      <c r="EO36" s="201">
        <v>0</v>
      </c>
      <c r="EP36" s="201">
        <v>0</v>
      </c>
      <c r="EQ36" s="202" t="str">
        <f t="shared" ref="EQ36:EQ55" si="97">IF(ISERROR(EP36/EO36),"",EP36/EO36)</f>
        <v/>
      </c>
      <c r="ER36" s="203" t="s">
        <v>151</v>
      </c>
      <c r="ES36" s="204">
        <v>0</v>
      </c>
      <c r="ET36" s="203" t="s">
        <v>151</v>
      </c>
      <c r="EU36" s="201">
        <v>1</v>
      </c>
      <c r="EV36" s="201">
        <v>1</v>
      </c>
      <c r="EW36" s="202">
        <f t="shared" ref="EW36:EW56" si="98">IF(ISERROR(EV36/EU36),"",EV36/EU36)</f>
        <v>1</v>
      </c>
      <c r="EX36" s="203" t="s">
        <v>151</v>
      </c>
      <c r="EY36" s="204">
        <v>0</v>
      </c>
      <c r="EZ36" s="203" t="s">
        <v>151</v>
      </c>
      <c r="FA36" s="201">
        <v>1</v>
      </c>
      <c r="FB36" s="201">
        <v>1</v>
      </c>
      <c r="FC36" s="202">
        <f t="shared" ref="FC36:FC53" si="99">IF(ISERROR(FB36/FA36),"",FB36/FA36)</f>
        <v>1</v>
      </c>
      <c r="FD36" s="203" t="s">
        <v>151</v>
      </c>
      <c r="FE36" s="204">
        <v>0</v>
      </c>
      <c r="FF36" s="203" t="s">
        <v>151</v>
      </c>
      <c r="FG36" s="201">
        <v>0</v>
      </c>
      <c r="FH36" s="201">
        <v>0</v>
      </c>
      <c r="FI36" s="202" t="str">
        <f t="shared" ref="FI36:FI55" si="100">IF(ISERROR(FH36/FG36),"",FH36/FG36)</f>
        <v/>
      </c>
      <c r="FJ36" s="203" t="s">
        <v>151</v>
      </c>
      <c r="FK36" s="204">
        <v>0</v>
      </c>
      <c r="FL36" s="203" t="s">
        <v>151</v>
      </c>
      <c r="FM36" s="201">
        <v>0</v>
      </c>
      <c r="FN36" s="201">
        <v>0</v>
      </c>
      <c r="FO36" s="202" t="str">
        <f t="shared" si="75"/>
        <v/>
      </c>
      <c r="FP36" s="203" t="s">
        <v>151</v>
      </c>
      <c r="FQ36" s="204">
        <v>0</v>
      </c>
      <c r="FR36" s="203" t="s">
        <v>151</v>
      </c>
      <c r="FS36" s="201">
        <v>7</v>
      </c>
      <c r="FT36" s="201">
        <v>5</v>
      </c>
      <c r="FU36" s="202">
        <f t="shared" si="76"/>
        <v>0.7142857142857143</v>
      </c>
      <c r="FV36" s="203" t="s">
        <v>427</v>
      </c>
      <c r="FW36" s="204">
        <v>2</v>
      </c>
      <c r="FX36" s="203" t="s">
        <v>427</v>
      </c>
      <c r="FY36" s="201">
        <v>0</v>
      </c>
      <c r="FZ36" s="201">
        <v>0</v>
      </c>
      <c r="GA36" s="202" t="str">
        <f t="shared" si="77"/>
        <v/>
      </c>
      <c r="GB36" s="203" t="s">
        <v>151</v>
      </c>
      <c r="GC36" s="204">
        <v>0</v>
      </c>
      <c r="GD36" s="203" t="s">
        <v>151</v>
      </c>
      <c r="GE36" s="203" t="s">
        <v>437</v>
      </c>
      <c r="GF36" s="203" t="s">
        <v>439</v>
      </c>
      <c r="GG36" s="204" t="s">
        <v>152</v>
      </c>
      <c r="GH36" s="204" t="s">
        <v>152</v>
      </c>
      <c r="GI36" s="204" t="s">
        <v>152</v>
      </c>
      <c r="GJ36" s="204" t="s">
        <v>152</v>
      </c>
      <c r="GK36" s="203" t="s">
        <v>151</v>
      </c>
      <c r="GL36" s="204" t="s">
        <v>152</v>
      </c>
      <c r="GM36" s="204" t="s">
        <v>152</v>
      </c>
      <c r="GN36" s="204" t="s">
        <v>152</v>
      </c>
      <c r="GO36" s="204" t="s">
        <v>152</v>
      </c>
      <c r="GP36" s="204" t="s">
        <v>152</v>
      </c>
      <c r="GQ36" s="204" t="s">
        <v>152</v>
      </c>
      <c r="GR36" s="100" t="s">
        <v>152</v>
      </c>
      <c r="GS36" s="101"/>
      <c r="GT36" s="204" t="s">
        <v>152</v>
      </c>
      <c r="GU36" s="204"/>
      <c r="GV36" s="204"/>
      <c r="GW36" s="145" t="s">
        <v>152</v>
      </c>
      <c r="GX36" s="145"/>
      <c r="GY36" s="204" t="s">
        <v>149</v>
      </c>
      <c r="GZ36" s="204" t="s">
        <v>457</v>
      </c>
      <c r="HA36" s="203"/>
      <c r="HB36" s="203"/>
      <c r="HC36" s="203"/>
      <c r="HD36" s="203"/>
      <c r="HE36" s="203"/>
      <c r="HF36" s="203"/>
      <c r="HG36" s="204" t="s">
        <v>457</v>
      </c>
      <c r="HH36" s="203"/>
      <c r="HI36" s="203"/>
      <c r="HJ36" s="203"/>
      <c r="HK36" s="203"/>
      <c r="HL36" s="203"/>
      <c r="HM36" s="203"/>
      <c r="HN36" s="204" t="s">
        <v>457</v>
      </c>
      <c r="HO36" s="203"/>
      <c r="HP36" s="203"/>
      <c r="HQ36" s="203"/>
      <c r="HR36" s="203"/>
      <c r="HS36" s="203"/>
      <c r="HT36" s="203"/>
      <c r="HU36" s="204" t="s">
        <v>457</v>
      </c>
      <c r="HV36" s="204"/>
      <c r="HW36" s="203"/>
      <c r="HX36" s="203"/>
      <c r="HY36" s="203"/>
      <c r="HZ36" s="204" t="s">
        <v>457</v>
      </c>
      <c r="IA36" s="204"/>
      <c r="IB36" s="204"/>
      <c r="IC36" s="203"/>
      <c r="ID36" s="203"/>
      <c r="IE36" s="204" t="s">
        <v>457</v>
      </c>
      <c r="IF36" s="203"/>
      <c r="IG36" s="203"/>
      <c r="IH36" s="203"/>
      <c r="II36" s="203"/>
      <c r="IJ36" s="140" t="str">
        <f t="shared" si="2"/>
        <v>○</v>
      </c>
    </row>
    <row r="37" spans="1:244" s="93" customFormat="1" ht="66.599999999999994" thickBot="1">
      <c r="A37" s="97" t="s">
        <v>451</v>
      </c>
      <c r="B37" s="204" t="s">
        <v>194</v>
      </c>
      <c r="C37" s="198" t="s">
        <v>152</v>
      </c>
      <c r="D37" s="198" t="s">
        <v>151</v>
      </c>
      <c r="E37" s="203" t="s">
        <v>151</v>
      </c>
      <c r="F37" s="198" t="s">
        <v>152</v>
      </c>
      <c r="G37" s="198" t="s">
        <v>151</v>
      </c>
      <c r="H37" s="203" t="s">
        <v>151</v>
      </c>
      <c r="I37" s="198" t="s">
        <v>152</v>
      </c>
      <c r="J37" s="198" t="s">
        <v>151</v>
      </c>
      <c r="K37" s="203" t="s">
        <v>151</v>
      </c>
      <c r="L37" s="198" t="s">
        <v>152</v>
      </c>
      <c r="M37" s="198" t="s">
        <v>151</v>
      </c>
      <c r="N37" s="203" t="s">
        <v>151</v>
      </c>
      <c r="O37" s="198" t="s">
        <v>152</v>
      </c>
      <c r="P37" s="198" t="s">
        <v>151</v>
      </c>
      <c r="Q37" s="203" t="s">
        <v>151</v>
      </c>
      <c r="R37" s="198" t="s">
        <v>152</v>
      </c>
      <c r="S37" s="198" t="s">
        <v>151</v>
      </c>
      <c r="T37" s="203" t="s">
        <v>151</v>
      </c>
      <c r="U37" s="198" t="s">
        <v>152</v>
      </c>
      <c r="V37" s="198" t="s">
        <v>151</v>
      </c>
      <c r="W37" s="203" t="s">
        <v>151</v>
      </c>
      <c r="X37" s="204"/>
      <c r="Y37" s="204"/>
      <c r="Z37" s="204" t="s">
        <v>152</v>
      </c>
      <c r="AA37" s="98" t="str">
        <f t="shared" si="79"/>
        <v/>
      </c>
      <c r="AB37" s="204" t="s">
        <v>152</v>
      </c>
      <c r="AC37" s="204"/>
      <c r="AD37" s="98" t="str">
        <f t="shared" si="80"/>
        <v>○</v>
      </c>
      <c r="AE37" s="99"/>
      <c r="AF37" s="203" t="s">
        <v>232</v>
      </c>
      <c r="AG37" s="203"/>
      <c r="AH37" s="198" t="s">
        <v>160</v>
      </c>
      <c r="AI37" s="198" t="s">
        <v>151</v>
      </c>
      <c r="AJ37" s="203" t="s">
        <v>151</v>
      </c>
      <c r="AK37" s="198" t="s">
        <v>152</v>
      </c>
      <c r="AL37" s="198" t="s">
        <v>151</v>
      </c>
      <c r="AM37" s="203" t="s">
        <v>151</v>
      </c>
      <c r="AN37" s="198" t="s">
        <v>152</v>
      </c>
      <c r="AO37" s="198" t="s">
        <v>151</v>
      </c>
      <c r="AP37" s="203" t="s">
        <v>151</v>
      </c>
      <c r="AQ37" s="198" t="s">
        <v>152</v>
      </c>
      <c r="AR37" s="198" t="s">
        <v>151</v>
      </c>
      <c r="AS37" s="203" t="s">
        <v>151</v>
      </c>
      <c r="AT37" s="198" t="s">
        <v>152</v>
      </c>
      <c r="AU37" s="198" t="s">
        <v>151</v>
      </c>
      <c r="AV37" s="203" t="s">
        <v>151</v>
      </c>
      <c r="AW37" s="201">
        <v>2</v>
      </c>
      <c r="AX37" s="201">
        <v>2</v>
      </c>
      <c r="AY37" s="202">
        <f t="shared" si="81"/>
        <v>1</v>
      </c>
      <c r="AZ37" s="203" t="s">
        <v>151</v>
      </c>
      <c r="BA37" s="204">
        <v>0</v>
      </c>
      <c r="BB37" s="203"/>
      <c r="BC37" s="201">
        <v>3</v>
      </c>
      <c r="BD37" s="201">
        <v>3</v>
      </c>
      <c r="BE37" s="202">
        <f t="shared" si="82"/>
        <v>1</v>
      </c>
      <c r="BF37" s="203" t="s">
        <v>151</v>
      </c>
      <c r="BG37" s="204">
        <v>0</v>
      </c>
      <c r="BH37" s="203" t="s">
        <v>151</v>
      </c>
      <c r="BI37" s="201">
        <v>0</v>
      </c>
      <c r="BJ37" s="201">
        <v>0</v>
      </c>
      <c r="BK37" s="202" t="str">
        <f t="shared" si="83"/>
        <v/>
      </c>
      <c r="BL37" s="203" t="s">
        <v>151</v>
      </c>
      <c r="BM37" s="204">
        <v>0</v>
      </c>
      <c r="BN37" s="203" t="s">
        <v>151</v>
      </c>
      <c r="BO37" s="201">
        <v>0</v>
      </c>
      <c r="BP37" s="201">
        <v>0</v>
      </c>
      <c r="BQ37" s="202" t="str">
        <f t="shared" si="84"/>
        <v/>
      </c>
      <c r="BR37" s="203" t="s">
        <v>151</v>
      </c>
      <c r="BS37" s="204">
        <v>0</v>
      </c>
      <c r="BT37" s="203" t="s">
        <v>151</v>
      </c>
      <c r="BU37" s="201">
        <v>3</v>
      </c>
      <c r="BV37" s="201">
        <v>3</v>
      </c>
      <c r="BW37" s="202">
        <f t="shared" si="85"/>
        <v>1</v>
      </c>
      <c r="BX37" s="203" t="s">
        <v>151</v>
      </c>
      <c r="BY37" s="204">
        <v>0</v>
      </c>
      <c r="BZ37" s="203" t="s">
        <v>151</v>
      </c>
      <c r="CA37" s="201">
        <v>0</v>
      </c>
      <c r="CB37" s="201">
        <v>0</v>
      </c>
      <c r="CC37" s="202" t="str">
        <f t="shared" si="86"/>
        <v/>
      </c>
      <c r="CD37" s="203" t="s">
        <v>151</v>
      </c>
      <c r="CE37" s="204">
        <v>0</v>
      </c>
      <c r="CF37" s="203" t="s">
        <v>151</v>
      </c>
      <c r="CG37" s="201">
        <v>0</v>
      </c>
      <c r="CH37" s="201">
        <v>0</v>
      </c>
      <c r="CI37" s="202" t="str">
        <f t="shared" si="87"/>
        <v/>
      </c>
      <c r="CJ37" s="203" t="s">
        <v>151</v>
      </c>
      <c r="CK37" s="204">
        <v>0</v>
      </c>
      <c r="CL37" s="203" t="s">
        <v>151</v>
      </c>
      <c r="CM37" s="201">
        <v>0</v>
      </c>
      <c r="CN37" s="201">
        <v>0</v>
      </c>
      <c r="CO37" s="202" t="str">
        <f t="shared" si="88"/>
        <v/>
      </c>
      <c r="CP37" s="203" t="s">
        <v>151</v>
      </c>
      <c r="CQ37" s="204">
        <v>0</v>
      </c>
      <c r="CR37" s="203" t="s">
        <v>151</v>
      </c>
      <c r="CS37" s="201">
        <v>3</v>
      </c>
      <c r="CT37" s="201">
        <v>3</v>
      </c>
      <c r="CU37" s="202">
        <f t="shared" si="89"/>
        <v>1</v>
      </c>
      <c r="CV37" s="203" t="s">
        <v>151</v>
      </c>
      <c r="CW37" s="204"/>
      <c r="CX37" s="203"/>
      <c r="CY37" s="201">
        <v>5</v>
      </c>
      <c r="CZ37" s="201">
        <v>0</v>
      </c>
      <c r="DA37" s="202">
        <f t="shared" si="90"/>
        <v>0</v>
      </c>
      <c r="DB37" s="203" t="s">
        <v>275</v>
      </c>
      <c r="DC37" s="204">
        <v>5</v>
      </c>
      <c r="DD37" s="203" t="s">
        <v>275</v>
      </c>
      <c r="DE37" s="201">
        <v>17</v>
      </c>
      <c r="DF37" s="201">
        <v>17</v>
      </c>
      <c r="DG37" s="202">
        <f t="shared" si="91"/>
        <v>1</v>
      </c>
      <c r="DH37" s="203" t="s">
        <v>151</v>
      </c>
      <c r="DI37" s="204">
        <v>0</v>
      </c>
      <c r="DJ37" s="203" t="s">
        <v>151</v>
      </c>
      <c r="DK37" s="201">
        <v>405</v>
      </c>
      <c r="DL37" s="201">
        <v>405</v>
      </c>
      <c r="DM37" s="202">
        <f t="shared" si="92"/>
        <v>1</v>
      </c>
      <c r="DN37" s="203" t="s">
        <v>151</v>
      </c>
      <c r="DO37" s="204">
        <v>0</v>
      </c>
      <c r="DP37" s="203" t="s">
        <v>151</v>
      </c>
      <c r="DQ37" s="201">
        <v>0</v>
      </c>
      <c r="DR37" s="201">
        <v>0</v>
      </c>
      <c r="DS37" s="202" t="str">
        <f t="shared" si="93"/>
        <v/>
      </c>
      <c r="DT37" s="203" t="s">
        <v>151</v>
      </c>
      <c r="DU37" s="203">
        <v>0</v>
      </c>
      <c r="DV37" s="203" t="s">
        <v>151</v>
      </c>
      <c r="DW37" s="201">
        <v>0</v>
      </c>
      <c r="DX37" s="201">
        <v>0</v>
      </c>
      <c r="DY37" s="202" t="str">
        <f t="shared" si="94"/>
        <v/>
      </c>
      <c r="DZ37" s="203" t="s">
        <v>151</v>
      </c>
      <c r="EA37" s="204">
        <v>0</v>
      </c>
      <c r="EB37" s="203" t="s">
        <v>151</v>
      </c>
      <c r="EC37" s="201">
        <v>1</v>
      </c>
      <c r="ED37" s="201">
        <v>0</v>
      </c>
      <c r="EE37" s="202">
        <f t="shared" si="95"/>
        <v>0</v>
      </c>
      <c r="EF37" s="203" t="s">
        <v>326</v>
      </c>
      <c r="EG37" s="204">
        <v>1</v>
      </c>
      <c r="EH37" s="203" t="s">
        <v>326</v>
      </c>
      <c r="EI37" s="201">
        <v>11</v>
      </c>
      <c r="EJ37" s="201">
        <v>5</v>
      </c>
      <c r="EK37" s="202">
        <f t="shared" si="96"/>
        <v>0.45454545454545453</v>
      </c>
      <c r="EL37" s="203" t="s">
        <v>365</v>
      </c>
      <c r="EM37" s="204">
        <v>6</v>
      </c>
      <c r="EN37" s="203" t="s">
        <v>365</v>
      </c>
      <c r="EO37" s="201">
        <v>0</v>
      </c>
      <c r="EP37" s="201">
        <v>0</v>
      </c>
      <c r="EQ37" s="202" t="str">
        <f t="shared" si="97"/>
        <v/>
      </c>
      <c r="ER37" s="203" t="s">
        <v>151</v>
      </c>
      <c r="ES37" s="204">
        <v>0</v>
      </c>
      <c r="ET37" s="203" t="s">
        <v>151</v>
      </c>
      <c r="EU37" s="201">
        <v>8</v>
      </c>
      <c r="EV37" s="201">
        <v>8</v>
      </c>
      <c r="EW37" s="202">
        <f t="shared" si="98"/>
        <v>1</v>
      </c>
      <c r="EX37" s="203" t="s">
        <v>151</v>
      </c>
      <c r="EY37" s="204">
        <v>0</v>
      </c>
      <c r="EZ37" s="203" t="s">
        <v>151</v>
      </c>
      <c r="FA37" s="201">
        <v>4</v>
      </c>
      <c r="FB37" s="201">
        <v>2</v>
      </c>
      <c r="FC37" s="202">
        <f t="shared" si="99"/>
        <v>0.5</v>
      </c>
      <c r="FD37" s="203" t="s">
        <v>395</v>
      </c>
      <c r="FE37" s="204">
        <v>2</v>
      </c>
      <c r="FF37" s="203" t="s">
        <v>395</v>
      </c>
      <c r="FG37" s="201">
        <v>0</v>
      </c>
      <c r="FH37" s="201">
        <v>0</v>
      </c>
      <c r="FI37" s="202" t="str">
        <f t="shared" si="100"/>
        <v/>
      </c>
      <c r="FJ37" s="203" t="s">
        <v>151</v>
      </c>
      <c r="FK37" s="204">
        <v>0</v>
      </c>
      <c r="FL37" s="203" t="s">
        <v>151</v>
      </c>
      <c r="FM37" s="201">
        <v>0</v>
      </c>
      <c r="FN37" s="201">
        <v>0</v>
      </c>
      <c r="FO37" s="202" t="str">
        <f t="shared" si="75"/>
        <v/>
      </c>
      <c r="FP37" s="203" t="s">
        <v>151</v>
      </c>
      <c r="FQ37" s="204">
        <v>0</v>
      </c>
      <c r="FR37" s="203" t="s">
        <v>151</v>
      </c>
      <c r="FS37" s="201">
        <v>14</v>
      </c>
      <c r="FT37" s="201">
        <v>12</v>
      </c>
      <c r="FU37" s="202">
        <f t="shared" si="76"/>
        <v>0.8571428571428571</v>
      </c>
      <c r="FV37" s="203" t="s">
        <v>428</v>
      </c>
      <c r="FW37" s="204">
        <v>2</v>
      </c>
      <c r="FX37" s="203" t="s">
        <v>428</v>
      </c>
      <c r="FY37" s="201">
        <v>0</v>
      </c>
      <c r="FZ37" s="201">
        <v>0</v>
      </c>
      <c r="GA37" s="202" t="str">
        <f t="shared" si="77"/>
        <v/>
      </c>
      <c r="GB37" s="203" t="s">
        <v>151</v>
      </c>
      <c r="GC37" s="204">
        <v>0</v>
      </c>
      <c r="GD37" s="203" t="s">
        <v>151</v>
      </c>
      <c r="GE37" s="203" t="s">
        <v>437</v>
      </c>
      <c r="GF37" s="203" t="s">
        <v>439</v>
      </c>
      <c r="GG37" s="204" t="s">
        <v>152</v>
      </c>
      <c r="GH37" s="204" t="s">
        <v>151</v>
      </c>
      <c r="GI37" s="204" t="s">
        <v>151</v>
      </c>
      <c r="GJ37" s="204" t="s">
        <v>151</v>
      </c>
      <c r="GK37" s="203" t="s">
        <v>151</v>
      </c>
      <c r="GL37" s="204" t="s">
        <v>152</v>
      </c>
      <c r="GM37" s="204" t="s">
        <v>152</v>
      </c>
      <c r="GN37" s="204" t="s">
        <v>152</v>
      </c>
      <c r="GO37" s="204" t="s">
        <v>152</v>
      </c>
      <c r="GP37" s="204" t="s">
        <v>152</v>
      </c>
      <c r="GQ37" s="204" t="s">
        <v>152</v>
      </c>
      <c r="GR37" s="205"/>
      <c r="GS37" s="206"/>
      <c r="GT37" s="204" t="s">
        <v>152</v>
      </c>
      <c r="GU37" s="204"/>
      <c r="GV37" s="204"/>
      <c r="GW37" s="145" t="s">
        <v>152</v>
      </c>
      <c r="GX37" s="145"/>
      <c r="GY37" s="204" t="s">
        <v>149</v>
      </c>
      <c r="GZ37" s="204" t="s">
        <v>457</v>
      </c>
      <c r="HA37" s="203"/>
      <c r="HB37" s="203"/>
      <c r="HC37" s="203"/>
      <c r="HD37" s="203"/>
      <c r="HE37" s="203"/>
      <c r="HF37" s="203"/>
      <c r="HG37" s="204" t="s">
        <v>457</v>
      </c>
      <c r="HH37" s="203"/>
      <c r="HI37" s="203"/>
      <c r="HJ37" s="203"/>
      <c r="HK37" s="203"/>
      <c r="HL37" s="203"/>
      <c r="HM37" s="203"/>
      <c r="HN37" s="204" t="s">
        <v>457</v>
      </c>
      <c r="HO37" s="203"/>
      <c r="HP37" s="204"/>
      <c r="HQ37" s="203"/>
      <c r="HR37" s="203"/>
      <c r="HS37" s="203"/>
      <c r="HT37" s="203"/>
      <c r="HU37" s="204" t="s">
        <v>457</v>
      </c>
      <c r="HV37" s="203"/>
      <c r="HW37" s="203"/>
      <c r="HX37" s="203"/>
      <c r="HY37" s="203"/>
      <c r="HZ37" s="204" t="s">
        <v>457</v>
      </c>
      <c r="IA37" s="203"/>
      <c r="IB37" s="203"/>
      <c r="IC37" s="203"/>
      <c r="ID37" s="203"/>
      <c r="IE37" s="203"/>
      <c r="IF37" s="204" t="s">
        <v>750</v>
      </c>
      <c r="IG37" s="204"/>
      <c r="IH37" s="203"/>
      <c r="II37" s="203" t="s">
        <v>784</v>
      </c>
      <c r="IJ37" s="140" t="str">
        <f t="shared" si="2"/>
        <v>○</v>
      </c>
    </row>
    <row r="38" spans="1:244" s="93" customFormat="1" ht="162" customHeight="1">
      <c r="A38" s="97" t="s">
        <v>195</v>
      </c>
      <c r="B38" s="204" t="s">
        <v>196</v>
      </c>
      <c r="C38" s="198" t="s">
        <v>152</v>
      </c>
      <c r="D38" s="198" t="s">
        <v>151</v>
      </c>
      <c r="E38" s="203" t="s">
        <v>151</v>
      </c>
      <c r="F38" s="198" t="s">
        <v>152</v>
      </c>
      <c r="G38" s="198" t="s">
        <v>151</v>
      </c>
      <c r="H38" s="203" t="s">
        <v>151</v>
      </c>
      <c r="I38" s="198" t="s">
        <v>152</v>
      </c>
      <c r="J38" s="198" t="s">
        <v>151</v>
      </c>
      <c r="K38" s="203"/>
      <c r="L38" s="198" t="s">
        <v>160</v>
      </c>
      <c r="M38" s="198" t="s">
        <v>151</v>
      </c>
      <c r="N38" s="203"/>
      <c r="O38" s="198" t="s">
        <v>152</v>
      </c>
      <c r="P38" s="198" t="s">
        <v>151</v>
      </c>
      <c r="Q38" s="203"/>
      <c r="R38" s="198" t="s">
        <v>152</v>
      </c>
      <c r="S38" s="198" t="s">
        <v>151</v>
      </c>
      <c r="T38" s="203" t="s">
        <v>151</v>
      </c>
      <c r="U38" s="198" t="s">
        <v>160</v>
      </c>
      <c r="V38" s="198" t="s">
        <v>151</v>
      </c>
      <c r="W38" s="203" t="s">
        <v>151</v>
      </c>
      <c r="X38" s="204"/>
      <c r="Y38" s="204" t="s">
        <v>152</v>
      </c>
      <c r="Z38" s="204"/>
      <c r="AA38" s="98" t="str">
        <f t="shared" si="79"/>
        <v>○</v>
      </c>
      <c r="AB38" s="204" t="s">
        <v>152</v>
      </c>
      <c r="AC38" s="204"/>
      <c r="AD38" s="98" t="str">
        <f t="shared" si="80"/>
        <v/>
      </c>
      <c r="AE38" s="99"/>
      <c r="AF38" s="203"/>
      <c r="AG38" s="203"/>
      <c r="AH38" s="198" t="s">
        <v>160</v>
      </c>
      <c r="AI38" s="198" t="s">
        <v>151</v>
      </c>
      <c r="AJ38" s="203" t="s">
        <v>151</v>
      </c>
      <c r="AK38" s="198" t="s">
        <v>152</v>
      </c>
      <c r="AL38" s="198" t="s">
        <v>151</v>
      </c>
      <c r="AM38" s="203" t="s">
        <v>151</v>
      </c>
      <c r="AN38" s="198" t="s">
        <v>152</v>
      </c>
      <c r="AO38" s="198" t="s">
        <v>151</v>
      </c>
      <c r="AP38" s="203" t="s">
        <v>151</v>
      </c>
      <c r="AQ38" s="198" t="s">
        <v>152</v>
      </c>
      <c r="AR38" s="198" t="s">
        <v>151</v>
      </c>
      <c r="AS38" s="203" t="s">
        <v>151</v>
      </c>
      <c r="AT38" s="198" t="s">
        <v>152</v>
      </c>
      <c r="AU38" s="198" t="s">
        <v>151</v>
      </c>
      <c r="AV38" s="203" t="s">
        <v>151</v>
      </c>
      <c r="AW38" s="201">
        <v>2</v>
      </c>
      <c r="AX38" s="201">
        <v>0</v>
      </c>
      <c r="AY38" s="202">
        <f t="shared" si="81"/>
        <v>0</v>
      </c>
      <c r="AZ38" s="203" t="s">
        <v>578</v>
      </c>
      <c r="BA38" s="204">
        <v>2</v>
      </c>
      <c r="BB38" s="203" t="s">
        <v>579</v>
      </c>
      <c r="BC38" s="201">
        <v>3</v>
      </c>
      <c r="BD38" s="201">
        <v>2</v>
      </c>
      <c r="BE38" s="202">
        <f t="shared" si="82"/>
        <v>0.66666666666666663</v>
      </c>
      <c r="BF38" s="172" t="s">
        <v>465</v>
      </c>
      <c r="BG38" s="204">
        <v>1</v>
      </c>
      <c r="BH38" s="172" t="s">
        <v>580</v>
      </c>
      <c r="BI38" s="201"/>
      <c r="BJ38" s="201"/>
      <c r="BK38" s="202" t="str">
        <f t="shared" si="83"/>
        <v/>
      </c>
      <c r="BL38" s="203" t="s">
        <v>151</v>
      </c>
      <c r="BM38" s="204"/>
      <c r="BN38" s="203" t="s">
        <v>151</v>
      </c>
      <c r="BO38" s="201"/>
      <c r="BP38" s="201"/>
      <c r="BQ38" s="202" t="str">
        <f t="shared" si="84"/>
        <v/>
      </c>
      <c r="BR38" s="203" t="s">
        <v>151</v>
      </c>
      <c r="BS38" s="204"/>
      <c r="BT38" s="203" t="s">
        <v>151</v>
      </c>
      <c r="BU38" s="201">
        <v>2</v>
      </c>
      <c r="BV38" s="201">
        <v>1</v>
      </c>
      <c r="BW38" s="202">
        <f t="shared" si="85"/>
        <v>0.5</v>
      </c>
      <c r="BX38" s="203" t="s">
        <v>527</v>
      </c>
      <c r="BY38" s="204">
        <v>1</v>
      </c>
      <c r="BZ38" s="203" t="s">
        <v>396</v>
      </c>
      <c r="CA38" s="201"/>
      <c r="CB38" s="201"/>
      <c r="CC38" s="202" t="str">
        <f t="shared" si="86"/>
        <v/>
      </c>
      <c r="CD38" s="203" t="s">
        <v>151</v>
      </c>
      <c r="CE38" s="204"/>
      <c r="CF38" s="203" t="s">
        <v>151</v>
      </c>
      <c r="CG38" s="201"/>
      <c r="CH38" s="201"/>
      <c r="CI38" s="202" t="str">
        <f t="shared" si="87"/>
        <v/>
      </c>
      <c r="CJ38" s="203" t="s">
        <v>151</v>
      </c>
      <c r="CK38" s="204"/>
      <c r="CL38" s="203" t="s">
        <v>151</v>
      </c>
      <c r="CM38" s="201">
        <v>4</v>
      </c>
      <c r="CN38" s="201">
        <v>0</v>
      </c>
      <c r="CO38" s="202">
        <f t="shared" si="88"/>
        <v>0</v>
      </c>
      <c r="CP38" s="203" t="s">
        <v>478</v>
      </c>
      <c r="CQ38" s="204">
        <v>4</v>
      </c>
      <c r="CR38" s="203" t="s">
        <v>479</v>
      </c>
      <c r="CS38" s="201">
        <v>1</v>
      </c>
      <c r="CT38" s="201">
        <v>1</v>
      </c>
      <c r="CU38" s="202">
        <f t="shared" si="89"/>
        <v>1</v>
      </c>
      <c r="CV38" s="203" t="s">
        <v>151</v>
      </c>
      <c r="CW38" s="204">
        <v>0</v>
      </c>
      <c r="CX38" s="203" t="s">
        <v>151</v>
      </c>
      <c r="CY38" s="201"/>
      <c r="CZ38" s="201"/>
      <c r="DA38" s="202" t="str">
        <f t="shared" si="90"/>
        <v/>
      </c>
      <c r="DB38" s="203" t="s">
        <v>151</v>
      </c>
      <c r="DC38" s="204"/>
      <c r="DD38" s="203" t="s">
        <v>151</v>
      </c>
      <c r="DE38" s="201">
        <v>8</v>
      </c>
      <c r="DF38" s="201">
        <v>3</v>
      </c>
      <c r="DG38" s="202">
        <f t="shared" si="91"/>
        <v>0.375</v>
      </c>
      <c r="DH38" s="203" t="s">
        <v>581</v>
      </c>
      <c r="DI38" s="204">
        <v>3</v>
      </c>
      <c r="DJ38" s="203" t="s">
        <v>582</v>
      </c>
      <c r="DK38" s="201">
        <v>43</v>
      </c>
      <c r="DL38" s="201">
        <v>18</v>
      </c>
      <c r="DM38" s="202">
        <v>0.41860465116279072</v>
      </c>
      <c r="DN38" s="203" t="s">
        <v>466</v>
      </c>
      <c r="DO38" s="204">
        <v>0</v>
      </c>
      <c r="DP38" s="203" t="s">
        <v>151</v>
      </c>
      <c r="DQ38" s="201">
        <v>6</v>
      </c>
      <c r="DR38" s="201">
        <v>0</v>
      </c>
      <c r="DS38" s="202">
        <f t="shared" si="93"/>
        <v>0</v>
      </c>
      <c r="DT38" s="203" t="s">
        <v>710</v>
      </c>
      <c r="DU38" s="203">
        <v>1</v>
      </c>
      <c r="DV38" s="203" t="s">
        <v>484</v>
      </c>
      <c r="DW38" s="201"/>
      <c r="DX38" s="201"/>
      <c r="DY38" s="202" t="str">
        <f t="shared" si="94"/>
        <v/>
      </c>
      <c r="DZ38" s="203" t="s">
        <v>151</v>
      </c>
      <c r="EA38" s="204"/>
      <c r="EB38" s="203" t="s">
        <v>151</v>
      </c>
      <c r="EC38" s="201">
        <v>1</v>
      </c>
      <c r="ED38" s="201">
        <v>0</v>
      </c>
      <c r="EE38" s="202">
        <f t="shared" si="95"/>
        <v>0</v>
      </c>
      <c r="EF38" s="203" t="s">
        <v>487</v>
      </c>
      <c r="EG38" s="204">
        <v>1</v>
      </c>
      <c r="EH38" s="203" t="s">
        <v>467</v>
      </c>
      <c r="EI38" s="201">
        <v>4</v>
      </c>
      <c r="EJ38" s="201">
        <v>0</v>
      </c>
      <c r="EK38" s="202">
        <f t="shared" si="96"/>
        <v>0</v>
      </c>
      <c r="EL38" s="203" t="s">
        <v>468</v>
      </c>
      <c r="EM38" s="204">
        <v>4</v>
      </c>
      <c r="EN38" s="203" t="s">
        <v>490</v>
      </c>
      <c r="EO38" s="201"/>
      <c r="EP38" s="201"/>
      <c r="EQ38" s="202" t="str">
        <f t="shared" si="97"/>
        <v/>
      </c>
      <c r="ER38" s="203" t="s">
        <v>151</v>
      </c>
      <c r="ES38" s="204"/>
      <c r="ET38" s="203" t="s">
        <v>151</v>
      </c>
      <c r="EU38" s="201">
        <v>4</v>
      </c>
      <c r="EV38" s="201">
        <v>1</v>
      </c>
      <c r="EW38" s="202">
        <f t="shared" si="98"/>
        <v>0.25</v>
      </c>
      <c r="EX38" s="203" t="s">
        <v>469</v>
      </c>
      <c r="EY38" s="204">
        <v>3</v>
      </c>
      <c r="EZ38" s="203" t="s">
        <v>528</v>
      </c>
      <c r="FA38" s="201">
        <v>3</v>
      </c>
      <c r="FB38" s="201">
        <v>1</v>
      </c>
      <c r="FC38" s="202">
        <f t="shared" si="99"/>
        <v>0.33333333333333331</v>
      </c>
      <c r="FD38" s="203" t="s">
        <v>470</v>
      </c>
      <c r="FE38" s="204">
        <v>1</v>
      </c>
      <c r="FF38" s="203" t="s">
        <v>471</v>
      </c>
      <c r="FG38" s="201"/>
      <c r="FH38" s="201"/>
      <c r="FI38" s="202" t="str">
        <f t="shared" si="100"/>
        <v/>
      </c>
      <c r="FJ38" s="203" t="s">
        <v>151</v>
      </c>
      <c r="FK38" s="204"/>
      <c r="FL38" s="203" t="s">
        <v>151</v>
      </c>
      <c r="FM38" s="201"/>
      <c r="FN38" s="201"/>
      <c r="FO38" s="202" t="str">
        <f t="shared" si="75"/>
        <v/>
      </c>
      <c r="FP38" s="203" t="s">
        <v>151</v>
      </c>
      <c r="FQ38" s="204"/>
      <c r="FR38" s="203" t="s">
        <v>151</v>
      </c>
      <c r="FS38" s="201">
        <v>7</v>
      </c>
      <c r="FT38" s="201">
        <v>4</v>
      </c>
      <c r="FU38" s="202">
        <f t="shared" si="76"/>
        <v>0.5714285714285714</v>
      </c>
      <c r="FV38" s="203" t="s">
        <v>429</v>
      </c>
      <c r="FW38" s="204">
        <v>3</v>
      </c>
      <c r="FX38" s="203" t="s">
        <v>430</v>
      </c>
      <c r="FY38" s="201"/>
      <c r="FZ38" s="201"/>
      <c r="GA38" s="202" t="str">
        <f t="shared" si="77"/>
        <v/>
      </c>
      <c r="GB38" s="203" t="s">
        <v>151</v>
      </c>
      <c r="GC38" s="204"/>
      <c r="GD38" s="203" t="s">
        <v>151</v>
      </c>
      <c r="GE38" s="203" t="s">
        <v>437</v>
      </c>
      <c r="GF38" s="203" t="s">
        <v>439</v>
      </c>
      <c r="GG38" s="204" t="s">
        <v>152</v>
      </c>
      <c r="GH38" s="204" t="s">
        <v>152</v>
      </c>
      <c r="GI38" s="204" t="s">
        <v>152</v>
      </c>
      <c r="GJ38" s="204" t="s">
        <v>152</v>
      </c>
      <c r="GK38" s="203"/>
      <c r="GL38" s="204" t="s">
        <v>152</v>
      </c>
      <c r="GM38" s="204" t="s">
        <v>152</v>
      </c>
      <c r="GN38" s="204" t="s">
        <v>152</v>
      </c>
      <c r="GO38" s="204" t="s">
        <v>151</v>
      </c>
      <c r="GP38" s="204" t="s">
        <v>151</v>
      </c>
      <c r="GQ38" s="204" t="s">
        <v>151</v>
      </c>
      <c r="GR38" s="100" t="s">
        <v>152</v>
      </c>
      <c r="GS38" s="101"/>
      <c r="GT38" s="204" t="s">
        <v>152</v>
      </c>
      <c r="GU38" s="204"/>
      <c r="GV38" s="204"/>
      <c r="GW38" s="145" t="s">
        <v>152</v>
      </c>
      <c r="GX38" s="145"/>
      <c r="GY38" s="204" t="s">
        <v>149</v>
      </c>
      <c r="GZ38" s="204" t="s">
        <v>457</v>
      </c>
      <c r="HA38" s="203"/>
      <c r="HB38" s="203"/>
      <c r="HC38" s="203"/>
      <c r="HD38" s="203"/>
      <c r="HE38" s="203"/>
      <c r="HF38" s="203"/>
      <c r="HG38" s="204" t="s">
        <v>457</v>
      </c>
      <c r="HH38" s="203"/>
      <c r="HI38" s="203"/>
      <c r="HJ38" s="203"/>
      <c r="HK38" s="203"/>
      <c r="HL38" s="203"/>
      <c r="HM38" s="203"/>
      <c r="HN38" s="204" t="s">
        <v>457</v>
      </c>
      <c r="HO38" s="203"/>
      <c r="HP38" s="203"/>
      <c r="HQ38" s="203"/>
      <c r="HR38" s="203"/>
      <c r="HS38" s="203"/>
      <c r="HT38" s="203"/>
      <c r="HU38" s="204" t="s">
        <v>457</v>
      </c>
      <c r="HV38" s="203"/>
      <c r="HW38" s="203"/>
      <c r="HX38" s="203"/>
      <c r="HY38" s="203"/>
      <c r="HZ38" s="204" t="s">
        <v>457</v>
      </c>
      <c r="IA38" s="203"/>
      <c r="IB38" s="203"/>
      <c r="IC38" s="203"/>
      <c r="ID38" s="203"/>
      <c r="IE38" s="203"/>
      <c r="IF38" s="203"/>
      <c r="IG38" s="204" t="s">
        <v>457</v>
      </c>
      <c r="IH38" s="203"/>
      <c r="II38" s="203" t="s">
        <v>711</v>
      </c>
      <c r="IJ38" s="140" t="str">
        <f t="shared" si="2"/>
        <v>○</v>
      </c>
    </row>
    <row r="39" spans="1:244" s="93" customFormat="1" ht="228" customHeight="1">
      <c r="A39" s="97" t="s">
        <v>197</v>
      </c>
      <c r="B39" s="204" t="s">
        <v>198</v>
      </c>
      <c r="C39" s="198" t="s">
        <v>152</v>
      </c>
      <c r="D39" s="198" t="s">
        <v>151</v>
      </c>
      <c r="E39" s="203" t="s">
        <v>151</v>
      </c>
      <c r="F39" s="198" t="s">
        <v>152</v>
      </c>
      <c r="G39" s="198" t="s">
        <v>151</v>
      </c>
      <c r="H39" s="203" t="s">
        <v>151</v>
      </c>
      <c r="I39" s="198" t="s">
        <v>160</v>
      </c>
      <c r="J39" s="198" t="s">
        <v>151</v>
      </c>
      <c r="K39" s="203" t="s">
        <v>151</v>
      </c>
      <c r="L39" s="198" t="s">
        <v>152</v>
      </c>
      <c r="M39" s="198"/>
      <c r="N39" s="203"/>
      <c r="O39" s="198" t="s">
        <v>152</v>
      </c>
      <c r="P39" s="198"/>
      <c r="Q39" s="203" t="s">
        <v>151</v>
      </c>
      <c r="R39" s="198" t="s">
        <v>160</v>
      </c>
      <c r="S39" s="198" t="s">
        <v>152</v>
      </c>
      <c r="T39" s="203" t="s">
        <v>200</v>
      </c>
      <c r="U39" s="198" t="s">
        <v>160</v>
      </c>
      <c r="V39" s="198" t="s">
        <v>151</v>
      </c>
      <c r="W39" s="203" t="s">
        <v>151</v>
      </c>
      <c r="X39" s="204"/>
      <c r="Y39" s="204"/>
      <c r="Z39" s="204" t="s">
        <v>152</v>
      </c>
      <c r="AA39" s="98" t="str">
        <f t="shared" si="79"/>
        <v/>
      </c>
      <c r="AB39" s="204" t="s">
        <v>152</v>
      </c>
      <c r="AC39" s="204"/>
      <c r="AD39" s="98" t="str">
        <f t="shared" si="80"/>
        <v>○</v>
      </c>
      <c r="AE39" s="99"/>
      <c r="AF39" s="203" t="s">
        <v>199</v>
      </c>
      <c r="AG39" s="203"/>
      <c r="AH39" s="198" t="s">
        <v>160</v>
      </c>
      <c r="AI39" s="198" t="s">
        <v>151</v>
      </c>
      <c r="AJ39" s="203" t="s">
        <v>151</v>
      </c>
      <c r="AK39" s="198" t="s">
        <v>152</v>
      </c>
      <c r="AL39" s="198" t="s">
        <v>151</v>
      </c>
      <c r="AM39" s="203" t="s">
        <v>151</v>
      </c>
      <c r="AN39" s="198" t="s">
        <v>152</v>
      </c>
      <c r="AO39" s="198" t="s">
        <v>151</v>
      </c>
      <c r="AP39" s="203" t="s">
        <v>151</v>
      </c>
      <c r="AQ39" s="198" t="s">
        <v>152</v>
      </c>
      <c r="AR39" s="198" t="s">
        <v>151</v>
      </c>
      <c r="AS39" s="203" t="s">
        <v>151</v>
      </c>
      <c r="AT39" s="198" t="s">
        <v>152</v>
      </c>
      <c r="AU39" s="198" t="s">
        <v>151</v>
      </c>
      <c r="AV39" s="203" t="s">
        <v>151</v>
      </c>
      <c r="AW39" s="201">
        <v>3</v>
      </c>
      <c r="AX39" s="201">
        <v>3</v>
      </c>
      <c r="AY39" s="202">
        <f t="shared" si="81"/>
        <v>1</v>
      </c>
      <c r="AZ39" s="203" t="s">
        <v>151</v>
      </c>
      <c r="BA39" s="204">
        <v>0</v>
      </c>
      <c r="BB39" s="203" t="s">
        <v>151</v>
      </c>
      <c r="BC39" s="201">
        <v>3</v>
      </c>
      <c r="BD39" s="201">
        <v>3</v>
      </c>
      <c r="BE39" s="202">
        <f t="shared" si="82"/>
        <v>1</v>
      </c>
      <c r="BF39" s="203" t="s">
        <v>151</v>
      </c>
      <c r="BG39" s="204">
        <v>0</v>
      </c>
      <c r="BH39" s="203" t="s">
        <v>151</v>
      </c>
      <c r="BI39" s="201">
        <v>1</v>
      </c>
      <c r="BJ39" s="201">
        <v>1</v>
      </c>
      <c r="BK39" s="202">
        <f t="shared" si="83"/>
        <v>1</v>
      </c>
      <c r="BL39" s="203" t="s">
        <v>151</v>
      </c>
      <c r="BM39" s="204">
        <v>0</v>
      </c>
      <c r="BN39" s="203" t="s">
        <v>151</v>
      </c>
      <c r="BO39" s="201">
        <v>2</v>
      </c>
      <c r="BP39" s="201">
        <v>0</v>
      </c>
      <c r="BQ39" s="202">
        <f t="shared" si="84"/>
        <v>0</v>
      </c>
      <c r="BR39" s="203" t="s">
        <v>245</v>
      </c>
      <c r="BS39" s="204">
        <v>0</v>
      </c>
      <c r="BT39" s="203" t="s">
        <v>151</v>
      </c>
      <c r="BU39" s="201">
        <v>0</v>
      </c>
      <c r="BV39" s="201">
        <v>0</v>
      </c>
      <c r="BW39" s="202" t="str">
        <f t="shared" si="85"/>
        <v/>
      </c>
      <c r="BX39" s="203" t="s">
        <v>151</v>
      </c>
      <c r="BY39" s="204">
        <v>0</v>
      </c>
      <c r="BZ39" s="203" t="s">
        <v>151</v>
      </c>
      <c r="CA39" s="201">
        <v>0</v>
      </c>
      <c r="CB39" s="201">
        <v>0</v>
      </c>
      <c r="CC39" s="202" t="str">
        <f t="shared" si="86"/>
        <v/>
      </c>
      <c r="CD39" s="203" t="s">
        <v>151</v>
      </c>
      <c r="CE39" s="204">
        <v>0</v>
      </c>
      <c r="CF39" s="203" t="s">
        <v>151</v>
      </c>
      <c r="CG39" s="201">
        <v>0</v>
      </c>
      <c r="CH39" s="201">
        <v>0</v>
      </c>
      <c r="CI39" s="202" t="str">
        <f t="shared" si="87"/>
        <v/>
      </c>
      <c r="CJ39" s="203" t="s">
        <v>151</v>
      </c>
      <c r="CK39" s="204">
        <v>0</v>
      </c>
      <c r="CL39" s="203" t="s">
        <v>151</v>
      </c>
      <c r="CM39" s="201">
        <v>5</v>
      </c>
      <c r="CN39" s="201">
        <v>4</v>
      </c>
      <c r="CO39" s="202">
        <f t="shared" si="88"/>
        <v>0.8</v>
      </c>
      <c r="CP39" s="203" t="s">
        <v>250</v>
      </c>
      <c r="CQ39" s="204">
        <v>1</v>
      </c>
      <c r="CR39" s="203" t="s">
        <v>251</v>
      </c>
      <c r="CS39" s="201">
        <v>0</v>
      </c>
      <c r="CT39" s="201">
        <v>0</v>
      </c>
      <c r="CU39" s="202" t="str">
        <f t="shared" si="89"/>
        <v/>
      </c>
      <c r="CV39" s="203"/>
      <c r="CW39" s="204">
        <v>0</v>
      </c>
      <c r="CX39" s="203" t="s">
        <v>151</v>
      </c>
      <c r="CY39" s="201">
        <v>0</v>
      </c>
      <c r="CZ39" s="201">
        <v>0</v>
      </c>
      <c r="DA39" s="202" t="str">
        <f t="shared" si="90"/>
        <v/>
      </c>
      <c r="DB39" s="203" t="s">
        <v>151</v>
      </c>
      <c r="DC39" s="204">
        <v>0</v>
      </c>
      <c r="DD39" s="203" t="s">
        <v>151</v>
      </c>
      <c r="DE39" s="201">
        <v>6</v>
      </c>
      <c r="DF39" s="201">
        <v>6</v>
      </c>
      <c r="DG39" s="202">
        <f t="shared" si="91"/>
        <v>1</v>
      </c>
      <c r="DH39" s="203" t="s">
        <v>151</v>
      </c>
      <c r="DI39" s="204">
        <v>0</v>
      </c>
      <c r="DJ39" s="203" t="s">
        <v>151</v>
      </c>
      <c r="DK39" s="201">
        <v>69</v>
      </c>
      <c r="DL39" s="201">
        <v>0</v>
      </c>
      <c r="DM39" s="202">
        <f t="shared" ref="DM39:DM55" si="101">IF(ISERROR(DL39/DK39),"",DL39/DK39)</f>
        <v>0</v>
      </c>
      <c r="DN39" s="203" t="s">
        <v>292</v>
      </c>
      <c r="DO39" s="204">
        <v>0</v>
      </c>
      <c r="DP39" s="203" t="s">
        <v>151</v>
      </c>
      <c r="DQ39" s="201">
        <v>0</v>
      </c>
      <c r="DR39" s="201">
        <v>0</v>
      </c>
      <c r="DS39" s="202" t="str">
        <f t="shared" si="93"/>
        <v/>
      </c>
      <c r="DT39" s="203" t="s">
        <v>151</v>
      </c>
      <c r="DU39" s="203">
        <v>0</v>
      </c>
      <c r="DV39" s="203" t="s">
        <v>151</v>
      </c>
      <c r="DW39" s="201">
        <v>0</v>
      </c>
      <c r="DX39" s="201">
        <v>0</v>
      </c>
      <c r="DY39" s="202" t="str">
        <f t="shared" si="94"/>
        <v/>
      </c>
      <c r="DZ39" s="203" t="s">
        <v>151</v>
      </c>
      <c r="EA39" s="204">
        <v>0</v>
      </c>
      <c r="EB39" s="203" t="s">
        <v>151</v>
      </c>
      <c r="EC39" s="201">
        <v>2</v>
      </c>
      <c r="ED39" s="201">
        <v>0</v>
      </c>
      <c r="EE39" s="202">
        <f t="shared" si="95"/>
        <v>0</v>
      </c>
      <c r="EF39" s="203" t="s">
        <v>327</v>
      </c>
      <c r="EG39" s="204">
        <v>2</v>
      </c>
      <c r="EH39" s="203" t="s">
        <v>328</v>
      </c>
      <c r="EI39" s="201">
        <v>4</v>
      </c>
      <c r="EJ39" s="201">
        <v>0</v>
      </c>
      <c r="EK39" s="202">
        <f t="shared" si="96"/>
        <v>0</v>
      </c>
      <c r="EL39" s="203" t="s">
        <v>366</v>
      </c>
      <c r="EM39" s="204">
        <v>4</v>
      </c>
      <c r="EN39" s="203" t="s">
        <v>367</v>
      </c>
      <c r="EO39" s="201">
        <v>0</v>
      </c>
      <c r="EP39" s="201">
        <v>0</v>
      </c>
      <c r="EQ39" s="202" t="str">
        <f t="shared" si="97"/>
        <v/>
      </c>
      <c r="ER39" s="203" t="s">
        <v>151</v>
      </c>
      <c r="ES39" s="204">
        <v>0</v>
      </c>
      <c r="ET39" s="203" t="s">
        <v>151</v>
      </c>
      <c r="EU39" s="201">
        <v>1</v>
      </c>
      <c r="EV39" s="201">
        <v>1</v>
      </c>
      <c r="EW39" s="202">
        <f t="shared" si="98"/>
        <v>1</v>
      </c>
      <c r="EX39" s="203" t="s">
        <v>151</v>
      </c>
      <c r="EY39" s="204">
        <v>0</v>
      </c>
      <c r="EZ39" s="203" t="s">
        <v>151</v>
      </c>
      <c r="FA39" s="201">
        <v>3</v>
      </c>
      <c r="FB39" s="201">
        <v>3</v>
      </c>
      <c r="FC39" s="202">
        <f t="shared" si="99"/>
        <v>1</v>
      </c>
      <c r="FD39" s="203" t="s">
        <v>151</v>
      </c>
      <c r="FE39" s="204">
        <v>0</v>
      </c>
      <c r="FF39" s="203" t="s">
        <v>151</v>
      </c>
      <c r="FG39" s="201">
        <v>0</v>
      </c>
      <c r="FH39" s="201">
        <v>0</v>
      </c>
      <c r="FI39" s="202" t="str">
        <f t="shared" si="100"/>
        <v/>
      </c>
      <c r="FJ39" s="203" t="s">
        <v>151</v>
      </c>
      <c r="FK39" s="204">
        <v>0</v>
      </c>
      <c r="FL39" s="203" t="s">
        <v>151</v>
      </c>
      <c r="FM39" s="201">
        <v>0</v>
      </c>
      <c r="FN39" s="201">
        <v>0</v>
      </c>
      <c r="FO39" s="202" t="str">
        <f t="shared" si="75"/>
        <v/>
      </c>
      <c r="FP39" s="203" t="s">
        <v>151</v>
      </c>
      <c r="FQ39" s="204">
        <v>0</v>
      </c>
      <c r="FR39" s="203" t="s">
        <v>151</v>
      </c>
      <c r="FS39" s="201">
        <v>3</v>
      </c>
      <c r="FT39" s="201">
        <v>2</v>
      </c>
      <c r="FU39" s="202">
        <f t="shared" si="76"/>
        <v>0.66666666666666663</v>
      </c>
      <c r="FV39" s="203" t="s">
        <v>431</v>
      </c>
      <c r="FW39" s="204">
        <v>1</v>
      </c>
      <c r="FX39" s="203" t="s">
        <v>432</v>
      </c>
      <c r="FY39" s="201">
        <v>0</v>
      </c>
      <c r="FZ39" s="201">
        <v>0</v>
      </c>
      <c r="GA39" s="202" t="str">
        <f t="shared" si="77"/>
        <v/>
      </c>
      <c r="GB39" s="203" t="s">
        <v>151</v>
      </c>
      <c r="GC39" s="204">
        <v>0</v>
      </c>
      <c r="GD39" s="203" t="s">
        <v>151</v>
      </c>
      <c r="GE39" s="203" t="s">
        <v>437</v>
      </c>
      <c r="GF39" s="203" t="s">
        <v>712</v>
      </c>
      <c r="GG39" s="204" t="s">
        <v>152</v>
      </c>
      <c r="GH39" s="204" t="s">
        <v>152</v>
      </c>
      <c r="GI39" s="204" t="s">
        <v>152</v>
      </c>
      <c r="GJ39" s="204" t="s">
        <v>152</v>
      </c>
      <c r="GK39" s="203" t="s">
        <v>151</v>
      </c>
      <c r="GL39" s="204" t="s">
        <v>152</v>
      </c>
      <c r="GM39" s="204" t="s">
        <v>152</v>
      </c>
      <c r="GN39" s="204" t="s">
        <v>151</v>
      </c>
      <c r="GO39" s="204" t="s">
        <v>152</v>
      </c>
      <c r="GP39" s="204" t="s">
        <v>151</v>
      </c>
      <c r="GQ39" s="204" t="s">
        <v>151</v>
      </c>
      <c r="GR39" s="100"/>
      <c r="GS39" s="101"/>
      <c r="GT39" s="204" t="s">
        <v>152</v>
      </c>
      <c r="GU39" s="204"/>
      <c r="GV39" s="204"/>
      <c r="GW39" s="145" t="s">
        <v>152</v>
      </c>
      <c r="GX39" s="145"/>
      <c r="GY39" s="204" t="s">
        <v>149</v>
      </c>
      <c r="GZ39" s="204" t="s">
        <v>457</v>
      </c>
      <c r="HA39" s="204"/>
      <c r="HB39" s="204"/>
      <c r="HC39" s="204"/>
      <c r="HD39" s="204"/>
      <c r="HE39" s="204"/>
      <c r="HF39" s="204"/>
      <c r="HG39" s="204" t="s">
        <v>457</v>
      </c>
      <c r="HH39" s="204"/>
      <c r="HI39" s="204"/>
      <c r="HJ39" s="204"/>
      <c r="HK39" s="204"/>
      <c r="HL39" s="204"/>
      <c r="HM39" s="204"/>
      <c r="HN39" s="204"/>
      <c r="HO39" s="204"/>
      <c r="HP39" s="204"/>
      <c r="HQ39" s="204"/>
      <c r="HR39" s="204"/>
      <c r="HS39" s="204" t="s">
        <v>457</v>
      </c>
      <c r="HT39" s="204" t="s">
        <v>713</v>
      </c>
      <c r="HU39" s="204"/>
      <c r="HV39" s="204"/>
      <c r="HW39" s="204" t="s">
        <v>457</v>
      </c>
      <c r="HX39" s="204"/>
      <c r="HY39" s="204" t="s">
        <v>714</v>
      </c>
      <c r="HZ39" s="204"/>
      <c r="IA39" s="204"/>
      <c r="IB39" s="204" t="s">
        <v>152</v>
      </c>
      <c r="IC39" s="204"/>
      <c r="ID39" s="204" t="s">
        <v>714</v>
      </c>
      <c r="IE39" s="204"/>
      <c r="IF39" s="204"/>
      <c r="IG39" s="204" t="s">
        <v>152</v>
      </c>
      <c r="IH39" s="204"/>
      <c r="II39" s="204" t="s">
        <v>715</v>
      </c>
      <c r="IJ39" s="140" t="str">
        <f t="shared" si="2"/>
        <v>○</v>
      </c>
    </row>
    <row r="40" spans="1:244" s="93" customFormat="1" ht="118.8">
      <c r="A40" s="97" t="s">
        <v>553</v>
      </c>
      <c r="B40" s="204" t="s">
        <v>201</v>
      </c>
      <c r="C40" s="198" t="s">
        <v>152</v>
      </c>
      <c r="D40" s="198" t="s">
        <v>151</v>
      </c>
      <c r="E40" s="203" t="s">
        <v>151</v>
      </c>
      <c r="F40" s="198" t="s">
        <v>152</v>
      </c>
      <c r="G40" s="198" t="s">
        <v>151</v>
      </c>
      <c r="H40" s="203" t="s">
        <v>151</v>
      </c>
      <c r="I40" s="198" t="s">
        <v>152</v>
      </c>
      <c r="J40" s="198" t="s">
        <v>151</v>
      </c>
      <c r="K40" s="203" t="s">
        <v>151</v>
      </c>
      <c r="L40" s="198" t="s">
        <v>160</v>
      </c>
      <c r="M40" s="198" t="s">
        <v>151</v>
      </c>
      <c r="N40" s="203" t="s">
        <v>151</v>
      </c>
      <c r="O40" s="198" t="s">
        <v>152</v>
      </c>
      <c r="P40" s="198" t="s">
        <v>151</v>
      </c>
      <c r="Q40" s="203" t="s">
        <v>151</v>
      </c>
      <c r="R40" s="198" t="s">
        <v>152</v>
      </c>
      <c r="S40" s="198" t="s">
        <v>151</v>
      </c>
      <c r="T40" s="203" t="s">
        <v>151</v>
      </c>
      <c r="U40" s="198" t="s">
        <v>152</v>
      </c>
      <c r="V40" s="198" t="s">
        <v>151</v>
      </c>
      <c r="W40" s="203" t="s">
        <v>151</v>
      </c>
      <c r="X40" s="204"/>
      <c r="Y40" s="204"/>
      <c r="Z40" s="204" t="s">
        <v>152</v>
      </c>
      <c r="AA40" s="98" t="str">
        <f t="shared" si="79"/>
        <v/>
      </c>
      <c r="AB40" s="204" t="s">
        <v>152</v>
      </c>
      <c r="AC40" s="204"/>
      <c r="AD40" s="98" t="str">
        <f t="shared" si="80"/>
        <v>○</v>
      </c>
      <c r="AE40" s="99" t="s">
        <v>229</v>
      </c>
      <c r="AF40" s="203" t="s">
        <v>233</v>
      </c>
      <c r="AG40" s="203"/>
      <c r="AH40" s="198" t="s">
        <v>160</v>
      </c>
      <c r="AI40" s="198" t="s">
        <v>151</v>
      </c>
      <c r="AJ40" s="203" t="s">
        <v>151</v>
      </c>
      <c r="AK40" s="198" t="s">
        <v>152</v>
      </c>
      <c r="AL40" s="198" t="s">
        <v>151</v>
      </c>
      <c r="AM40" s="203" t="s">
        <v>151</v>
      </c>
      <c r="AN40" s="198" t="s">
        <v>152</v>
      </c>
      <c r="AO40" s="198" t="s">
        <v>151</v>
      </c>
      <c r="AP40" s="203" t="s">
        <v>151</v>
      </c>
      <c r="AQ40" s="198" t="s">
        <v>152</v>
      </c>
      <c r="AR40" s="198" t="s">
        <v>151</v>
      </c>
      <c r="AS40" s="203" t="s">
        <v>151</v>
      </c>
      <c r="AT40" s="198" t="s">
        <v>152</v>
      </c>
      <c r="AU40" s="198" t="s">
        <v>151</v>
      </c>
      <c r="AV40" s="203" t="s">
        <v>151</v>
      </c>
      <c r="AW40" s="201">
        <v>3</v>
      </c>
      <c r="AX40" s="201">
        <v>3</v>
      </c>
      <c r="AY40" s="202">
        <f>IF(ISERROR(AX40/AW40),"",AX40/AW40)</f>
        <v>1</v>
      </c>
      <c r="AZ40" s="203" t="s">
        <v>151</v>
      </c>
      <c r="BA40" s="204">
        <v>0</v>
      </c>
      <c r="BB40" s="203" t="s">
        <v>151</v>
      </c>
      <c r="BC40" s="201">
        <v>2</v>
      </c>
      <c r="BD40" s="201">
        <v>2</v>
      </c>
      <c r="BE40" s="202">
        <f t="shared" si="82"/>
        <v>1</v>
      </c>
      <c r="BF40" s="203" t="s">
        <v>151</v>
      </c>
      <c r="BG40" s="204">
        <v>0</v>
      </c>
      <c r="BH40" s="203" t="s">
        <v>151</v>
      </c>
      <c r="BI40" s="201">
        <v>2</v>
      </c>
      <c r="BJ40" s="201">
        <v>2</v>
      </c>
      <c r="BK40" s="202">
        <f t="shared" si="83"/>
        <v>1</v>
      </c>
      <c r="BL40" s="203" t="s">
        <v>151</v>
      </c>
      <c r="BM40" s="204">
        <v>0</v>
      </c>
      <c r="BN40" s="203" t="s">
        <v>151</v>
      </c>
      <c r="BO40" s="201">
        <v>0</v>
      </c>
      <c r="BP40" s="201">
        <v>0</v>
      </c>
      <c r="BQ40" s="202" t="str">
        <f t="shared" si="84"/>
        <v/>
      </c>
      <c r="BR40" s="203" t="s">
        <v>151</v>
      </c>
      <c r="BS40" s="204">
        <v>0</v>
      </c>
      <c r="BT40" s="203" t="s">
        <v>151</v>
      </c>
      <c r="BU40" s="201">
        <v>0</v>
      </c>
      <c r="BV40" s="201">
        <v>0</v>
      </c>
      <c r="BW40" s="202" t="str">
        <f t="shared" si="85"/>
        <v/>
      </c>
      <c r="BX40" s="203" t="s">
        <v>151</v>
      </c>
      <c r="BY40" s="204">
        <v>0</v>
      </c>
      <c r="BZ40" s="203" t="s">
        <v>151</v>
      </c>
      <c r="CA40" s="201">
        <v>0</v>
      </c>
      <c r="CB40" s="201">
        <v>0</v>
      </c>
      <c r="CC40" s="202" t="str">
        <f t="shared" si="86"/>
        <v/>
      </c>
      <c r="CD40" s="203" t="s">
        <v>151</v>
      </c>
      <c r="CE40" s="204">
        <v>0</v>
      </c>
      <c r="CF40" s="203" t="s">
        <v>151</v>
      </c>
      <c r="CG40" s="201">
        <v>0</v>
      </c>
      <c r="CH40" s="201">
        <v>0</v>
      </c>
      <c r="CI40" s="202" t="str">
        <f t="shared" si="87"/>
        <v/>
      </c>
      <c r="CJ40" s="203" t="s">
        <v>151</v>
      </c>
      <c r="CK40" s="204">
        <v>0</v>
      </c>
      <c r="CL40" s="203" t="s">
        <v>151</v>
      </c>
      <c r="CM40" s="201">
        <v>0</v>
      </c>
      <c r="CN40" s="201">
        <v>0</v>
      </c>
      <c r="CO40" s="202" t="str">
        <f t="shared" si="88"/>
        <v/>
      </c>
      <c r="CP40" s="203" t="s">
        <v>151</v>
      </c>
      <c r="CQ40" s="204">
        <v>0</v>
      </c>
      <c r="CR40" s="203" t="s">
        <v>151</v>
      </c>
      <c r="CS40" s="201">
        <v>1</v>
      </c>
      <c r="CT40" s="201">
        <v>1</v>
      </c>
      <c r="CU40" s="202">
        <f t="shared" si="89"/>
        <v>1</v>
      </c>
      <c r="CV40" s="203" t="s">
        <v>151</v>
      </c>
      <c r="CW40" s="204">
        <v>0</v>
      </c>
      <c r="CX40" s="203" t="s">
        <v>151</v>
      </c>
      <c r="CY40" s="201">
        <v>1</v>
      </c>
      <c r="CZ40" s="201">
        <v>1</v>
      </c>
      <c r="DA40" s="202">
        <f t="shared" si="90"/>
        <v>1</v>
      </c>
      <c r="DB40" s="203" t="s">
        <v>151</v>
      </c>
      <c r="DC40" s="204">
        <v>0</v>
      </c>
      <c r="DD40" s="203" t="s">
        <v>151</v>
      </c>
      <c r="DE40" s="201">
        <v>5</v>
      </c>
      <c r="DF40" s="201">
        <v>5</v>
      </c>
      <c r="DG40" s="202">
        <f t="shared" si="91"/>
        <v>1</v>
      </c>
      <c r="DH40" s="203"/>
      <c r="DI40" s="204">
        <v>1</v>
      </c>
      <c r="DJ40" s="203" t="s">
        <v>472</v>
      </c>
      <c r="DK40" s="201">
        <v>94</v>
      </c>
      <c r="DL40" s="201">
        <v>0</v>
      </c>
      <c r="DM40" s="202">
        <f t="shared" si="101"/>
        <v>0</v>
      </c>
      <c r="DN40" s="203" t="s">
        <v>293</v>
      </c>
      <c r="DO40" s="204">
        <v>0</v>
      </c>
      <c r="DP40" s="203" t="s">
        <v>151</v>
      </c>
      <c r="DQ40" s="201">
        <v>1</v>
      </c>
      <c r="DR40" s="201">
        <v>1</v>
      </c>
      <c r="DS40" s="202">
        <f t="shared" si="93"/>
        <v>1</v>
      </c>
      <c r="DT40" s="203" t="s">
        <v>151</v>
      </c>
      <c r="DU40" s="203">
        <v>0</v>
      </c>
      <c r="DV40" s="203" t="s">
        <v>151</v>
      </c>
      <c r="DW40" s="201">
        <v>0</v>
      </c>
      <c r="DX40" s="201">
        <v>0</v>
      </c>
      <c r="DY40" s="202" t="str">
        <f t="shared" si="94"/>
        <v/>
      </c>
      <c r="DZ40" s="203" t="s">
        <v>151</v>
      </c>
      <c r="EA40" s="204">
        <v>0</v>
      </c>
      <c r="EB40" s="203" t="s">
        <v>151</v>
      </c>
      <c r="EC40" s="201">
        <v>2</v>
      </c>
      <c r="ED40" s="201">
        <v>0</v>
      </c>
      <c r="EE40" s="202">
        <f t="shared" si="95"/>
        <v>0</v>
      </c>
      <c r="EF40" s="203" t="s">
        <v>329</v>
      </c>
      <c r="EG40" s="204">
        <v>2</v>
      </c>
      <c r="EH40" s="203" t="s">
        <v>329</v>
      </c>
      <c r="EI40" s="201">
        <v>2</v>
      </c>
      <c r="EJ40" s="201">
        <v>0</v>
      </c>
      <c r="EK40" s="202">
        <f t="shared" si="96"/>
        <v>0</v>
      </c>
      <c r="EL40" s="203" t="s">
        <v>368</v>
      </c>
      <c r="EM40" s="204">
        <v>2</v>
      </c>
      <c r="EN40" s="203" t="s">
        <v>368</v>
      </c>
      <c r="EO40" s="201">
        <v>0</v>
      </c>
      <c r="EP40" s="201">
        <v>0</v>
      </c>
      <c r="EQ40" s="202" t="str">
        <f t="shared" si="97"/>
        <v/>
      </c>
      <c r="ER40" s="203" t="s">
        <v>151</v>
      </c>
      <c r="ES40" s="204">
        <v>0</v>
      </c>
      <c r="ET40" s="203" t="s">
        <v>151</v>
      </c>
      <c r="EU40" s="201">
        <v>2</v>
      </c>
      <c r="EV40" s="201">
        <v>2</v>
      </c>
      <c r="EW40" s="202">
        <f t="shared" si="98"/>
        <v>1</v>
      </c>
      <c r="EX40" s="203" t="s">
        <v>151</v>
      </c>
      <c r="EY40" s="204">
        <v>0</v>
      </c>
      <c r="EZ40" s="203" t="s">
        <v>151</v>
      </c>
      <c r="FA40" s="201">
        <v>10</v>
      </c>
      <c r="FB40" s="201">
        <v>6</v>
      </c>
      <c r="FC40" s="202">
        <f t="shared" si="99"/>
        <v>0.6</v>
      </c>
      <c r="FD40" s="203" t="s">
        <v>397</v>
      </c>
      <c r="FE40" s="204">
        <v>6</v>
      </c>
      <c r="FF40" s="203" t="s">
        <v>716</v>
      </c>
      <c r="FG40" s="201">
        <v>0</v>
      </c>
      <c r="FH40" s="201">
        <v>0</v>
      </c>
      <c r="FI40" s="202" t="str">
        <f t="shared" si="100"/>
        <v/>
      </c>
      <c r="FJ40" s="203" t="s">
        <v>151</v>
      </c>
      <c r="FK40" s="204">
        <v>0</v>
      </c>
      <c r="FL40" s="203" t="s">
        <v>151</v>
      </c>
      <c r="FM40" s="201">
        <v>0</v>
      </c>
      <c r="FN40" s="201">
        <v>0</v>
      </c>
      <c r="FO40" s="202" t="str">
        <f t="shared" si="75"/>
        <v/>
      </c>
      <c r="FP40" s="203" t="s">
        <v>151</v>
      </c>
      <c r="FQ40" s="204">
        <v>0</v>
      </c>
      <c r="FR40" s="203" t="s">
        <v>151</v>
      </c>
      <c r="FS40" s="201">
        <v>1</v>
      </c>
      <c r="FT40" s="201">
        <v>0</v>
      </c>
      <c r="FU40" s="202">
        <f t="shared" si="76"/>
        <v>0</v>
      </c>
      <c r="FV40" s="203" t="s">
        <v>433</v>
      </c>
      <c r="FW40" s="204">
        <v>1</v>
      </c>
      <c r="FX40" s="203" t="s">
        <v>433</v>
      </c>
      <c r="FY40" s="201">
        <v>0</v>
      </c>
      <c r="FZ40" s="201">
        <v>0</v>
      </c>
      <c r="GA40" s="202" t="str">
        <f t="shared" si="77"/>
        <v/>
      </c>
      <c r="GB40" s="203" t="s">
        <v>151</v>
      </c>
      <c r="GC40" s="204">
        <v>0</v>
      </c>
      <c r="GD40" s="203" t="s">
        <v>151</v>
      </c>
      <c r="GE40" s="203" t="s">
        <v>437</v>
      </c>
      <c r="GF40" s="203" t="s">
        <v>439</v>
      </c>
      <c r="GG40" s="204" t="s">
        <v>152</v>
      </c>
      <c r="GH40" s="204" t="s">
        <v>152</v>
      </c>
      <c r="GI40" s="204" t="s">
        <v>152</v>
      </c>
      <c r="GJ40" s="204" t="s">
        <v>152</v>
      </c>
      <c r="GK40" s="203" t="s">
        <v>151</v>
      </c>
      <c r="GL40" s="204" t="s">
        <v>152</v>
      </c>
      <c r="GM40" s="204" t="s">
        <v>152</v>
      </c>
      <c r="GN40" s="204" t="s">
        <v>152</v>
      </c>
      <c r="GO40" s="204" t="s">
        <v>152</v>
      </c>
      <c r="GP40" s="204" t="s">
        <v>151</v>
      </c>
      <c r="GQ40" s="204" t="s">
        <v>151</v>
      </c>
      <c r="GR40" s="100" t="s">
        <v>152</v>
      </c>
      <c r="GS40" s="101"/>
      <c r="GT40" s="204" t="s">
        <v>152</v>
      </c>
      <c r="GU40" s="204"/>
      <c r="GV40" s="204"/>
      <c r="GW40" s="145" t="s">
        <v>152</v>
      </c>
      <c r="GX40" s="145"/>
      <c r="GY40" s="204" t="s">
        <v>149</v>
      </c>
      <c r="GZ40" s="204" t="s">
        <v>457</v>
      </c>
      <c r="HA40" s="203"/>
      <c r="HB40" s="203"/>
      <c r="HC40" s="203"/>
      <c r="HD40" s="203"/>
      <c r="HE40" s="203"/>
      <c r="HF40" s="203"/>
      <c r="HG40" s="204" t="s">
        <v>457</v>
      </c>
      <c r="HH40" s="203"/>
      <c r="HI40" s="203"/>
      <c r="HJ40" s="203"/>
      <c r="HK40" s="203"/>
      <c r="HL40" s="203"/>
      <c r="HM40" s="203"/>
      <c r="HN40" s="204" t="s">
        <v>457</v>
      </c>
      <c r="HO40" s="203"/>
      <c r="HP40" s="203"/>
      <c r="HQ40" s="203"/>
      <c r="HR40" s="203"/>
      <c r="HS40" s="203"/>
      <c r="HT40" s="203"/>
      <c r="HU40" s="204" t="s">
        <v>457</v>
      </c>
      <c r="HV40" s="203"/>
      <c r="HW40" s="203"/>
      <c r="HX40" s="203"/>
      <c r="HY40" s="203"/>
      <c r="HZ40" s="204" t="s">
        <v>457</v>
      </c>
      <c r="IA40" s="203"/>
      <c r="IB40" s="203"/>
      <c r="IC40" s="203"/>
      <c r="ID40" s="203"/>
      <c r="IE40" s="204" t="s">
        <v>457</v>
      </c>
      <c r="IF40" s="203"/>
      <c r="IG40" s="203"/>
      <c r="IH40" s="203"/>
      <c r="II40" s="203"/>
      <c r="IJ40" s="140" t="str">
        <f t="shared" si="2"/>
        <v>○</v>
      </c>
    </row>
    <row r="41" spans="1:244" s="93" customFormat="1" ht="52.8">
      <c r="A41" s="97" t="s">
        <v>202</v>
      </c>
      <c r="B41" s="204" t="s">
        <v>203</v>
      </c>
      <c r="C41" s="198" t="s">
        <v>152</v>
      </c>
      <c r="D41" s="198" t="s">
        <v>151</v>
      </c>
      <c r="E41" s="203" t="s">
        <v>151</v>
      </c>
      <c r="F41" s="198" t="s">
        <v>152</v>
      </c>
      <c r="G41" s="198" t="s">
        <v>151</v>
      </c>
      <c r="H41" s="203" t="s">
        <v>151</v>
      </c>
      <c r="I41" s="198" t="s">
        <v>152</v>
      </c>
      <c r="J41" s="198" t="s">
        <v>151</v>
      </c>
      <c r="K41" s="203" t="s">
        <v>151</v>
      </c>
      <c r="L41" s="198" t="s">
        <v>152</v>
      </c>
      <c r="M41" s="198" t="s">
        <v>151</v>
      </c>
      <c r="N41" s="203" t="s">
        <v>151</v>
      </c>
      <c r="O41" s="198" t="s">
        <v>160</v>
      </c>
      <c r="P41" s="198" t="s">
        <v>151</v>
      </c>
      <c r="Q41" s="203" t="s">
        <v>151</v>
      </c>
      <c r="R41" s="198" t="s">
        <v>160</v>
      </c>
      <c r="S41" s="198" t="s">
        <v>151</v>
      </c>
      <c r="T41" s="203" t="s">
        <v>151</v>
      </c>
      <c r="U41" s="198" t="s">
        <v>160</v>
      </c>
      <c r="V41" s="198" t="s">
        <v>151</v>
      </c>
      <c r="W41" s="203" t="s">
        <v>151</v>
      </c>
      <c r="X41" s="204"/>
      <c r="Y41" s="204" t="s">
        <v>152</v>
      </c>
      <c r="Z41" s="204"/>
      <c r="AA41" s="98" t="str">
        <f t="shared" si="79"/>
        <v>○</v>
      </c>
      <c r="AB41" s="204"/>
      <c r="AC41" s="204" t="s">
        <v>152</v>
      </c>
      <c r="AD41" s="98" t="str">
        <f t="shared" si="80"/>
        <v/>
      </c>
      <c r="AE41" s="99"/>
      <c r="AF41" s="203"/>
      <c r="AG41" s="203" t="s">
        <v>588</v>
      </c>
      <c r="AH41" s="198" t="s">
        <v>160</v>
      </c>
      <c r="AI41" s="198" t="s">
        <v>151</v>
      </c>
      <c r="AJ41" s="203" t="s">
        <v>151</v>
      </c>
      <c r="AK41" s="198" t="s">
        <v>152</v>
      </c>
      <c r="AL41" s="198" t="s">
        <v>151</v>
      </c>
      <c r="AM41" s="203" t="s">
        <v>151</v>
      </c>
      <c r="AN41" s="198" t="s">
        <v>152</v>
      </c>
      <c r="AO41" s="198" t="s">
        <v>151</v>
      </c>
      <c r="AP41" s="203" t="s">
        <v>151</v>
      </c>
      <c r="AQ41" s="198" t="s">
        <v>152</v>
      </c>
      <c r="AR41" s="198" t="s">
        <v>151</v>
      </c>
      <c r="AS41" s="203" t="s">
        <v>151</v>
      </c>
      <c r="AT41" s="198" t="s">
        <v>152</v>
      </c>
      <c r="AU41" s="198" t="s">
        <v>151</v>
      </c>
      <c r="AV41" s="203" t="s">
        <v>151</v>
      </c>
      <c r="AW41" s="201">
        <v>3</v>
      </c>
      <c r="AX41" s="201">
        <v>3</v>
      </c>
      <c r="AY41" s="202">
        <f t="shared" si="81"/>
        <v>1</v>
      </c>
      <c r="AZ41" s="203" t="s">
        <v>151</v>
      </c>
      <c r="BA41" s="204">
        <v>0</v>
      </c>
      <c r="BB41" s="203" t="s">
        <v>151</v>
      </c>
      <c r="BC41" s="201">
        <v>3</v>
      </c>
      <c r="BD41" s="201">
        <v>1</v>
      </c>
      <c r="BE41" s="202">
        <f t="shared" si="82"/>
        <v>0.33333333333333331</v>
      </c>
      <c r="BF41" s="203" t="s">
        <v>241</v>
      </c>
      <c r="BG41" s="204">
        <v>0</v>
      </c>
      <c r="BH41" s="203" t="s">
        <v>151</v>
      </c>
      <c r="BI41" s="201">
        <v>1</v>
      </c>
      <c r="BJ41" s="201">
        <v>1</v>
      </c>
      <c r="BK41" s="202">
        <f t="shared" si="83"/>
        <v>1</v>
      </c>
      <c r="BL41" s="203" t="s">
        <v>151</v>
      </c>
      <c r="BM41" s="204">
        <v>0</v>
      </c>
      <c r="BN41" s="203" t="s">
        <v>151</v>
      </c>
      <c r="BO41" s="201">
        <v>0</v>
      </c>
      <c r="BP41" s="201">
        <v>0</v>
      </c>
      <c r="BQ41" s="202" t="str">
        <f t="shared" si="84"/>
        <v/>
      </c>
      <c r="BR41" s="203" t="s">
        <v>151</v>
      </c>
      <c r="BS41" s="204">
        <v>0</v>
      </c>
      <c r="BT41" s="203" t="s">
        <v>151</v>
      </c>
      <c r="BU41" s="201">
        <v>0</v>
      </c>
      <c r="BV41" s="201">
        <v>0</v>
      </c>
      <c r="BW41" s="202" t="str">
        <f t="shared" si="85"/>
        <v/>
      </c>
      <c r="BX41" s="203" t="s">
        <v>151</v>
      </c>
      <c r="BY41" s="204">
        <v>0</v>
      </c>
      <c r="BZ41" s="203" t="s">
        <v>151</v>
      </c>
      <c r="CA41" s="201">
        <v>0</v>
      </c>
      <c r="CB41" s="201">
        <v>0</v>
      </c>
      <c r="CC41" s="202" t="str">
        <f t="shared" si="86"/>
        <v/>
      </c>
      <c r="CD41" s="203" t="s">
        <v>151</v>
      </c>
      <c r="CE41" s="204">
        <v>0</v>
      </c>
      <c r="CF41" s="203" t="s">
        <v>151</v>
      </c>
      <c r="CG41" s="201">
        <v>0</v>
      </c>
      <c r="CH41" s="201">
        <v>0</v>
      </c>
      <c r="CI41" s="202" t="str">
        <f t="shared" si="87"/>
        <v/>
      </c>
      <c r="CJ41" s="203" t="s">
        <v>151</v>
      </c>
      <c r="CK41" s="204">
        <v>0</v>
      </c>
      <c r="CL41" s="203" t="s">
        <v>151</v>
      </c>
      <c r="CM41" s="201">
        <v>0</v>
      </c>
      <c r="CN41" s="201">
        <v>0</v>
      </c>
      <c r="CO41" s="202" t="str">
        <f t="shared" si="88"/>
        <v/>
      </c>
      <c r="CP41" s="203" t="s">
        <v>151</v>
      </c>
      <c r="CQ41" s="204">
        <v>0</v>
      </c>
      <c r="CR41" s="203" t="s">
        <v>151</v>
      </c>
      <c r="CS41" s="201">
        <v>2</v>
      </c>
      <c r="CT41" s="201">
        <v>2</v>
      </c>
      <c r="CU41" s="202">
        <f t="shared" si="89"/>
        <v>1</v>
      </c>
      <c r="CV41" s="203" t="s">
        <v>151</v>
      </c>
      <c r="CW41" s="204">
        <v>0</v>
      </c>
      <c r="CX41" s="203" t="s">
        <v>151</v>
      </c>
      <c r="CY41" s="201">
        <v>4</v>
      </c>
      <c r="CZ41" s="201">
        <v>2</v>
      </c>
      <c r="DA41" s="202">
        <f t="shared" si="90"/>
        <v>0.5</v>
      </c>
      <c r="DB41" s="203" t="s">
        <v>276</v>
      </c>
      <c r="DC41" s="204">
        <v>2</v>
      </c>
      <c r="DD41" s="203" t="s">
        <v>276</v>
      </c>
      <c r="DE41" s="201">
        <v>3</v>
      </c>
      <c r="DF41" s="201">
        <v>3</v>
      </c>
      <c r="DG41" s="202">
        <f t="shared" si="91"/>
        <v>1</v>
      </c>
      <c r="DH41" s="203" t="s">
        <v>151</v>
      </c>
      <c r="DI41" s="204">
        <v>0</v>
      </c>
      <c r="DJ41" s="203" t="s">
        <v>151</v>
      </c>
      <c r="DK41" s="201">
        <v>88</v>
      </c>
      <c r="DL41" s="201">
        <v>0</v>
      </c>
      <c r="DM41" s="202">
        <f t="shared" si="101"/>
        <v>0</v>
      </c>
      <c r="DN41" s="203" t="s">
        <v>294</v>
      </c>
      <c r="DO41" s="204">
        <v>0</v>
      </c>
      <c r="DP41" s="203" t="s">
        <v>151</v>
      </c>
      <c r="DQ41" s="201">
        <v>0</v>
      </c>
      <c r="DR41" s="201">
        <v>0</v>
      </c>
      <c r="DS41" s="202" t="str">
        <f t="shared" si="93"/>
        <v/>
      </c>
      <c r="DT41" s="203" t="s">
        <v>151</v>
      </c>
      <c r="DU41" s="203">
        <v>0</v>
      </c>
      <c r="DV41" s="203" t="s">
        <v>151</v>
      </c>
      <c r="DW41" s="201">
        <v>0</v>
      </c>
      <c r="DX41" s="201">
        <v>0</v>
      </c>
      <c r="DY41" s="202" t="str">
        <f t="shared" si="94"/>
        <v/>
      </c>
      <c r="DZ41" s="203" t="s">
        <v>151</v>
      </c>
      <c r="EA41" s="204">
        <v>0</v>
      </c>
      <c r="EB41" s="203" t="s">
        <v>151</v>
      </c>
      <c r="EC41" s="201">
        <v>2</v>
      </c>
      <c r="ED41" s="201">
        <v>0</v>
      </c>
      <c r="EE41" s="202">
        <f t="shared" si="95"/>
        <v>0</v>
      </c>
      <c r="EF41" s="203" t="s">
        <v>330</v>
      </c>
      <c r="EG41" s="204">
        <v>2</v>
      </c>
      <c r="EH41" s="203" t="s">
        <v>330</v>
      </c>
      <c r="EI41" s="201">
        <v>7</v>
      </c>
      <c r="EJ41" s="201">
        <v>7</v>
      </c>
      <c r="EK41" s="202">
        <f t="shared" si="96"/>
        <v>1</v>
      </c>
      <c r="EL41" s="203" t="s">
        <v>151</v>
      </c>
      <c r="EM41" s="204">
        <v>0</v>
      </c>
      <c r="EN41" s="203" t="s">
        <v>151</v>
      </c>
      <c r="EO41" s="201">
        <v>0</v>
      </c>
      <c r="EP41" s="201">
        <v>0</v>
      </c>
      <c r="EQ41" s="202" t="str">
        <f t="shared" si="97"/>
        <v/>
      </c>
      <c r="ER41" s="203" t="s">
        <v>151</v>
      </c>
      <c r="ES41" s="204">
        <v>0</v>
      </c>
      <c r="ET41" s="203" t="s">
        <v>151</v>
      </c>
      <c r="EU41" s="201">
        <v>2</v>
      </c>
      <c r="EV41" s="201">
        <v>2</v>
      </c>
      <c r="EW41" s="202">
        <f t="shared" si="98"/>
        <v>1</v>
      </c>
      <c r="EX41" s="203" t="s">
        <v>151</v>
      </c>
      <c r="EY41" s="204">
        <v>0</v>
      </c>
      <c r="EZ41" s="203" t="s">
        <v>151</v>
      </c>
      <c r="FA41" s="201">
        <v>2</v>
      </c>
      <c r="FB41" s="201">
        <v>1</v>
      </c>
      <c r="FC41" s="202">
        <f t="shared" si="99"/>
        <v>0.5</v>
      </c>
      <c r="FD41" s="203" t="s">
        <v>330</v>
      </c>
      <c r="FE41" s="204">
        <v>1</v>
      </c>
      <c r="FF41" s="203" t="s">
        <v>330</v>
      </c>
      <c r="FG41" s="201">
        <v>0</v>
      </c>
      <c r="FH41" s="201">
        <v>0</v>
      </c>
      <c r="FI41" s="202" t="str">
        <f t="shared" si="100"/>
        <v/>
      </c>
      <c r="FJ41" s="203" t="s">
        <v>151</v>
      </c>
      <c r="FK41" s="204">
        <v>0</v>
      </c>
      <c r="FL41" s="203" t="s">
        <v>151</v>
      </c>
      <c r="FM41" s="201">
        <v>0</v>
      </c>
      <c r="FN41" s="201">
        <v>0</v>
      </c>
      <c r="FO41" s="202" t="str">
        <f t="shared" si="75"/>
        <v/>
      </c>
      <c r="FP41" s="203" t="s">
        <v>151</v>
      </c>
      <c r="FQ41" s="204">
        <v>0</v>
      </c>
      <c r="FR41" s="203" t="s">
        <v>151</v>
      </c>
      <c r="FS41" s="201">
        <v>2</v>
      </c>
      <c r="FT41" s="201">
        <v>2</v>
      </c>
      <c r="FU41" s="202">
        <f t="shared" si="76"/>
        <v>1</v>
      </c>
      <c r="FV41" s="203" t="s">
        <v>151</v>
      </c>
      <c r="FW41" s="204">
        <v>0</v>
      </c>
      <c r="FX41" s="203" t="s">
        <v>151</v>
      </c>
      <c r="FY41" s="201">
        <v>0</v>
      </c>
      <c r="FZ41" s="201">
        <v>0</v>
      </c>
      <c r="GA41" s="202" t="str">
        <f t="shared" si="77"/>
        <v/>
      </c>
      <c r="GB41" s="203" t="s">
        <v>151</v>
      </c>
      <c r="GC41" s="204">
        <v>0</v>
      </c>
      <c r="GD41" s="203" t="s">
        <v>151</v>
      </c>
      <c r="GE41" s="203" t="s">
        <v>437</v>
      </c>
      <c r="GF41" s="203" t="s">
        <v>438</v>
      </c>
      <c r="GG41" s="204" t="s">
        <v>152</v>
      </c>
      <c r="GH41" s="204" t="s">
        <v>152</v>
      </c>
      <c r="GI41" s="204" t="s">
        <v>152</v>
      </c>
      <c r="GJ41" s="204" t="s">
        <v>152</v>
      </c>
      <c r="GK41" s="203" t="s">
        <v>151</v>
      </c>
      <c r="GL41" s="204" t="s">
        <v>152</v>
      </c>
      <c r="GM41" s="204" t="s">
        <v>152</v>
      </c>
      <c r="GN41" s="204" t="s">
        <v>152</v>
      </c>
      <c r="GO41" s="204" t="s">
        <v>152</v>
      </c>
      <c r="GP41" s="204" t="s">
        <v>151</v>
      </c>
      <c r="GQ41" s="204"/>
      <c r="GR41" s="100"/>
      <c r="GS41" s="101"/>
      <c r="GT41" s="204" t="s">
        <v>152</v>
      </c>
      <c r="GU41" s="204"/>
      <c r="GV41" s="204"/>
      <c r="GW41" s="145" t="s">
        <v>152</v>
      </c>
      <c r="GX41" s="145"/>
      <c r="GY41" s="204" t="s">
        <v>149</v>
      </c>
      <c r="GZ41" s="204" t="s">
        <v>457</v>
      </c>
      <c r="HA41" s="204"/>
      <c r="HB41" s="204"/>
      <c r="HC41" s="204"/>
      <c r="HD41" s="204"/>
      <c r="HE41" s="204"/>
      <c r="HF41" s="204"/>
      <c r="HG41" s="204" t="s">
        <v>457</v>
      </c>
      <c r="HH41" s="204"/>
      <c r="HI41" s="204"/>
      <c r="HJ41" s="204"/>
      <c r="HK41" s="204"/>
      <c r="HL41" s="204"/>
      <c r="HM41" s="204"/>
      <c r="HN41" s="204" t="s">
        <v>457</v>
      </c>
      <c r="HO41" s="204"/>
      <c r="HP41" s="204"/>
      <c r="HQ41" s="204"/>
      <c r="HR41" s="204"/>
      <c r="HS41" s="204"/>
      <c r="HT41" s="204"/>
      <c r="HU41" s="204" t="s">
        <v>457</v>
      </c>
      <c r="HV41" s="204"/>
      <c r="HW41" s="204"/>
      <c r="HX41" s="204"/>
      <c r="HY41" s="204"/>
      <c r="HZ41" s="204" t="s">
        <v>457</v>
      </c>
      <c r="IA41" s="204"/>
      <c r="IB41" s="204"/>
      <c r="IC41" s="204"/>
      <c r="ID41" s="204"/>
      <c r="IE41" s="204" t="s">
        <v>457</v>
      </c>
      <c r="IF41" s="204"/>
      <c r="IG41" s="203"/>
      <c r="IH41" s="203"/>
      <c r="II41" s="203"/>
      <c r="IJ41" s="140" t="str">
        <f t="shared" si="2"/>
        <v>○</v>
      </c>
    </row>
    <row r="42" spans="1:244" s="93" customFormat="1" ht="79.2">
      <c r="A42" s="97" t="s">
        <v>529</v>
      </c>
      <c r="B42" s="204" t="s">
        <v>204</v>
      </c>
      <c r="C42" s="198" t="s">
        <v>152</v>
      </c>
      <c r="D42" s="198" t="s">
        <v>151</v>
      </c>
      <c r="E42" s="203" t="s">
        <v>151</v>
      </c>
      <c r="F42" s="198" t="s">
        <v>152</v>
      </c>
      <c r="G42" s="198" t="s">
        <v>151</v>
      </c>
      <c r="H42" s="203" t="s">
        <v>151</v>
      </c>
      <c r="I42" s="198" t="s">
        <v>152</v>
      </c>
      <c r="J42" s="198" t="s">
        <v>151</v>
      </c>
      <c r="K42" s="203" t="s">
        <v>151</v>
      </c>
      <c r="L42" s="198" t="s">
        <v>152</v>
      </c>
      <c r="M42" s="198" t="s">
        <v>151</v>
      </c>
      <c r="N42" s="203" t="s">
        <v>151</v>
      </c>
      <c r="O42" s="198" t="s">
        <v>152</v>
      </c>
      <c r="P42" s="198" t="s">
        <v>151</v>
      </c>
      <c r="Q42" s="203" t="s">
        <v>151</v>
      </c>
      <c r="R42" s="198" t="s">
        <v>152</v>
      </c>
      <c r="S42" s="198" t="s">
        <v>151</v>
      </c>
      <c r="T42" s="203" t="s">
        <v>151</v>
      </c>
      <c r="U42" s="198" t="s">
        <v>152</v>
      </c>
      <c r="V42" s="198" t="s">
        <v>151</v>
      </c>
      <c r="W42" s="203" t="s">
        <v>151</v>
      </c>
      <c r="X42" s="204"/>
      <c r="Y42" s="204"/>
      <c r="Z42" s="204" t="s">
        <v>152</v>
      </c>
      <c r="AA42" s="98" t="str">
        <f t="shared" si="79"/>
        <v/>
      </c>
      <c r="AB42" s="204"/>
      <c r="AC42" s="204" t="s">
        <v>152</v>
      </c>
      <c r="AD42" s="98" t="str">
        <f t="shared" si="80"/>
        <v/>
      </c>
      <c r="AE42" s="99"/>
      <c r="AF42" s="203"/>
      <c r="AG42" s="203"/>
      <c r="AH42" s="198" t="s">
        <v>160</v>
      </c>
      <c r="AI42" s="198" t="s">
        <v>151</v>
      </c>
      <c r="AJ42" s="203" t="s">
        <v>151</v>
      </c>
      <c r="AK42" s="198" t="s">
        <v>152</v>
      </c>
      <c r="AL42" s="198" t="s">
        <v>151</v>
      </c>
      <c r="AM42" s="203" t="s">
        <v>151</v>
      </c>
      <c r="AN42" s="198" t="s">
        <v>152</v>
      </c>
      <c r="AO42" s="198" t="s">
        <v>151</v>
      </c>
      <c r="AP42" s="203" t="s">
        <v>151</v>
      </c>
      <c r="AQ42" s="198" t="s">
        <v>457</v>
      </c>
      <c r="AR42" s="198" t="s">
        <v>151</v>
      </c>
      <c r="AS42" s="203" t="s">
        <v>151</v>
      </c>
      <c r="AT42" s="198" t="s">
        <v>152</v>
      </c>
      <c r="AU42" s="198" t="s">
        <v>151</v>
      </c>
      <c r="AV42" s="203" t="s">
        <v>151</v>
      </c>
      <c r="AW42" s="201">
        <v>2</v>
      </c>
      <c r="AX42" s="201">
        <v>2</v>
      </c>
      <c r="AY42" s="202">
        <f t="shared" si="81"/>
        <v>1</v>
      </c>
      <c r="AZ42" s="203" t="s">
        <v>151</v>
      </c>
      <c r="BA42" s="204">
        <v>0</v>
      </c>
      <c r="BB42" s="203" t="s">
        <v>151</v>
      </c>
      <c r="BC42" s="201">
        <v>6</v>
      </c>
      <c r="BD42" s="201">
        <v>6</v>
      </c>
      <c r="BE42" s="202">
        <f t="shared" si="82"/>
        <v>1</v>
      </c>
      <c r="BF42" s="203" t="s">
        <v>151</v>
      </c>
      <c r="BG42" s="204">
        <v>0</v>
      </c>
      <c r="BH42" s="203" t="s">
        <v>151</v>
      </c>
      <c r="BI42" s="201">
        <v>0</v>
      </c>
      <c r="BJ42" s="201">
        <v>0</v>
      </c>
      <c r="BK42" s="202" t="str">
        <f t="shared" si="83"/>
        <v/>
      </c>
      <c r="BL42" s="203" t="s">
        <v>151</v>
      </c>
      <c r="BM42" s="204">
        <v>0</v>
      </c>
      <c r="BN42" s="203" t="s">
        <v>151</v>
      </c>
      <c r="BO42" s="201">
        <v>0</v>
      </c>
      <c r="BP42" s="201">
        <v>0</v>
      </c>
      <c r="BQ42" s="202" t="str">
        <f t="shared" si="84"/>
        <v/>
      </c>
      <c r="BR42" s="203" t="s">
        <v>151</v>
      </c>
      <c r="BS42" s="204">
        <v>0</v>
      </c>
      <c r="BT42" s="203" t="s">
        <v>151</v>
      </c>
      <c r="BU42" s="201">
        <v>0</v>
      </c>
      <c r="BV42" s="201">
        <v>0</v>
      </c>
      <c r="BW42" s="202" t="str">
        <f t="shared" si="85"/>
        <v/>
      </c>
      <c r="BX42" s="203" t="s">
        <v>151</v>
      </c>
      <c r="BY42" s="204">
        <v>0</v>
      </c>
      <c r="BZ42" s="203" t="s">
        <v>151</v>
      </c>
      <c r="CA42" s="201">
        <v>0</v>
      </c>
      <c r="CB42" s="201">
        <v>0</v>
      </c>
      <c r="CC42" s="202" t="str">
        <f t="shared" si="86"/>
        <v/>
      </c>
      <c r="CD42" s="203" t="s">
        <v>151</v>
      </c>
      <c r="CE42" s="204">
        <v>0</v>
      </c>
      <c r="CF42" s="203" t="s">
        <v>151</v>
      </c>
      <c r="CG42" s="201">
        <v>0</v>
      </c>
      <c r="CH42" s="201">
        <v>0</v>
      </c>
      <c r="CI42" s="202" t="str">
        <f t="shared" si="87"/>
        <v/>
      </c>
      <c r="CJ42" s="203" t="s">
        <v>151</v>
      </c>
      <c r="CK42" s="204">
        <v>0</v>
      </c>
      <c r="CL42" s="203" t="s">
        <v>151</v>
      </c>
      <c r="CM42" s="201">
        <v>0</v>
      </c>
      <c r="CN42" s="201">
        <v>0</v>
      </c>
      <c r="CO42" s="202" t="str">
        <f t="shared" si="88"/>
        <v/>
      </c>
      <c r="CP42" s="203" t="s">
        <v>151</v>
      </c>
      <c r="CQ42" s="204">
        <v>0</v>
      </c>
      <c r="CR42" s="203" t="s">
        <v>151</v>
      </c>
      <c r="CS42" s="201">
        <v>1</v>
      </c>
      <c r="CT42" s="201">
        <v>1</v>
      </c>
      <c r="CU42" s="202">
        <f t="shared" si="89"/>
        <v>1</v>
      </c>
      <c r="CV42" s="203" t="s">
        <v>151</v>
      </c>
      <c r="CW42" s="204">
        <v>0</v>
      </c>
      <c r="CX42" s="203" t="s">
        <v>151</v>
      </c>
      <c r="CY42" s="201">
        <v>0</v>
      </c>
      <c r="CZ42" s="201">
        <v>0</v>
      </c>
      <c r="DA42" s="202" t="str">
        <f t="shared" si="90"/>
        <v/>
      </c>
      <c r="DB42" s="203" t="s">
        <v>151</v>
      </c>
      <c r="DC42" s="204">
        <v>0</v>
      </c>
      <c r="DD42" s="203" t="s">
        <v>151</v>
      </c>
      <c r="DE42" s="201">
        <v>0</v>
      </c>
      <c r="DF42" s="201">
        <v>0</v>
      </c>
      <c r="DG42" s="202" t="str">
        <f t="shared" si="91"/>
        <v/>
      </c>
      <c r="DH42" s="203" t="s">
        <v>151</v>
      </c>
      <c r="DI42" s="204">
        <v>0</v>
      </c>
      <c r="DJ42" s="203" t="s">
        <v>151</v>
      </c>
      <c r="DK42" s="201">
        <v>32</v>
      </c>
      <c r="DL42" s="201">
        <v>32</v>
      </c>
      <c r="DM42" s="202">
        <f t="shared" si="101"/>
        <v>1</v>
      </c>
      <c r="DN42" s="203" t="s">
        <v>151</v>
      </c>
      <c r="DO42" s="204">
        <v>0</v>
      </c>
      <c r="DP42" s="203" t="s">
        <v>151</v>
      </c>
      <c r="DQ42" s="201">
        <v>0</v>
      </c>
      <c r="DR42" s="201">
        <v>0</v>
      </c>
      <c r="DS42" s="202" t="str">
        <f t="shared" si="93"/>
        <v/>
      </c>
      <c r="DT42" s="203" t="s">
        <v>151</v>
      </c>
      <c r="DU42" s="203">
        <v>0</v>
      </c>
      <c r="DV42" s="203" t="s">
        <v>151</v>
      </c>
      <c r="DW42" s="201">
        <v>0</v>
      </c>
      <c r="DX42" s="201">
        <v>0</v>
      </c>
      <c r="DY42" s="202" t="str">
        <f t="shared" si="94"/>
        <v/>
      </c>
      <c r="DZ42" s="203" t="s">
        <v>151</v>
      </c>
      <c r="EA42" s="204">
        <v>0</v>
      </c>
      <c r="EB42" s="203" t="s">
        <v>151</v>
      </c>
      <c r="EC42" s="201">
        <v>1</v>
      </c>
      <c r="ED42" s="201">
        <v>1</v>
      </c>
      <c r="EE42" s="202">
        <f t="shared" si="95"/>
        <v>1</v>
      </c>
      <c r="EF42" s="203" t="s">
        <v>151</v>
      </c>
      <c r="EG42" s="204">
        <v>1</v>
      </c>
      <c r="EH42" s="203" t="s">
        <v>331</v>
      </c>
      <c r="EI42" s="201">
        <v>7</v>
      </c>
      <c r="EJ42" s="201">
        <v>6</v>
      </c>
      <c r="EK42" s="202">
        <f t="shared" si="96"/>
        <v>0.8571428571428571</v>
      </c>
      <c r="EL42" s="203" t="s">
        <v>369</v>
      </c>
      <c r="EM42" s="204">
        <v>3</v>
      </c>
      <c r="EN42" s="203" t="s">
        <v>331</v>
      </c>
      <c r="EO42" s="201">
        <v>0</v>
      </c>
      <c r="EP42" s="201">
        <v>0</v>
      </c>
      <c r="EQ42" s="202" t="str">
        <f t="shared" si="97"/>
        <v/>
      </c>
      <c r="ER42" s="203" t="s">
        <v>151</v>
      </c>
      <c r="ES42" s="204">
        <v>0</v>
      </c>
      <c r="ET42" s="203" t="s">
        <v>151</v>
      </c>
      <c r="EU42" s="201">
        <v>2</v>
      </c>
      <c r="EV42" s="201">
        <v>2</v>
      </c>
      <c r="EW42" s="202">
        <f t="shared" si="98"/>
        <v>1</v>
      </c>
      <c r="EX42" s="203" t="s">
        <v>151</v>
      </c>
      <c r="EY42" s="204">
        <v>0</v>
      </c>
      <c r="EZ42" s="203" t="s">
        <v>151</v>
      </c>
      <c r="FA42" s="201">
        <v>4</v>
      </c>
      <c r="FB42" s="201">
        <v>4</v>
      </c>
      <c r="FC42" s="202">
        <f t="shared" si="99"/>
        <v>1</v>
      </c>
      <c r="FD42" s="203" t="s">
        <v>151</v>
      </c>
      <c r="FE42" s="204">
        <v>1</v>
      </c>
      <c r="FF42" s="203" t="s">
        <v>331</v>
      </c>
      <c r="FG42" s="201">
        <v>0</v>
      </c>
      <c r="FH42" s="201">
        <v>0</v>
      </c>
      <c r="FI42" s="202" t="str">
        <f t="shared" si="100"/>
        <v/>
      </c>
      <c r="FJ42" s="203" t="s">
        <v>151</v>
      </c>
      <c r="FK42" s="204">
        <v>0</v>
      </c>
      <c r="FL42" s="203" t="s">
        <v>151</v>
      </c>
      <c r="FM42" s="201">
        <v>1</v>
      </c>
      <c r="FN42" s="201">
        <v>1</v>
      </c>
      <c r="FO42" s="202">
        <f t="shared" si="75"/>
        <v>1</v>
      </c>
      <c r="FP42" s="203" t="s">
        <v>151</v>
      </c>
      <c r="FQ42" s="204">
        <v>0</v>
      </c>
      <c r="FR42" s="203" t="s">
        <v>151</v>
      </c>
      <c r="FS42" s="201">
        <v>10</v>
      </c>
      <c r="FT42" s="201">
        <v>4</v>
      </c>
      <c r="FU42" s="202">
        <f t="shared" si="76"/>
        <v>0.4</v>
      </c>
      <c r="FV42" s="203" t="s">
        <v>561</v>
      </c>
      <c r="FW42" s="204">
        <v>6</v>
      </c>
      <c r="FX42" s="203" t="s">
        <v>434</v>
      </c>
      <c r="FY42" s="201">
        <v>0</v>
      </c>
      <c r="FZ42" s="201">
        <v>0</v>
      </c>
      <c r="GA42" s="202" t="str">
        <f t="shared" si="77"/>
        <v/>
      </c>
      <c r="GB42" s="203" t="s">
        <v>151</v>
      </c>
      <c r="GC42" s="204">
        <v>0</v>
      </c>
      <c r="GD42" s="203" t="s">
        <v>151</v>
      </c>
      <c r="GE42" s="203" t="s">
        <v>437</v>
      </c>
      <c r="GF42" s="203" t="s">
        <v>439</v>
      </c>
      <c r="GG42" s="204" t="s">
        <v>152</v>
      </c>
      <c r="GH42" s="204" t="s">
        <v>151</v>
      </c>
      <c r="GI42" s="204" t="s">
        <v>152</v>
      </c>
      <c r="GJ42" s="204" t="s">
        <v>152</v>
      </c>
      <c r="GK42" s="203" t="s">
        <v>151</v>
      </c>
      <c r="GL42" s="204" t="s">
        <v>152</v>
      </c>
      <c r="GM42" s="204" t="s">
        <v>152</v>
      </c>
      <c r="GN42" s="204" t="s">
        <v>152</v>
      </c>
      <c r="GO42" s="204" t="s">
        <v>152</v>
      </c>
      <c r="GP42" s="204" t="s">
        <v>151</v>
      </c>
      <c r="GQ42" s="204" t="s">
        <v>151</v>
      </c>
      <c r="GR42" s="100"/>
      <c r="GS42" s="101"/>
      <c r="GT42" s="204" t="s">
        <v>152</v>
      </c>
      <c r="GU42" s="204"/>
      <c r="GV42" s="204"/>
      <c r="GW42" s="145" t="s">
        <v>152</v>
      </c>
      <c r="GX42" s="145"/>
      <c r="GY42" s="204" t="s">
        <v>149</v>
      </c>
      <c r="GZ42" s="204" t="s">
        <v>457</v>
      </c>
      <c r="HA42" s="204"/>
      <c r="HB42" s="204"/>
      <c r="HC42" s="204"/>
      <c r="HD42" s="204"/>
      <c r="HE42" s="204"/>
      <c r="HF42" s="204"/>
      <c r="HG42" s="204" t="s">
        <v>457</v>
      </c>
      <c r="HH42" s="204"/>
      <c r="HI42" s="204"/>
      <c r="HJ42" s="204"/>
      <c r="HK42" s="204"/>
      <c r="HL42" s="204"/>
      <c r="HM42" s="204"/>
      <c r="HN42" s="204"/>
      <c r="HO42" s="204"/>
      <c r="HP42" s="204"/>
      <c r="HQ42" s="204"/>
      <c r="HR42" s="204"/>
      <c r="HS42" s="204" t="s">
        <v>673</v>
      </c>
      <c r="HT42" s="203" t="s">
        <v>717</v>
      </c>
      <c r="HU42" s="204" t="s">
        <v>457</v>
      </c>
      <c r="HV42" s="204"/>
      <c r="HW42" s="204"/>
      <c r="HX42" s="204"/>
      <c r="HY42" s="204"/>
      <c r="HZ42" s="204" t="s">
        <v>457</v>
      </c>
      <c r="IA42" s="204"/>
      <c r="IB42" s="204"/>
      <c r="IC42" s="204"/>
      <c r="ID42" s="204"/>
      <c r="IE42" s="204"/>
      <c r="IF42" s="204"/>
      <c r="IG42" s="204" t="s">
        <v>152</v>
      </c>
      <c r="IH42" s="204"/>
      <c r="II42" s="203" t="s">
        <v>768</v>
      </c>
      <c r="IJ42" s="140" t="str">
        <f t="shared" si="2"/>
        <v>○</v>
      </c>
    </row>
    <row r="43" spans="1:244" s="93" customFormat="1" ht="120.45" customHeight="1">
      <c r="A43" s="97" t="s">
        <v>530</v>
      </c>
      <c r="B43" s="204" t="s">
        <v>205</v>
      </c>
      <c r="C43" s="198" t="s">
        <v>457</v>
      </c>
      <c r="D43" s="198" t="s">
        <v>151</v>
      </c>
      <c r="E43" s="203" t="s">
        <v>151</v>
      </c>
      <c r="F43" s="198" t="s">
        <v>152</v>
      </c>
      <c r="G43" s="198" t="s">
        <v>151</v>
      </c>
      <c r="H43" s="203" t="s">
        <v>151</v>
      </c>
      <c r="I43" s="198" t="s">
        <v>152</v>
      </c>
      <c r="J43" s="198" t="s">
        <v>151</v>
      </c>
      <c r="K43" s="203" t="s">
        <v>151</v>
      </c>
      <c r="L43" s="198" t="s">
        <v>152</v>
      </c>
      <c r="M43" s="198" t="s">
        <v>151</v>
      </c>
      <c r="N43" s="203" t="s">
        <v>151</v>
      </c>
      <c r="O43" s="198" t="s">
        <v>152</v>
      </c>
      <c r="P43" s="198" t="s">
        <v>151</v>
      </c>
      <c r="Q43" s="203" t="s">
        <v>151</v>
      </c>
      <c r="R43" s="198" t="s">
        <v>152</v>
      </c>
      <c r="S43" s="198" t="s">
        <v>151</v>
      </c>
      <c r="T43" s="203" t="s">
        <v>151</v>
      </c>
      <c r="U43" s="198" t="s">
        <v>152</v>
      </c>
      <c r="V43" s="198" t="s">
        <v>151</v>
      </c>
      <c r="W43" s="203" t="s">
        <v>151</v>
      </c>
      <c r="X43" s="204" t="s">
        <v>152</v>
      </c>
      <c r="Y43" s="204"/>
      <c r="Z43" s="204"/>
      <c r="AA43" s="98" t="str">
        <f>IF(OR(X43="○",Y43="○"),"○","")</f>
        <v>○</v>
      </c>
      <c r="AB43" s="204"/>
      <c r="AC43" s="204"/>
      <c r="AD43" s="98" t="str">
        <f>IF(AND(Z43="○",AB43="○"),"○","")</f>
        <v/>
      </c>
      <c r="AE43" s="99"/>
      <c r="AF43" s="203"/>
      <c r="AG43" s="203"/>
      <c r="AH43" s="198" t="s">
        <v>160</v>
      </c>
      <c r="AI43" s="198" t="s">
        <v>151</v>
      </c>
      <c r="AJ43" s="203" t="s">
        <v>151</v>
      </c>
      <c r="AK43" s="198" t="s">
        <v>152</v>
      </c>
      <c r="AL43" s="198" t="s">
        <v>151</v>
      </c>
      <c r="AM43" s="203" t="s">
        <v>151</v>
      </c>
      <c r="AN43" s="198" t="s">
        <v>152</v>
      </c>
      <c r="AO43" s="198" t="s">
        <v>151</v>
      </c>
      <c r="AP43" s="203" t="s">
        <v>151</v>
      </c>
      <c r="AQ43" s="198" t="s">
        <v>152</v>
      </c>
      <c r="AR43" s="198" t="s">
        <v>151</v>
      </c>
      <c r="AS43" s="203" t="s">
        <v>151</v>
      </c>
      <c r="AT43" s="198" t="s">
        <v>152</v>
      </c>
      <c r="AU43" s="198" t="s">
        <v>151</v>
      </c>
      <c r="AV43" s="203" t="s">
        <v>151</v>
      </c>
      <c r="AW43" s="201">
        <v>3</v>
      </c>
      <c r="AX43" s="201">
        <v>3</v>
      </c>
      <c r="AY43" s="202">
        <f t="shared" si="81"/>
        <v>1</v>
      </c>
      <c r="AZ43" s="203" t="s">
        <v>151</v>
      </c>
      <c r="BA43" s="204">
        <v>0</v>
      </c>
      <c r="BB43" s="203" t="s">
        <v>151</v>
      </c>
      <c r="BC43" s="201">
        <v>2</v>
      </c>
      <c r="BD43" s="201">
        <v>2</v>
      </c>
      <c r="BE43" s="202">
        <f t="shared" si="82"/>
        <v>1</v>
      </c>
      <c r="BF43" s="203" t="s">
        <v>151</v>
      </c>
      <c r="BG43" s="204">
        <v>0</v>
      </c>
      <c r="BH43" s="203" t="s">
        <v>151</v>
      </c>
      <c r="BI43" s="201">
        <v>2</v>
      </c>
      <c r="BJ43" s="201">
        <v>2</v>
      </c>
      <c r="BK43" s="202">
        <f t="shared" si="83"/>
        <v>1</v>
      </c>
      <c r="BL43" s="203" t="s">
        <v>151</v>
      </c>
      <c r="BM43" s="204">
        <v>0</v>
      </c>
      <c r="BN43" s="203" t="s">
        <v>151</v>
      </c>
      <c r="BO43" s="201">
        <v>1</v>
      </c>
      <c r="BP43" s="201">
        <v>0</v>
      </c>
      <c r="BQ43" s="202">
        <f t="shared" si="84"/>
        <v>0</v>
      </c>
      <c r="BR43" s="203" t="s">
        <v>246</v>
      </c>
      <c r="BS43" s="204">
        <v>0</v>
      </c>
      <c r="BT43" s="203" t="s">
        <v>151</v>
      </c>
      <c r="BU43" s="201">
        <v>4</v>
      </c>
      <c r="BV43" s="201">
        <v>3</v>
      </c>
      <c r="BW43" s="202">
        <f t="shared" si="85"/>
        <v>0.75</v>
      </c>
      <c r="BX43" s="203" t="s">
        <v>247</v>
      </c>
      <c r="BY43" s="204">
        <v>0</v>
      </c>
      <c r="BZ43" s="203" t="s">
        <v>151</v>
      </c>
      <c r="CA43" s="201">
        <v>0</v>
      </c>
      <c r="CB43" s="201">
        <v>0</v>
      </c>
      <c r="CC43" s="202" t="str">
        <f t="shared" si="86"/>
        <v/>
      </c>
      <c r="CD43" s="203" t="s">
        <v>151</v>
      </c>
      <c r="CE43" s="204">
        <v>0</v>
      </c>
      <c r="CF43" s="203" t="s">
        <v>151</v>
      </c>
      <c r="CG43" s="201">
        <v>6</v>
      </c>
      <c r="CH43" s="201">
        <v>6</v>
      </c>
      <c r="CI43" s="202">
        <f t="shared" si="87"/>
        <v>1</v>
      </c>
      <c r="CJ43" s="203" t="s">
        <v>151</v>
      </c>
      <c r="CK43" s="204">
        <v>0</v>
      </c>
      <c r="CL43" s="203" t="s">
        <v>151</v>
      </c>
      <c r="CM43" s="201">
        <v>1</v>
      </c>
      <c r="CN43" s="201">
        <v>1</v>
      </c>
      <c r="CO43" s="202">
        <f t="shared" si="88"/>
        <v>1</v>
      </c>
      <c r="CP43" s="203" t="s">
        <v>151</v>
      </c>
      <c r="CQ43" s="204">
        <v>0</v>
      </c>
      <c r="CR43" s="203" t="s">
        <v>151</v>
      </c>
      <c r="CS43" s="201">
        <v>2</v>
      </c>
      <c r="CT43" s="201">
        <v>2</v>
      </c>
      <c r="CU43" s="202">
        <f t="shared" si="89"/>
        <v>1</v>
      </c>
      <c r="CV43" s="203" t="s">
        <v>151</v>
      </c>
      <c r="CW43" s="204">
        <v>0</v>
      </c>
      <c r="CX43" s="203" t="s">
        <v>151</v>
      </c>
      <c r="CY43" s="201">
        <v>1</v>
      </c>
      <c r="CZ43" s="201">
        <v>0</v>
      </c>
      <c r="DA43" s="202">
        <f t="shared" si="90"/>
        <v>0</v>
      </c>
      <c r="DB43" s="203" t="s">
        <v>277</v>
      </c>
      <c r="DC43" s="204">
        <v>0</v>
      </c>
      <c r="DD43" s="203" t="s">
        <v>151</v>
      </c>
      <c r="DE43" s="201">
        <v>7</v>
      </c>
      <c r="DF43" s="201">
        <v>2</v>
      </c>
      <c r="DG43" s="202">
        <f t="shared" si="91"/>
        <v>0.2857142857142857</v>
      </c>
      <c r="DH43" s="203" t="s">
        <v>481</v>
      </c>
      <c r="DI43" s="204">
        <v>0</v>
      </c>
      <c r="DJ43" s="203" t="s">
        <v>151</v>
      </c>
      <c r="DK43" s="201">
        <v>110</v>
      </c>
      <c r="DL43" s="201">
        <v>110</v>
      </c>
      <c r="DM43" s="202">
        <f t="shared" si="101"/>
        <v>1</v>
      </c>
      <c r="DN43" s="203" t="s">
        <v>151</v>
      </c>
      <c r="DO43" s="204">
        <v>0</v>
      </c>
      <c r="DP43" s="203" t="s">
        <v>151</v>
      </c>
      <c r="DQ43" s="201">
        <v>1</v>
      </c>
      <c r="DR43" s="201">
        <v>1</v>
      </c>
      <c r="DS43" s="202">
        <f t="shared" si="93"/>
        <v>1</v>
      </c>
      <c r="DT43" s="203" t="s">
        <v>151</v>
      </c>
      <c r="DU43" s="203">
        <v>0</v>
      </c>
      <c r="DV43" s="203" t="s">
        <v>151</v>
      </c>
      <c r="DW43" s="201">
        <v>0</v>
      </c>
      <c r="DX43" s="201">
        <v>0</v>
      </c>
      <c r="DY43" s="202" t="str">
        <f t="shared" si="94"/>
        <v/>
      </c>
      <c r="DZ43" s="203" t="s">
        <v>151</v>
      </c>
      <c r="EA43" s="204">
        <v>0</v>
      </c>
      <c r="EB43" s="203" t="s">
        <v>151</v>
      </c>
      <c r="EC43" s="201">
        <v>1</v>
      </c>
      <c r="ED43" s="201">
        <v>0</v>
      </c>
      <c r="EE43" s="202">
        <f t="shared" si="95"/>
        <v>0</v>
      </c>
      <c r="EF43" s="203" t="s">
        <v>332</v>
      </c>
      <c r="EG43" s="204">
        <v>1</v>
      </c>
      <c r="EH43" s="203" t="s">
        <v>333</v>
      </c>
      <c r="EI43" s="201">
        <v>5</v>
      </c>
      <c r="EJ43" s="201">
        <v>2</v>
      </c>
      <c r="EK43" s="202">
        <f t="shared" si="96"/>
        <v>0.4</v>
      </c>
      <c r="EL43" s="203" t="s">
        <v>370</v>
      </c>
      <c r="EM43" s="204">
        <v>5</v>
      </c>
      <c r="EN43" s="203" t="s">
        <v>371</v>
      </c>
      <c r="EO43" s="201">
        <v>0</v>
      </c>
      <c r="EP43" s="201">
        <v>0</v>
      </c>
      <c r="EQ43" s="202" t="str">
        <f t="shared" si="97"/>
        <v/>
      </c>
      <c r="ER43" s="203" t="s">
        <v>151</v>
      </c>
      <c r="ES43" s="204">
        <v>0</v>
      </c>
      <c r="ET43" s="203" t="s">
        <v>151</v>
      </c>
      <c r="EU43" s="201">
        <v>3</v>
      </c>
      <c r="EV43" s="201">
        <v>3</v>
      </c>
      <c r="EW43" s="202">
        <f t="shared" si="98"/>
        <v>1</v>
      </c>
      <c r="EX43" s="203" t="s">
        <v>151</v>
      </c>
      <c r="EY43" s="204">
        <v>0</v>
      </c>
      <c r="EZ43" s="203" t="s">
        <v>151</v>
      </c>
      <c r="FA43" s="201">
        <v>2</v>
      </c>
      <c r="FB43" s="201">
        <v>1</v>
      </c>
      <c r="FC43" s="202">
        <f t="shared" si="99"/>
        <v>0.5</v>
      </c>
      <c r="FD43" s="203" t="s">
        <v>398</v>
      </c>
      <c r="FE43" s="204">
        <v>1</v>
      </c>
      <c r="FF43" s="203" t="s">
        <v>399</v>
      </c>
      <c r="FG43" s="201">
        <v>0</v>
      </c>
      <c r="FH43" s="201">
        <v>0</v>
      </c>
      <c r="FI43" s="202" t="str">
        <f t="shared" si="100"/>
        <v/>
      </c>
      <c r="FJ43" s="203" t="s">
        <v>151</v>
      </c>
      <c r="FK43" s="204">
        <v>0</v>
      </c>
      <c r="FL43" s="203" t="s">
        <v>151</v>
      </c>
      <c r="FM43" s="201">
        <v>0</v>
      </c>
      <c r="FN43" s="201">
        <v>0</v>
      </c>
      <c r="FO43" s="202" t="str">
        <f t="shared" si="75"/>
        <v/>
      </c>
      <c r="FP43" s="203" t="s">
        <v>151</v>
      </c>
      <c r="FQ43" s="204">
        <v>0</v>
      </c>
      <c r="FR43" s="203" t="s">
        <v>151</v>
      </c>
      <c r="FS43" s="201">
        <v>7</v>
      </c>
      <c r="FT43" s="201">
        <v>5</v>
      </c>
      <c r="FU43" s="202">
        <f t="shared" si="76"/>
        <v>0.7142857142857143</v>
      </c>
      <c r="FV43" s="203" t="s">
        <v>531</v>
      </c>
      <c r="FW43" s="204">
        <v>2</v>
      </c>
      <c r="FX43" s="203" t="s">
        <v>532</v>
      </c>
      <c r="FY43" s="201">
        <v>0</v>
      </c>
      <c r="FZ43" s="201">
        <v>0</v>
      </c>
      <c r="GA43" s="202" t="str">
        <f t="shared" si="77"/>
        <v/>
      </c>
      <c r="GB43" s="203" t="s">
        <v>151</v>
      </c>
      <c r="GC43" s="204">
        <v>0</v>
      </c>
      <c r="GD43" s="203" t="s">
        <v>151</v>
      </c>
      <c r="GE43" s="203" t="s">
        <v>437</v>
      </c>
      <c r="GF43" s="203" t="s">
        <v>439</v>
      </c>
      <c r="GG43" s="204" t="s">
        <v>152</v>
      </c>
      <c r="GH43" s="204" t="s">
        <v>152</v>
      </c>
      <c r="GI43" s="204" t="s">
        <v>152</v>
      </c>
      <c r="GJ43" s="204" t="s">
        <v>151</v>
      </c>
      <c r="GK43" s="203" t="s">
        <v>151</v>
      </c>
      <c r="GL43" s="204" t="s">
        <v>152</v>
      </c>
      <c r="GM43" s="204" t="s">
        <v>152</v>
      </c>
      <c r="GN43" s="204" t="s">
        <v>151</v>
      </c>
      <c r="GO43" s="204" t="s">
        <v>151</v>
      </c>
      <c r="GP43" s="204" t="s">
        <v>152</v>
      </c>
      <c r="GQ43" s="204" t="s">
        <v>152</v>
      </c>
      <c r="GR43" s="100" t="s">
        <v>152</v>
      </c>
      <c r="GS43" s="101"/>
      <c r="GT43" s="204" t="s">
        <v>152</v>
      </c>
      <c r="GU43" s="204"/>
      <c r="GV43" s="204"/>
      <c r="GW43" s="145" t="s">
        <v>152</v>
      </c>
      <c r="GX43" s="145"/>
      <c r="GY43" s="204" t="s">
        <v>149</v>
      </c>
      <c r="GZ43" s="203" t="s">
        <v>457</v>
      </c>
      <c r="HA43" s="203"/>
      <c r="HB43" s="203"/>
      <c r="HC43" s="203"/>
      <c r="HD43" s="203"/>
      <c r="HE43" s="203"/>
      <c r="HF43" s="203"/>
      <c r="HG43" s="203" t="s">
        <v>457</v>
      </c>
      <c r="HH43" s="203"/>
      <c r="HI43" s="203"/>
      <c r="HJ43" s="203"/>
      <c r="HK43" s="203"/>
      <c r="HL43" s="203"/>
      <c r="HM43" s="203"/>
      <c r="HN43" s="203" t="s">
        <v>457</v>
      </c>
      <c r="HO43" s="203"/>
      <c r="HP43" s="203"/>
      <c r="HQ43" s="203"/>
      <c r="HR43" s="203"/>
      <c r="HS43" s="203"/>
      <c r="HT43" s="203"/>
      <c r="HU43" s="203" t="s">
        <v>457</v>
      </c>
      <c r="HV43" s="203"/>
      <c r="HW43" s="203"/>
      <c r="HX43" s="203"/>
      <c r="HY43" s="203"/>
      <c r="HZ43" s="203" t="s">
        <v>457</v>
      </c>
      <c r="IA43" s="203"/>
      <c r="IB43" s="203"/>
      <c r="IC43" s="203"/>
      <c r="ID43" s="203"/>
      <c r="IE43" s="203"/>
      <c r="IF43" s="204" t="s">
        <v>457</v>
      </c>
      <c r="IG43" s="203"/>
      <c r="IH43" s="203"/>
      <c r="II43" s="203" t="s">
        <v>782</v>
      </c>
      <c r="IJ43" s="140" t="str">
        <f t="shared" si="2"/>
        <v>○</v>
      </c>
    </row>
    <row r="44" spans="1:244" s="93" customFormat="1" ht="134.25" customHeight="1">
      <c r="A44" s="97" t="s">
        <v>206</v>
      </c>
      <c r="B44" s="204" t="s">
        <v>207</v>
      </c>
      <c r="C44" s="198" t="s">
        <v>152</v>
      </c>
      <c r="D44" s="198" t="s">
        <v>151</v>
      </c>
      <c r="E44" s="203" t="s">
        <v>151</v>
      </c>
      <c r="F44" s="198" t="s">
        <v>152</v>
      </c>
      <c r="G44" s="198" t="s">
        <v>151</v>
      </c>
      <c r="H44" s="203" t="s">
        <v>151</v>
      </c>
      <c r="I44" s="198" t="s">
        <v>152</v>
      </c>
      <c r="J44" s="198" t="s">
        <v>151</v>
      </c>
      <c r="K44" s="203" t="s">
        <v>151</v>
      </c>
      <c r="L44" s="198" t="s">
        <v>152</v>
      </c>
      <c r="M44" s="198" t="s">
        <v>151</v>
      </c>
      <c r="N44" s="203" t="s">
        <v>151</v>
      </c>
      <c r="O44" s="198" t="s">
        <v>152</v>
      </c>
      <c r="P44" s="198" t="s">
        <v>151</v>
      </c>
      <c r="Q44" s="203" t="s">
        <v>151</v>
      </c>
      <c r="R44" s="198" t="s">
        <v>152</v>
      </c>
      <c r="S44" s="198" t="s">
        <v>151</v>
      </c>
      <c r="T44" s="203" t="s">
        <v>151</v>
      </c>
      <c r="U44" s="198" t="s">
        <v>160</v>
      </c>
      <c r="V44" s="198" t="s">
        <v>151</v>
      </c>
      <c r="W44" s="203" t="s">
        <v>151</v>
      </c>
      <c r="X44" s="204"/>
      <c r="Y44" s="204"/>
      <c r="Z44" s="204" t="s">
        <v>152</v>
      </c>
      <c r="AA44" s="98" t="str">
        <f t="shared" ref="AA44:AA49" si="102">IF(OR(X44="○",Y44="○"),"○","")</f>
        <v/>
      </c>
      <c r="AB44" s="204" t="s">
        <v>152</v>
      </c>
      <c r="AC44" s="204"/>
      <c r="AD44" s="98" t="str">
        <f t="shared" ref="AD44:AD52" si="103">IF(AND(Z44="○",AB44="○"),"○","")</f>
        <v>○</v>
      </c>
      <c r="AE44" s="99" t="s">
        <v>229</v>
      </c>
      <c r="AF44" s="203" t="s">
        <v>234</v>
      </c>
      <c r="AG44" s="203"/>
      <c r="AH44" s="198" t="s">
        <v>160</v>
      </c>
      <c r="AI44" s="198" t="s">
        <v>151</v>
      </c>
      <c r="AJ44" s="203" t="s">
        <v>151</v>
      </c>
      <c r="AK44" s="198" t="s">
        <v>152</v>
      </c>
      <c r="AL44" s="198" t="s">
        <v>151</v>
      </c>
      <c r="AM44" s="203" t="s">
        <v>151</v>
      </c>
      <c r="AN44" s="198" t="s">
        <v>152</v>
      </c>
      <c r="AO44" s="198" t="s">
        <v>151</v>
      </c>
      <c r="AP44" s="203" t="s">
        <v>151</v>
      </c>
      <c r="AQ44" s="198" t="s">
        <v>152</v>
      </c>
      <c r="AR44" s="198" t="s">
        <v>151</v>
      </c>
      <c r="AS44" s="203" t="s">
        <v>151</v>
      </c>
      <c r="AT44" s="198" t="s">
        <v>152</v>
      </c>
      <c r="AU44" s="198" t="s">
        <v>151</v>
      </c>
      <c r="AV44" s="203" t="s">
        <v>151</v>
      </c>
      <c r="AW44" s="201">
        <v>7</v>
      </c>
      <c r="AX44" s="201">
        <v>7</v>
      </c>
      <c r="AY44" s="202">
        <f t="shared" si="81"/>
        <v>1</v>
      </c>
      <c r="AZ44" s="203"/>
      <c r="BA44" s="204">
        <v>0</v>
      </c>
      <c r="BB44" s="203" t="s">
        <v>151</v>
      </c>
      <c r="BC44" s="201">
        <v>15</v>
      </c>
      <c r="BD44" s="201">
        <v>15</v>
      </c>
      <c r="BE44" s="202">
        <f t="shared" si="82"/>
        <v>1</v>
      </c>
      <c r="BF44" s="203"/>
      <c r="BG44" s="204">
        <v>0</v>
      </c>
      <c r="BH44" s="203"/>
      <c r="BI44" s="201">
        <v>3</v>
      </c>
      <c r="BJ44" s="201">
        <v>3</v>
      </c>
      <c r="BK44" s="202">
        <f t="shared" si="83"/>
        <v>1</v>
      </c>
      <c r="BL44" s="203"/>
      <c r="BM44" s="204">
        <v>0</v>
      </c>
      <c r="BN44" s="203"/>
      <c r="BO44" s="201">
        <v>0</v>
      </c>
      <c r="BP44" s="201">
        <v>0</v>
      </c>
      <c r="BQ44" s="202" t="str">
        <f t="shared" si="84"/>
        <v/>
      </c>
      <c r="BR44" s="203" t="s">
        <v>151</v>
      </c>
      <c r="BS44" s="204">
        <v>0</v>
      </c>
      <c r="BT44" s="203" t="s">
        <v>151</v>
      </c>
      <c r="BU44" s="201">
        <v>1</v>
      </c>
      <c r="BV44" s="201">
        <v>1</v>
      </c>
      <c r="BW44" s="202">
        <f t="shared" si="85"/>
        <v>1</v>
      </c>
      <c r="BX44" s="203" t="s">
        <v>151</v>
      </c>
      <c r="BY44" s="204">
        <v>0</v>
      </c>
      <c r="BZ44" s="203" t="s">
        <v>151</v>
      </c>
      <c r="CA44" s="201">
        <v>0</v>
      </c>
      <c r="CB44" s="201">
        <v>0</v>
      </c>
      <c r="CC44" s="202" t="str">
        <f t="shared" si="86"/>
        <v/>
      </c>
      <c r="CD44" s="203" t="s">
        <v>151</v>
      </c>
      <c r="CE44" s="204">
        <v>0</v>
      </c>
      <c r="CF44" s="203" t="s">
        <v>151</v>
      </c>
      <c r="CG44" s="201">
        <v>6</v>
      </c>
      <c r="CH44" s="201">
        <v>6</v>
      </c>
      <c r="CI44" s="202">
        <f t="shared" si="87"/>
        <v>1</v>
      </c>
      <c r="CJ44" s="203" t="s">
        <v>151</v>
      </c>
      <c r="CK44" s="204">
        <v>0</v>
      </c>
      <c r="CL44" s="203" t="s">
        <v>151</v>
      </c>
      <c r="CM44" s="201">
        <v>0</v>
      </c>
      <c r="CN44" s="201">
        <v>0</v>
      </c>
      <c r="CO44" s="202" t="str">
        <f t="shared" si="88"/>
        <v/>
      </c>
      <c r="CP44" s="203" t="s">
        <v>151</v>
      </c>
      <c r="CQ44" s="204">
        <v>0</v>
      </c>
      <c r="CR44" s="203" t="s">
        <v>151</v>
      </c>
      <c r="CS44" s="201">
        <v>2</v>
      </c>
      <c r="CT44" s="201">
        <v>2</v>
      </c>
      <c r="CU44" s="202">
        <f t="shared" si="89"/>
        <v>1</v>
      </c>
      <c r="CV44" s="203" t="s">
        <v>151</v>
      </c>
      <c r="CW44" s="204">
        <v>0</v>
      </c>
      <c r="CX44" s="203" t="s">
        <v>151</v>
      </c>
      <c r="CY44" s="201">
        <v>0</v>
      </c>
      <c r="CZ44" s="201">
        <v>0</v>
      </c>
      <c r="DA44" s="202" t="str">
        <f t="shared" si="90"/>
        <v/>
      </c>
      <c r="DB44" s="203" t="s">
        <v>151</v>
      </c>
      <c r="DC44" s="204">
        <v>0</v>
      </c>
      <c r="DD44" s="203" t="s">
        <v>151</v>
      </c>
      <c r="DE44" s="201">
        <v>6</v>
      </c>
      <c r="DF44" s="201">
        <v>5</v>
      </c>
      <c r="DG44" s="202">
        <f t="shared" si="91"/>
        <v>0.83333333333333337</v>
      </c>
      <c r="DH44" s="203" t="s">
        <v>482</v>
      </c>
      <c r="DI44" s="204">
        <v>0</v>
      </c>
      <c r="DJ44" s="203"/>
      <c r="DK44" s="201">
        <v>122</v>
      </c>
      <c r="DL44" s="201">
        <v>122</v>
      </c>
      <c r="DM44" s="202">
        <f t="shared" si="101"/>
        <v>1</v>
      </c>
      <c r="DN44" s="203" t="s">
        <v>151</v>
      </c>
      <c r="DO44" s="204">
        <v>0</v>
      </c>
      <c r="DP44" s="203" t="s">
        <v>151</v>
      </c>
      <c r="DQ44" s="201">
        <v>0</v>
      </c>
      <c r="DR44" s="201">
        <v>0</v>
      </c>
      <c r="DS44" s="202" t="str">
        <f t="shared" si="93"/>
        <v/>
      </c>
      <c r="DT44" s="203" t="s">
        <v>151</v>
      </c>
      <c r="DU44" s="203">
        <v>0</v>
      </c>
      <c r="DV44" s="203" t="s">
        <v>151</v>
      </c>
      <c r="DW44" s="201">
        <v>0</v>
      </c>
      <c r="DX44" s="201">
        <v>0</v>
      </c>
      <c r="DY44" s="202" t="str">
        <f t="shared" si="94"/>
        <v/>
      </c>
      <c r="DZ44" s="203" t="s">
        <v>151</v>
      </c>
      <c r="EA44" s="204">
        <v>0</v>
      </c>
      <c r="EB44" s="203" t="s">
        <v>151</v>
      </c>
      <c r="EC44" s="201">
        <v>1</v>
      </c>
      <c r="ED44" s="201">
        <v>0</v>
      </c>
      <c r="EE44" s="202">
        <f t="shared" si="95"/>
        <v>0</v>
      </c>
      <c r="EF44" s="203" t="s">
        <v>334</v>
      </c>
      <c r="EG44" s="204">
        <v>1</v>
      </c>
      <c r="EH44" s="203" t="s">
        <v>334</v>
      </c>
      <c r="EI44" s="201">
        <v>5</v>
      </c>
      <c r="EJ44" s="201">
        <v>3</v>
      </c>
      <c r="EK44" s="202">
        <f t="shared" si="96"/>
        <v>0.6</v>
      </c>
      <c r="EL44" s="203" t="s">
        <v>372</v>
      </c>
      <c r="EM44" s="204">
        <v>4</v>
      </c>
      <c r="EN44" s="203" t="s">
        <v>373</v>
      </c>
      <c r="EO44" s="201">
        <v>0</v>
      </c>
      <c r="EP44" s="201">
        <v>0</v>
      </c>
      <c r="EQ44" s="202" t="str">
        <f t="shared" si="97"/>
        <v/>
      </c>
      <c r="ER44" s="203" t="s">
        <v>151</v>
      </c>
      <c r="ES44" s="204">
        <v>0</v>
      </c>
      <c r="ET44" s="203" t="s">
        <v>151</v>
      </c>
      <c r="EU44" s="201">
        <v>3</v>
      </c>
      <c r="EV44" s="201">
        <v>3</v>
      </c>
      <c r="EW44" s="202">
        <f t="shared" si="98"/>
        <v>1</v>
      </c>
      <c r="EX44" s="203" t="s">
        <v>151</v>
      </c>
      <c r="EY44" s="204">
        <v>0</v>
      </c>
      <c r="EZ44" s="203" t="s">
        <v>151</v>
      </c>
      <c r="FA44" s="201">
        <v>8</v>
      </c>
      <c r="FB44" s="201">
        <v>6</v>
      </c>
      <c r="FC44" s="202">
        <f t="shared" si="99"/>
        <v>0.75</v>
      </c>
      <c r="FD44" s="203" t="s">
        <v>400</v>
      </c>
      <c r="FE44" s="204">
        <v>2</v>
      </c>
      <c r="FF44" s="203" t="s">
        <v>400</v>
      </c>
      <c r="FG44" s="201">
        <v>0</v>
      </c>
      <c r="FH44" s="201">
        <v>0</v>
      </c>
      <c r="FI44" s="202" t="str">
        <f t="shared" si="100"/>
        <v/>
      </c>
      <c r="FJ44" s="203"/>
      <c r="FK44" s="204">
        <v>0</v>
      </c>
      <c r="FL44" s="203"/>
      <c r="FM44" s="201">
        <v>0</v>
      </c>
      <c r="FN44" s="201">
        <v>0</v>
      </c>
      <c r="FO44" s="202" t="str">
        <f t="shared" si="75"/>
        <v/>
      </c>
      <c r="FP44" s="203" t="s">
        <v>151</v>
      </c>
      <c r="FQ44" s="204">
        <v>0</v>
      </c>
      <c r="FR44" s="203" t="s">
        <v>151</v>
      </c>
      <c r="FS44" s="201">
        <v>4</v>
      </c>
      <c r="FT44" s="201">
        <v>3</v>
      </c>
      <c r="FU44" s="202">
        <f t="shared" si="76"/>
        <v>0.75</v>
      </c>
      <c r="FV44" s="203" t="s">
        <v>493</v>
      </c>
      <c r="FW44" s="204">
        <v>1</v>
      </c>
      <c r="FX44" s="203" t="s">
        <v>493</v>
      </c>
      <c r="FY44" s="201">
        <v>0</v>
      </c>
      <c r="FZ44" s="201">
        <v>0</v>
      </c>
      <c r="GA44" s="202" t="str">
        <f t="shared" si="77"/>
        <v/>
      </c>
      <c r="GB44" s="203" t="s">
        <v>151</v>
      </c>
      <c r="GC44" s="204">
        <v>0</v>
      </c>
      <c r="GD44" s="203" t="s">
        <v>151</v>
      </c>
      <c r="GE44" s="203" t="s">
        <v>437</v>
      </c>
      <c r="GF44" s="203" t="s">
        <v>439</v>
      </c>
      <c r="GG44" s="204" t="s">
        <v>152</v>
      </c>
      <c r="GH44" s="204" t="s">
        <v>152</v>
      </c>
      <c r="GI44" s="204" t="s">
        <v>152</v>
      </c>
      <c r="GJ44" s="204" t="s">
        <v>151</v>
      </c>
      <c r="GK44" s="203" t="s">
        <v>151</v>
      </c>
      <c r="GL44" s="204" t="s">
        <v>152</v>
      </c>
      <c r="GM44" s="204" t="s">
        <v>152</v>
      </c>
      <c r="GN44" s="204" t="s">
        <v>151</v>
      </c>
      <c r="GO44" s="204" t="s">
        <v>152</v>
      </c>
      <c r="GP44" s="204" t="s">
        <v>151</v>
      </c>
      <c r="GQ44" s="204" t="s">
        <v>151</v>
      </c>
      <c r="GR44" s="100"/>
      <c r="GS44" s="101"/>
      <c r="GT44" s="204" t="s">
        <v>152</v>
      </c>
      <c r="GU44" s="204"/>
      <c r="GV44" s="204"/>
      <c r="GW44" s="145" t="s">
        <v>152</v>
      </c>
      <c r="GX44" s="145"/>
      <c r="GY44" s="204" t="s">
        <v>149</v>
      </c>
      <c r="GZ44" s="198" t="s">
        <v>152</v>
      </c>
      <c r="HA44" s="203"/>
      <c r="HB44" s="203"/>
      <c r="HC44" s="203"/>
      <c r="HD44" s="203"/>
      <c r="HE44" s="203"/>
      <c r="HF44" s="203"/>
      <c r="HG44" s="198" t="s">
        <v>152</v>
      </c>
      <c r="HH44" s="203"/>
      <c r="HI44" s="203"/>
      <c r="HJ44" s="203"/>
      <c r="HK44" s="203"/>
      <c r="HL44" s="203"/>
      <c r="HM44" s="203"/>
      <c r="HN44" s="203"/>
      <c r="HO44" s="203"/>
      <c r="HP44" s="203"/>
      <c r="HQ44" s="203"/>
      <c r="HR44" s="203"/>
      <c r="HS44" s="204" t="s">
        <v>152</v>
      </c>
      <c r="HT44" s="203" t="s">
        <v>718</v>
      </c>
      <c r="HU44" s="198" t="s">
        <v>152</v>
      </c>
      <c r="HV44" s="203"/>
      <c r="HW44" s="203"/>
      <c r="HX44" s="203"/>
      <c r="HY44" s="203"/>
      <c r="HZ44" s="198" t="s">
        <v>152</v>
      </c>
      <c r="IA44" s="203"/>
      <c r="IB44" s="203"/>
      <c r="IC44" s="203"/>
      <c r="ID44" s="203"/>
      <c r="IE44" s="203"/>
      <c r="IF44" s="203"/>
      <c r="IG44" s="204" t="s">
        <v>152</v>
      </c>
      <c r="IH44" s="106"/>
      <c r="II44" s="203" t="s">
        <v>719</v>
      </c>
      <c r="IJ44" s="140" t="str">
        <f t="shared" si="2"/>
        <v>○</v>
      </c>
    </row>
    <row r="45" spans="1:244" s="93" customFormat="1" ht="118.8">
      <c r="A45" s="97" t="s">
        <v>533</v>
      </c>
      <c r="B45" s="204" t="s">
        <v>208</v>
      </c>
      <c r="C45" s="198" t="s">
        <v>152</v>
      </c>
      <c r="D45" s="198" t="s">
        <v>151</v>
      </c>
      <c r="E45" s="203" t="s">
        <v>151</v>
      </c>
      <c r="F45" s="198" t="s">
        <v>152</v>
      </c>
      <c r="G45" s="198" t="s">
        <v>151</v>
      </c>
      <c r="H45" s="203" t="s">
        <v>151</v>
      </c>
      <c r="I45" s="198" t="s">
        <v>152</v>
      </c>
      <c r="J45" s="198" t="s">
        <v>151</v>
      </c>
      <c r="K45" s="203" t="s">
        <v>151</v>
      </c>
      <c r="L45" s="198" t="s">
        <v>152</v>
      </c>
      <c r="M45" s="198" t="s">
        <v>151</v>
      </c>
      <c r="N45" s="203" t="s">
        <v>151</v>
      </c>
      <c r="O45" s="198" t="s">
        <v>152</v>
      </c>
      <c r="P45" s="198" t="s">
        <v>151</v>
      </c>
      <c r="Q45" s="203" t="s">
        <v>151</v>
      </c>
      <c r="R45" s="198" t="s">
        <v>152</v>
      </c>
      <c r="S45" s="198" t="s">
        <v>151</v>
      </c>
      <c r="T45" s="203" t="s">
        <v>151</v>
      </c>
      <c r="U45" s="198" t="s">
        <v>152</v>
      </c>
      <c r="V45" s="198" t="s">
        <v>151</v>
      </c>
      <c r="W45" s="203" t="s">
        <v>151</v>
      </c>
      <c r="X45" s="204"/>
      <c r="Y45" s="204" t="s">
        <v>152</v>
      </c>
      <c r="Z45" s="204"/>
      <c r="AA45" s="98" t="str">
        <f t="shared" si="102"/>
        <v>○</v>
      </c>
      <c r="AB45" s="204" t="s">
        <v>152</v>
      </c>
      <c r="AC45" s="204"/>
      <c r="AD45" s="98" t="str">
        <f t="shared" si="103"/>
        <v/>
      </c>
      <c r="AE45" s="99"/>
      <c r="AF45" s="203"/>
      <c r="AG45" s="203"/>
      <c r="AH45" s="198" t="s">
        <v>160</v>
      </c>
      <c r="AI45" s="198" t="s">
        <v>151</v>
      </c>
      <c r="AJ45" s="203" t="s">
        <v>151</v>
      </c>
      <c r="AK45" s="198" t="s">
        <v>152</v>
      </c>
      <c r="AL45" s="198" t="s">
        <v>151</v>
      </c>
      <c r="AM45" s="203" t="s">
        <v>151</v>
      </c>
      <c r="AN45" s="198" t="s">
        <v>152</v>
      </c>
      <c r="AO45" s="198" t="s">
        <v>151</v>
      </c>
      <c r="AP45" s="203" t="s">
        <v>151</v>
      </c>
      <c r="AQ45" s="198" t="s">
        <v>152</v>
      </c>
      <c r="AR45" s="198" t="s">
        <v>151</v>
      </c>
      <c r="AS45" s="203" t="s">
        <v>151</v>
      </c>
      <c r="AT45" s="198" t="s">
        <v>152</v>
      </c>
      <c r="AU45" s="198" t="s">
        <v>151</v>
      </c>
      <c r="AV45" s="203" t="s">
        <v>151</v>
      </c>
      <c r="AW45" s="201">
        <v>2</v>
      </c>
      <c r="AX45" s="201">
        <v>2</v>
      </c>
      <c r="AY45" s="202">
        <f t="shared" si="81"/>
        <v>1</v>
      </c>
      <c r="AZ45" s="203" t="s">
        <v>151</v>
      </c>
      <c r="BA45" s="204">
        <v>0</v>
      </c>
      <c r="BB45" s="203" t="s">
        <v>151</v>
      </c>
      <c r="BC45" s="201">
        <v>3</v>
      </c>
      <c r="BD45" s="201">
        <v>2</v>
      </c>
      <c r="BE45" s="202">
        <f t="shared" si="82"/>
        <v>0.66666666666666663</v>
      </c>
      <c r="BF45" s="203" t="s">
        <v>242</v>
      </c>
      <c r="BG45" s="204">
        <v>0</v>
      </c>
      <c r="BH45" s="203" t="s">
        <v>151</v>
      </c>
      <c r="BI45" s="201">
        <v>1</v>
      </c>
      <c r="BJ45" s="201">
        <v>1</v>
      </c>
      <c r="BK45" s="202">
        <f t="shared" si="83"/>
        <v>1</v>
      </c>
      <c r="BL45" s="203" t="s">
        <v>151</v>
      </c>
      <c r="BM45" s="204">
        <v>0</v>
      </c>
      <c r="BN45" s="203" t="s">
        <v>151</v>
      </c>
      <c r="BO45" s="201">
        <v>0</v>
      </c>
      <c r="BP45" s="201">
        <v>0</v>
      </c>
      <c r="BQ45" s="202" t="str">
        <f t="shared" si="84"/>
        <v/>
      </c>
      <c r="BR45" s="203" t="s">
        <v>151</v>
      </c>
      <c r="BS45" s="204">
        <v>0</v>
      </c>
      <c r="BT45" s="203" t="s">
        <v>151</v>
      </c>
      <c r="BU45" s="201">
        <v>0</v>
      </c>
      <c r="BV45" s="201">
        <v>0</v>
      </c>
      <c r="BW45" s="202" t="str">
        <f t="shared" si="85"/>
        <v/>
      </c>
      <c r="BX45" s="203" t="s">
        <v>151</v>
      </c>
      <c r="BY45" s="204">
        <v>0</v>
      </c>
      <c r="BZ45" s="203" t="s">
        <v>151</v>
      </c>
      <c r="CA45" s="201">
        <v>0</v>
      </c>
      <c r="CB45" s="201">
        <v>0</v>
      </c>
      <c r="CC45" s="202" t="str">
        <f t="shared" si="86"/>
        <v/>
      </c>
      <c r="CD45" s="203" t="s">
        <v>151</v>
      </c>
      <c r="CE45" s="204">
        <v>0</v>
      </c>
      <c r="CF45" s="203" t="s">
        <v>151</v>
      </c>
      <c r="CG45" s="201">
        <v>2</v>
      </c>
      <c r="CH45" s="201">
        <v>2</v>
      </c>
      <c r="CI45" s="202">
        <f t="shared" si="87"/>
        <v>1</v>
      </c>
      <c r="CJ45" s="203" t="s">
        <v>151</v>
      </c>
      <c r="CK45" s="204">
        <v>0</v>
      </c>
      <c r="CL45" s="203" t="s">
        <v>151</v>
      </c>
      <c r="CM45" s="201">
        <v>0</v>
      </c>
      <c r="CN45" s="201">
        <v>0</v>
      </c>
      <c r="CO45" s="202" t="str">
        <f t="shared" si="88"/>
        <v/>
      </c>
      <c r="CP45" s="203" t="s">
        <v>151</v>
      </c>
      <c r="CQ45" s="204">
        <v>0</v>
      </c>
      <c r="CR45" s="203" t="s">
        <v>151</v>
      </c>
      <c r="CS45" s="201">
        <v>1</v>
      </c>
      <c r="CT45" s="201">
        <v>1</v>
      </c>
      <c r="CU45" s="202">
        <f t="shared" si="89"/>
        <v>1</v>
      </c>
      <c r="CV45" s="203" t="s">
        <v>151</v>
      </c>
      <c r="CW45" s="204">
        <v>0</v>
      </c>
      <c r="CX45" s="203" t="s">
        <v>151</v>
      </c>
      <c r="CY45" s="201">
        <v>0</v>
      </c>
      <c r="CZ45" s="201">
        <v>0</v>
      </c>
      <c r="DA45" s="202" t="str">
        <f t="shared" si="90"/>
        <v/>
      </c>
      <c r="DB45" s="203" t="s">
        <v>151</v>
      </c>
      <c r="DC45" s="204">
        <v>0</v>
      </c>
      <c r="DD45" s="203" t="s">
        <v>151</v>
      </c>
      <c r="DE45" s="201">
        <v>6</v>
      </c>
      <c r="DF45" s="201">
        <v>6</v>
      </c>
      <c r="DG45" s="202">
        <f t="shared" si="91"/>
        <v>1</v>
      </c>
      <c r="DH45" s="203" t="s">
        <v>151</v>
      </c>
      <c r="DI45" s="204">
        <v>0</v>
      </c>
      <c r="DJ45" s="203" t="s">
        <v>151</v>
      </c>
      <c r="DK45" s="201">
        <v>36</v>
      </c>
      <c r="DL45" s="201">
        <v>5</v>
      </c>
      <c r="DM45" s="202">
        <f t="shared" si="101"/>
        <v>0.1388888888888889</v>
      </c>
      <c r="DN45" s="203" t="s">
        <v>295</v>
      </c>
      <c r="DO45" s="204">
        <v>0</v>
      </c>
      <c r="DP45" s="203" t="s">
        <v>151</v>
      </c>
      <c r="DQ45" s="201">
        <v>5</v>
      </c>
      <c r="DR45" s="201">
        <v>5</v>
      </c>
      <c r="DS45" s="202">
        <f t="shared" si="93"/>
        <v>1</v>
      </c>
      <c r="DT45" s="203" t="s">
        <v>151</v>
      </c>
      <c r="DU45" s="203">
        <v>0</v>
      </c>
      <c r="DV45" s="203" t="s">
        <v>151</v>
      </c>
      <c r="DW45" s="201">
        <v>0</v>
      </c>
      <c r="DX45" s="201">
        <v>0</v>
      </c>
      <c r="DY45" s="202" t="str">
        <f t="shared" si="94"/>
        <v/>
      </c>
      <c r="DZ45" s="203" t="s">
        <v>151</v>
      </c>
      <c r="EA45" s="204">
        <v>0</v>
      </c>
      <c r="EB45" s="203" t="s">
        <v>151</v>
      </c>
      <c r="EC45" s="201">
        <v>1</v>
      </c>
      <c r="ED45" s="201">
        <v>0</v>
      </c>
      <c r="EE45" s="202">
        <f t="shared" si="95"/>
        <v>0</v>
      </c>
      <c r="EF45" s="203" t="s">
        <v>335</v>
      </c>
      <c r="EG45" s="204">
        <v>1</v>
      </c>
      <c r="EH45" s="203" t="s">
        <v>336</v>
      </c>
      <c r="EI45" s="201">
        <v>8</v>
      </c>
      <c r="EJ45" s="201">
        <v>3</v>
      </c>
      <c r="EK45" s="202">
        <f t="shared" si="96"/>
        <v>0.375</v>
      </c>
      <c r="EL45" s="203" t="s">
        <v>374</v>
      </c>
      <c r="EM45" s="204">
        <v>5</v>
      </c>
      <c r="EN45" s="203" t="s">
        <v>375</v>
      </c>
      <c r="EO45" s="201">
        <v>0</v>
      </c>
      <c r="EP45" s="201">
        <v>0</v>
      </c>
      <c r="EQ45" s="202" t="str">
        <f t="shared" si="97"/>
        <v/>
      </c>
      <c r="ER45" s="203" t="s">
        <v>151</v>
      </c>
      <c r="ES45" s="204">
        <v>0</v>
      </c>
      <c r="ET45" s="203" t="s">
        <v>151</v>
      </c>
      <c r="EU45" s="201">
        <v>2</v>
      </c>
      <c r="EV45" s="201">
        <v>2</v>
      </c>
      <c r="EW45" s="202">
        <f t="shared" si="98"/>
        <v>1</v>
      </c>
      <c r="EX45" s="203" t="s">
        <v>151</v>
      </c>
      <c r="EY45" s="204">
        <v>0</v>
      </c>
      <c r="EZ45" s="203" t="s">
        <v>151</v>
      </c>
      <c r="FA45" s="201">
        <v>4</v>
      </c>
      <c r="FB45" s="201">
        <v>3</v>
      </c>
      <c r="FC45" s="202">
        <f t="shared" si="99"/>
        <v>0.75</v>
      </c>
      <c r="FD45" s="203" t="s">
        <v>401</v>
      </c>
      <c r="FE45" s="204">
        <v>1</v>
      </c>
      <c r="FF45" s="203" t="s">
        <v>402</v>
      </c>
      <c r="FG45" s="201">
        <v>0</v>
      </c>
      <c r="FH45" s="201">
        <v>0</v>
      </c>
      <c r="FI45" s="202" t="str">
        <f t="shared" si="100"/>
        <v/>
      </c>
      <c r="FJ45" s="203" t="s">
        <v>151</v>
      </c>
      <c r="FK45" s="204">
        <v>0</v>
      </c>
      <c r="FL45" s="203" t="s">
        <v>151</v>
      </c>
      <c r="FM45" s="201">
        <v>0</v>
      </c>
      <c r="FN45" s="201">
        <v>0</v>
      </c>
      <c r="FO45" s="202" t="str">
        <f t="shared" si="75"/>
        <v/>
      </c>
      <c r="FP45" s="203" t="s">
        <v>151</v>
      </c>
      <c r="FQ45" s="204">
        <v>0</v>
      </c>
      <c r="FR45" s="203" t="s">
        <v>151</v>
      </c>
      <c r="FS45" s="201">
        <v>2</v>
      </c>
      <c r="FT45" s="201">
        <v>2</v>
      </c>
      <c r="FU45" s="202">
        <f t="shared" si="76"/>
        <v>1</v>
      </c>
      <c r="FV45" s="203" t="s">
        <v>151</v>
      </c>
      <c r="FW45" s="204">
        <v>0</v>
      </c>
      <c r="FX45" s="203" t="s">
        <v>151</v>
      </c>
      <c r="FY45" s="201">
        <v>0</v>
      </c>
      <c r="FZ45" s="201">
        <v>0</v>
      </c>
      <c r="GA45" s="202" t="str">
        <f t="shared" si="77"/>
        <v/>
      </c>
      <c r="GB45" s="203" t="s">
        <v>151</v>
      </c>
      <c r="GC45" s="204">
        <v>0</v>
      </c>
      <c r="GD45" s="203" t="s">
        <v>151</v>
      </c>
      <c r="GE45" s="203" t="s">
        <v>437</v>
      </c>
      <c r="GF45" s="203" t="s">
        <v>439</v>
      </c>
      <c r="GG45" s="204" t="s">
        <v>152</v>
      </c>
      <c r="GH45" s="204" t="s">
        <v>152</v>
      </c>
      <c r="GI45" s="204" t="s">
        <v>152</v>
      </c>
      <c r="GJ45" s="204" t="s">
        <v>152</v>
      </c>
      <c r="GK45" s="203" t="s">
        <v>151</v>
      </c>
      <c r="GL45" s="204" t="s">
        <v>152</v>
      </c>
      <c r="GM45" s="204" t="s">
        <v>152</v>
      </c>
      <c r="GN45" s="204" t="s">
        <v>151</v>
      </c>
      <c r="GO45" s="204" t="s">
        <v>151</v>
      </c>
      <c r="GP45" s="204" t="s">
        <v>152</v>
      </c>
      <c r="GQ45" s="204" t="s">
        <v>152</v>
      </c>
      <c r="GR45" s="100" t="s">
        <v>152</v>
      </c>
      <c r="GS45" s="101"/>
      <c r="GT45" s="204" t="s">
        <v>152</v>
      </c>
      <c r="GU45" s="204"/>
      <c r="GV45" s="204"/>
      <c r="GW45" s="145" t="s">
        <v>152</v>
      </c>
      <c r="GX45" s="145"/>
      <c r="GY45" s="204" t="s">
        <v>149</v>
      </c>
      <c r="GZ45" s="203"/>
      <c r="HA45" s="203"/>
      <c r="HB45" s="203"/>
      <c r="HC45" s="204"/>
      <c r="HD45" s="204" t="s">
        <v>457</v>
      </c>
      <c r="HE45" s="203"/>
      <c r="HF45" s="203" t="s">
        <v>769</v>
      </c>
      <c r="HG45" s="204" t="s">
        <v>457</v>
      </c>
      <c r="HH45" s="203"/>
      <c r="HI45" s="203"/>
      <c r="HJ45" s="203"/>
      <c r="HK45" s="203"/>
      <c r="HL45" s="203"/>
      <c r="HM45" s="203"/>
      <c r="HN45" s="204" t="s">
        <v>457</v>
      </c>
      <c r="HO45" s="203"/>
      <c r="HP45" s="203"/>
      <c r="HQ45" s="203"/>
      <c r="HR45" s="203"/>
      <c r="HS45" s="203"/>
      <c r="HT45" s="203"/>
      <c r="HU45" s="203"/>
      <c r="HV45" s="203"/>
      <c r="HW45" s="204" t="s">
        <v>457</v>
      </c>
      <c r="HX45" s="203"/>
      <c r="HY45" s="203" t="s">
        <v>770</v>
      </c>
      <c r="HZ45" s="204" t="s">
        <v>457</v>
      </c>
      <c r="IA45" s="203"/>
      <c r="IB45" s="203"/>
      <c r="IC45" s="203"/>
      <c r="ID45" s="203"/>
      <c r="IE45" s="204" t="s">
        <v>457</v>
      </c>
      <c r="IF45" s="203"/>
      <c r="IG45" s="203"/>
      <c r="IH45" s="203"/>
      <c r="II45" s="203"/>
      <c r="IJ45" s="140" t="str">
        <f t="shared" si="2"/>
        <v>○</v>
      </c>
    </row>
    <row r="46" spans="1:244" s="93" customFormat="1" ht="105.6">
      <c r="A46" s="173" t="s">
        <v>591</v>
      </c>
      <c r="B46" s="174" t="s">
        <v>209</v>
      </c>
      <c r="C46" s="174" t="s">
        <v>152</v>
      </c>
      <c r="D46" s="174" t="s">
        <v>151</v>
      </c>
      <c r="E46" s="175" t="s">
        <v>151</v>
      </c>
      <c r="F46" s="174" t="s">
        <v>152</v>
      </c>
      <c r="G46" s="174" t="s">
        <v>151</v>
      </c>
      <c r="H46" s="175" t="s">
        <v>151</v>
      </c>
      <c r="I46" s="174" t="s">
        <v>152</v>
      </c>
      <c r="J46" s="174" t="s">
        <v>151</v>
      </c>
      <c r="K46" s="175" t="s">
        <v>151</v>
      </c>
      <c r="L46" s="174" t="s">
        <v>152</v>
      </c>
      <c r="M46" s="174" t="s">
        <v>151</v>
      </c>
      <c r="N46" s="175" t="s">
        <v>151</v>
      </c>
      <c r="O46" s="174" t="s">
        <v>152</v>
      </c>
      <c r="P46" s="174" t="s">
        <v>151</v>
      </c>
      <c r="Q46" s="175" t="s">
        <v>151</v>
      </c>
      <c r="R46" s="174" t="s">
        <v>152</v>
      </c>
      <c r="S46" s="174" t="s">
        <v>151</v>
      </c>
      <c r="T46" s="175" t="s">
        <v>151</v>
      </c>
      <c r="U46" s="174" t="s">
        <v>152</v>
      </c>
      <c r="V46" s="174" t="s">
        <v>151</v>
      </c>
      <c r="W46" s="175" t="s">
        <v>151</v>
      </c>
      <c r="X46" s="174"/>
      <c r="Y46" s="174" t="s">
        <v>152</v>
      </c>
      <c r="Z46" s="174"/>
      <c r="AA46" s="176" t="str">
        <f t="shared" si="102"/>
        <v>○</v>
      </c>
      <c r="AB46" s="174" t="s">
        <v>152</v>
      </c>
      <c r="AC46" s="174"/>
      <c r="AD46" s="176" t="str">
        <f t="shared" si="103"/>
        <v/>
      </c>
      <c r="AE46" s="177" t="s">
        <v>455</v>
      </c>
      <c r="AF46" s="175"/>
      <c r="AG46" s="175" t="s">
        <v>720</v>
      </c>
      <c r="AH46" s="174" t="s">
        <v>160</v>
      </c>
      <c r="AI46" s="174" t="s">
        <v>151</v>
      </c>
      <c r="AJ46" s="175" t="s">
        <v>236</v>
      </c>
      <c r="AK46" s="174" t="s">
        <v>152</v>
      </c>
      <c r="AL46" s="174" t="s">
        <v>151</v>
      </c>
      <c r="AM46" s="175" t="s">
        <v>151</v>
      </c>
      <c r="AN46" s="174" t="s">
        <v>152</v>
      </c>
      <c r="AO46" s="174" t="s">
        <v>151</v>
      </c>
      <c r="AP46" s="175" t="s">
        <v>151</v>
      </c>
      <c r="AQ46" s="174" t="s">
        <v>152</v>
      </c>
      <c r="AR46" s="174" t="s">
        <v>151</v>
      </c>
      <c r="AS46" s="175" t="s">
        <v>151</v>
      </c>
      <c r="AT46" s="174" t="s">
        <v>152</v>
      </c>
      <c r="AU46" s="174" t="s">
        <v>151</v>
      </c>
      <c r="AV46" s="175" t="s">
        <v>151</v>
      </c>
      <c r="AW46" s="178">
        <v>1</v>
      </c>
      <c r="AX46" s="178">
        <v>1</v>
      </c>
      <c r="AY46" s="179">
        <f t="shared" si="81"/>
        <v>1</v>
      </c>
      <c r="AZ46" s="175" t="s">
        <v>151</v>
      </c>
      <c r="BA46" s="174">
        <v>0</v>
      </c>
      <c r="BB46" s="175"/>
      <c r="BC46" s="178">
        <v>3</v>
      </c>
      <c r="BD46" s="178">
        <v>3</v>
      </c>
      <c r="BE46" s="179">
        <f t="shared" si="82"/>
        <v>1</v>
      </c>
      <c r="BF46" s="175" t="s">
        <v>151</v>
      </c>
      <c r="BG46" s="174">
        <v>0</v>
      </c>
      <c r="BH46" s="175" t="s">
        <v>151</v>
      </c>
      <c r="BI46" s="178">
        <v>1</v>
      </c>
      <c r="BJ46" s="178">
        <v>1</v>
      </c>
      <c r="BK46" s="179">
        <f t="shared" si="83"/>
        <v>1</v>
      </c>
      <c r="BL46" s="175" t="s">
        <v>151</v>
      </c>
      <c r="BM46" s="174">
        <v>0</v>
      </c>
      <c r="BN46" s="175" t="s">
        <v>151</v>
      </c>
      <c r="BO46" s="178">
        <v>0</v>
      </c>
      <c r="BP46" s="178">
        <v>0</v>
      </c>
      <c r="BQ46" s="179" t="str">
        <f t="shared" si="84"/>
        <v/>
      </c>
      <c r="BR46" s="175" t="s">
        <v>151</v>
      </c>
      <c r="BS46" s="174">
        <v>0</v>
      </c>
      <c r="BT46" s="175" t="s">
        <v>151</v>
      </c>
      <c r="BU46" s="178">
        <v>1</v>
      </c>
      <c r="BV46" s="178">
        <v>1</v>
      </c>
      <c r="BW46" s="179">
        <f t="shared" si="85"/>
        <v>1</v>
      </c>
      <c r="BX46" s="175" t="s">
        <v>151</v>
      </c>
      <c r="BY46" s="174">
        <v>0</v>
      </c>
      <c r="BZ46" s="175" t="s">
        <v>151</v>
      </c>
      <c r="CA46" s="178">
        <v>0</v>
      </c>
      <c r="CB46" s="178">
        <v>0</v>
      </c>
      <c r="CC46" s="179" t="str">
        <f t="shared" si="86"/>
        <v/>
      </c>
      <c r="CD46" s="175" t="s">
        <v>151</v>
      </c>
      <c r="CE46" s="174">
        <v>0</v>
      </c>
      <c r="CF46" s="175" t="s">
        <v>151</v>
      </c>
      <c r="CG46" s="178">
        <v>3</v>
      </c>
      <c r="CH46" s="178">
        <v>3</v>
      </c>
      <c r="CI46" s="179">
        <f t="shared" si="87"/>
        <v>1</v>
      </c>
      <c r="CJ46" s="175" t="s">
        <v>151</v>
      </c>
      <c r="CK46" s="174">
        <v>0</v>
      </c>
      <c r="CL46" s="175" t="s">
        <v>151</v>
      </c>
      <c r="CM46" s="178">
        <v>1</v>
      </c>
      <c r="CN46" s="178">
        <v>0</v>
      </c>
      <c r="CO46" s="179">
        <f t="shared" si="88"/>
        <v>0</v>
      </c>
      <c r="CP46" s="175" t="s">
        <v>721</v>
      </c>
      <c r="CQ46" s="174">
        <v>1</v>
      </c>
      <c r="CR46" s="175" t="s">
        <v>722</v>
      </c>
      <c r="CS46" s="178">
        <v>6</v>
      </c>
      <c r="CT46" s="178">
        <v>6</v>
      </c>
      <c r="CU46" s="179">
        <f t="shared" si="89"/>
        <v>1</v>
      </c>
      <c r="CV46" s="175" t="s">
        <v>151</v>
      </c>
      <c r="CW46" s="174">
        <v>0</v>
      </c>
      <c r="CX46" s="175" t="s">
        <v>151</v>
      </c>
      <c r="CY46" s="178">
        <v>3</v>
      </c>
      <c r="CZ46" s="178">
        <v>2</v>
      </c>
      <c r="DA46" s="179">
        <f t="shared" si="90"/>
        <v>0.66666666666666663</v>
      </c>
      <c r="DB46" s="175" t="s">
        <v>278</v>
      </c>
      <c r="DC46" s="174">
        <v>1</v>
      </c>
      <c r="DD46" s="175" t="s">
        <v>279</v>
      </c>
      <c r="DE46" s="178">
        <v>13</v>
      </c>
      <c r="DF46" s="178">
        <v>9</v>
      </c>
      <c r="DG46" s="179">
        <f t="shared" si="91"/>
        <v>0.69230769230769229</v>
      </c>
      <c r="DH46" s="175" t="s">
        <v>592</v>
      </c>
      <c r="DI46" s="174">
        <v>1</v>
      </c>
      <c r="DJ46" s="175" t="s">
        <v>286</v>
      </c>
      <c r="DK46" s="178">
        <v>31</v>
      </c>
      <c r="DL46" s="178">
        <v>31</v>
      </c>
      <c r="DM46" s="179">
        <f t="shared" si="101"/>
        <v>1</v>
      </c>
      <c r="DN46" s="175" t="s">
        <v>151</v>
      </c>
      <c r="DO46" s="174">
        <v>0</v>
      </c>
      <c r="DP46" s="175" t="s">
        <v>151</v>
      </c>
      <c r="DQ46" s="178">
        <v>8</v>
      </c>
      <c r="DR46" s="178">
        <v>8</v>
      </c>
      <c r="DS46" s="179">
        <f t="shared" si="93"/>
        <v>1</v>
      </c>
      <c r="DT46" s="175" t="s">
        <v>151</v>
      </c>
      <c r="DU46" s="175">
        <v>0</v>
      </c>
      <c r="DV46" s="175" t="s">
        <v>151</v>
      </c>
      <c r="DW46" s="178">
        <v>0</v>
      </c>
      <c r="DX46" s="178">
        <v>0</v>
      </c>
      <c r="DY46" s="179" t="str">
        <f t="shared" si="94"/>
        <v/>
      </c>
      <c r="DZ46" s="175" t="s">
        <v>151</v>
      </c>
      <c r="EA46" s="174">
        <v>0</v>
      </c>
      <c r="EB46" s="175" t="s">
        <v>151</v>
      </c>
      <c r="EC46" s="178">
        <v>1</v>
      </c>
      <c r="ED46" s="178">
        <v>0</v>
      </c>
      <c r="EE46" s="179">
        <f t="shared" si="95"/>
        <v>0</v>
      </c>
      <c r="EF46" s="175" t="s">
        <v>593</v>
      </c>
      <c r="EG46" s="174">
        <v>1</v>
      </c>
      <c r="EH46" s="175" t="s">
        <v>593</v>
      </c>
      <c r="EI46" s="178">
        <v>2</v>
      </c>
      <c r="EJ46" s="178">
        <v>0</v>
      </c>
      <c r="EK46" s="179">
        <f t="shared" si="96"/>
        <v>0</v>
      </c>
      <c r="EL46" s="175" t="s">
        <v>376</v>
      </c>
      <c r="EM46" s="174">
        <v>2</v>
      </c>
      <c r="EN46" s="175" t="s">
        <v>376</v>
      </c>
      <c r="EO46" s="178">
        <v>0</v>
      </c>
      <c r="EP46" s="178">
        <v>0</v>
      </c>
      <c r="EQ46" s="179" t="str">
        <f t="shared" si="97"/>
        <v/>
      </c>
      <c r="ER46" s="175" t="s">
        <v>151</v>
      </c>
      <c r="ES46" s="174">
        <v>0</v>
      </c>
      <c r="ET46" s="175" t="s">
        <v>151</v>
      </c>
      <c r="EU46" s="178">
        <v>1</v>
      </c>
      <c r="EV46" s="178">
        <v>1</v>
      </c>
      <c r="EW46" s="179">
        <f t="shared" si="98"/>
        <v>1</v>
      </c>
      <c r="EX46" s="175" t="s">
        <v>151</v>
      </c>
      <c r="EY46" s="174">
        <v>0</v>
      </c>
      <c r="EZ46" s="175" t="s">
        <v>151</v>
      </c>
      <c r="FA46" s="178">
        <v>2</v>
      </c>
      <c r="FB46" s="178">
        <v>0</v>
      </c>
      <c r="FC46" s="179">
        <f t="shared" si="99"/>
        <v>0</v>
      </c>
      <c r="FD46" s="175" t="s">
        <v>723</v>
      </c>
      <c r="FE46" s="174">
        <v>2</v>
      </c>
      <c r="FF46" s="175" t="s">
        <v>403</v>
      </c>
      <c r="FG46" s="178">
        <v>0</v>
      </c>
      <c r="FH46" s="178">
        <v>0</v>
      </c>
      <c r="FI46" s="179" t="str">
        <f t="shared" si="100"/>
        <v/>
      </c>
      <c r="FJ46" s="175" t="s">
        <v>151</v>
      </c>
      <c r="FK46" s="174">
        <v>0</v>
      </c>
      <c r="FL46" s="175" t="s">
        <v>151</v>
      </c>
      <c r="FM46" s="178">
        <v>0</v>
      </c>
      <c r="FN46" s="178">
        <v>0</v>
      </c>
      <c r="FO46" s="179" t="str">
        <f t="shared" si="75"/>
        <v/>
      </c>
      <c r="FP46" s="175" t="s">
        <v>151</v>
      </c>
      <c r="FQ46" s="174">
        <v>0</v>
      </c>
      <c r="FR46" s="175" t="s">
        <v>151</v>
      </c>
      <c r="FS46" s="178">
        <v>4</v>
      </c>
      <c r="FT46" s="178">
        <v>4</v>
      </c>
      <c r="FU46" s="179">
        <f t="shared" si="76"/>
        <v>1</v>
      </c>
      <c r="FV46" s="175" t="s">
        <v>151</v>
      </c>
      <c r="FW46" s="174">
        <v>0</v>
      </c>
      <c r="FX46" s="175" t="s">
        <v>151</v>
      </c>
      <c r="FY46" s="178">
        <v>1</v>
      </c>
      <c r="FZ46" s="178">
        <v>1</v>
      </c>
      <c r="GA46" s="179">
        <f t="shared" si="77"/>
        <v>1</v>
      </c>
      <c r="GB46" s="175" t="s">
        <v>151</v>
      </c>
      <c r="GC46" s="174">
        <v>0</v>
      </c>
      <c r="GD46" s="175" t="s">
        <v>151</v>
      </c>
      <c r="GE46" s="175" t="s">
        <v>437</v>
      </c>
      <c r="GF46" s="175" t="s">
        <v>439</v>
      </c>
      <c r="GG46" s="174" t="s">
        <v>152</v>
      </c>
      <c r="GH46" s="174" t="s">
        <v>152</v>
      </c>
      <c r="GI46" s="174" t="s">
        <v>152</v>
      </c>
      <c r="GJ46" s="174" t="s">
        <v>151</v>
      </c>
      <c r="GK46" s="175" t="s">
        <v>151</v>
      </c>
      <c r="GL46" s="174" t="s">
        <v>152</v>
      </c>
      <c r="GM46" s="174" t="s">
        <v>152</v>
      </c>
      <c r="GN46" s="174" t="s">
        <v>151</v>
      </c>
      <c r="GO46" s="174" t="s">
        <v>151</v>
      </c>
      <c r="GP46" s="174" t="s">
        <v>152</v>
      </c>
      <c r="GQ46" s="174" t="s">
        <v>152</v>
      </c>
      <c r="GR46" s="100" t="s">
        <v>152</v>
      </c>
      <c r="GS46" s="101"/>
      <c r="GT46" s="204" t="s">
        <v>152</v>
      </c>
      <c r="GU46" s="204"/>
      <c r="GV46" s="204"/>
      <c r="GW46" s="145" t="s">
        <v>152</v>
      </c>
      <c r="GX46" s="145"/>
      <c r="GY46" s="204" t="s">
        <v>149</v>
      </c>
      <c r="GZ46" s="203"/>
      <c r="HA46" s="203"/>
      <c r="HB46" s="203"/>
      <c r="HC46" s="203"/>
      <c r="HD46" s="204" t="s">
        <v>673</v>
      </c>
      <c r="HE46" s="204"/>
      <c r="HF46" s="203" t="s">
        <v>724</v>
      </c>
      <c r="HG46" s="204" t="s">
        <v>457</v>
      </c>
      <c r="HH46" s="203"/>
      <c r="HI46" s="203"/>
      <c r="HJ46" s="203"/>
      <c r="HK46" s="203"/>
      <c r="HL46" s="203"/>
      <c r="HM46" s="203"/>
      <c r="HN46" s="203"/>
      <c r="HO46" s="204" t="s">
        <v>673</v>
      </c>
      <c r="HP46" s="203"/>
      <c r="HQ46" s="203"/>
      <c r="HR46" s="203"/>
      <c r="HS46" s="203"/>
      <c r="HT46" s="203"/>
      <c r="HU46" s="203"/>
      <c r="HV46" s="203"/>
      <c r="HW46" s="204" t="s">
        <v>673</v>
      </c>
      <c r="HX46" s="204"/>
      <c r="HY46" s="203" t="s">
        <v>725</v>
      </c>
      <c r="HZ46" s="204" t="s">
        <v>457</v>
      </c>
      <c r="IA46" s="203"/>
      <c r="IB46" s="203"/>
      <c r="IC46" s="203"/>
      <c r="ID46" s="203"/>
      <c r="IE46" s="204" t="s">
        <v>457</v>
      </c>
      <c r="IF46" s="203"/>
      <c r="IG46" s="203"/>
      <c r="IH46" s="203"/>
      <c r="II46" s="203"/>
      <c r="IJ46" s="140" t="str">
        <f t="shared" si="2"/>
        <v>○</v>
      </c>
    </row>
    <row r="47" spans="1:244" s="93" customFormat="1" ht="188.25" customHeight="1">
      <c r="A47" s="97" t="s">
        <v>210</v>
      </c>
      <c r="B47" s="204" t="s">
        <v>211</v>
      </c>
      <c r="C47" s="198" t="s">
        <v>152</v>
      </c>
      <c r="D47" s="198" t="s">
        <v>151</v>
      </c>
      <c r="E47" s="203" t="s">
        <v>151</v>
      </c>
      <c r="F47" s="198" t="s">
        <v>152</v>
      </c>
      <c r="G47" s="198" t="s">
        <v>151</v>
      </c>
      <c r="H47" s="203" t="s">
        <v>151</v>
      </c>
      <c r="I47" s="198" t="s">
        <v>152</v>
      </c>
      <c r="J47" s="198" t="s">
        <v>151</v>
      </c>
      <c r="K47" s="203" t="s">
        <v>151</v>
      </c>
      <c r="L47" s="198" t="s">
        <v>152</v>
      </c>
      <c r="M47" s="198" t="s">
        <v>151</v>
      </c>
      <c r="N47" s="203" t="s">
        <v>151</v>
      </c>
      <c r="O47" s="198" t="s">
        <v>152</v>
      </c>
      <c r="P47" s="198"/>
      <c r="Q47" s="180"/>
      <c r="R47" s="198" t="s">
        <v>152</v>
      </c>
      <c r="S47" s="198" t="s">
        <v>151</v>
      </c>
      <c r="T47" s="203" t="s">
        <v>151</v>
      </c>
      <c r="U47" s="198" t="s">
        <v>152</v>
      </c>
      <c r="V47" s="198" t="s">
        <v>151</v>
      </c>
      <c r="W47" s="203" t="s">
        <v>151</v>
      </c>
      <c r="X47" s="204"/>
      <c r="Y47" s="204"/>
      <c r="Z47" s="204" t="s">
        <v>152</v>
      </c>
      <c r="AA47" s="98" t="str">
        <f t="shared" si="102"/>
        <v/>
      </c>
      <c r="AB47" s="204" t="s">
        <v>152</v>
      </c>
      <c r="AC47" s="204"/>
      <c r="AD47" s="98" t="str">
        <f t="shared" si="103"/>
        <v>○</v>
      </c>
      <c r="AE47" s="99"/>
      <c r="AF47" s="180" t="s">
        <v>235</v>
      </c>
      <c r="AG47" s="203"/>
      <c r="AH47" s="198" t="s">
        <v>160</v>
      </c>
      <c r="AI47" s="198" t="s">
        <v>151</v>
      </c>
      <c r="AJ47" s="203" t="s">
        <v>151</v>
      </c>
      <c r="AK47" s="198" t="s">
        <v>152</v>
      </c>
      <c r="AL47" s="198" t="s">
        <v>151</v>
      </c>
      <c r="AM47" s="203" t="s">
        <v>151</v>
      </c>
      <c r="AN47" s="198" t="s">
        <v>152</v>
      </c>
      <c r="AO47" s="198" t="s">
        <v>151</v>
      </c>
      <c r="AP47" s="203" t="s">
        <v>151</v>
      </c>
      <c r="AQ47" s="198" t="s">
        <v>152</v>
      </c>
      <c r="AR47" s="198" t="s">
        <v>151</v>
      </c>
      <c r="AS47" s="203" t="s">
        <v>151</v>
      </c>
      <c r="AT47" s="198" t="s">
        <v>152</v>
      </c>
      <c r="AU47" s="198" t="s">
        <v>151</v>
      </c>
      <c r="AV47" s="203" t="s">
        <v>151</v>
      </c>
      <c r="AW47" s="201">
        <v>1</v>
      </c>
      <c r="AX47" s="201">
        <v>1</v>
      </c>
      <c r="AY47" s="202">
        <f t="shared" si="81"/>
        <v>1</v>
      </c>
      <c r="AZ47" s="203" t="s">
        <v>151</v>
      </c>
      <c r="BA47" s="204">
        <v>0</v>
      </c>
      <c r="BB47" s="203" t="s">
        <v>151</v>
      </c>
      <c r="BC47" s="201">
        <v>0</v>
      </c>
      <c r="BD47" s="201">
        <v>0</v>
      </c>
      <c r="BE47" s="202" t="str">
        <f t="shared" si="82"/>
        <v/>
      </c>
      <c r="BF47" s="203" t="s">
        <v>151</v>
      </c>
      <c r="BG47" s="204">
        <v>0</v>
      </c>
      <c r="BH47" s="203" t="s">
        <v>151</v>
      </c>
      <c r="BI47" s="201">
        <v>0</v>
      </c>
      <c r="BJ47" s="201">
        <v>0</v>
      </c>
      <c r="BK47" s="202" t="str">
        <f t="shared" si="83"/>
        <v/>
      </c>
      <c r="BL47" s="203" t="s">
        <v>151</v>
      </c>
      <c r="BM47" s="204">
        <v>0</v>
      </c>
      <c r="BN47" s="203" t="s">
        <v>151</v>
      </c>
      <c r="BO47" s="201">
        <v>0</v>
      </c>
      <c r="BP47" s="201">
        <v>0</v>
      </c>
      <c r="BQ47" s="202" t="str">
        <f t="shared" si="84"/>
        <v/>
      </c>
      <c r="BR47" s="203" t="s">
        <v>151</v>
      </c>
      <c r="BS47" s="204">
        <v>0</v>
      </c>
      <c r="BT47" s="203" t="s">
        <v>151</v>
      </c>
      <c r="BU47" s="201">
        <v>0</v>
      </c>
      <c r="BV47" s="201">
        <v>0</v>
      </c>
      <c r="BW47" s="202" t="str">
        <f t="shared" si="85"/>
        <v/>
      </c>
      <c r="BX47" s="203" t="s">
        <v>151</v>
      </c>
      <c r="BY47" s="204">
        <v>0</v>
      </c>
      <c r="BZ47" s="203" t="s">
        <v>151</v>
      </c>
      <c r="CA47" s="201">
        <v>0</v>
      </c>
      <c r="CB47" s="201">
        <v>0</v>
      </c>
      <c r="CC47" s="202" t="str">
        <f t="shared" si="86"/>
        <v/>
      </c>
      <c r="CD47" s="203" t="s">
        <v>151</v>
      </c>
      <c r="CE47" s="204">
        <v>0</v>
      </c>
      <c r="CF47" s="203" t="s">
        <v>151</v>
      </c>
      <c r="CG47" s="201">
        <v>0</v>
      </c>
      <c r="CH47" s="201">
        <v>0</v>
      </c>
      <c r="CI47" s="202" t="str">
        <f t="shared" si="87"/>
        <v/>
      </c>
      <c r="CJ47" s="203" t="s">
        <v>151</v>
      </c>
      <c r="CK47" s="204">
        <v>0</v>
      </c>
      <c r="CL47" s="203" t="s">
        <v>151</v>
      </c>
      <c r="CM47" s="201">
        <v>1</v>
      </c>
      <c r="CN47" s="201">
        <v>1</v>
      </c>
      <c r="CO47" s="202">
        <f t="shared" si="88"/>
        <v>1</v>
      </c>
      <c r="CP47" s="203" t="s">
        <v>151</v>
      </c>
      <c r="CQ47" s="204">
        <v>0</v>
      </c>
      <c r="CR47" s="203" t="s">
        <v>151</v>
      </c>
      <c r="CS47" s="201">
        <v>1</v>
      </c>
      <c r="CT47" s="201">
        <v>1</v>
      </c>
      <c r="CU47" s="202">
        <f t="shared" si="89"/>
        <v>1</v>
      </c>
      <c r="CV47" s="203" t="s">
        <v>151</v>
      </c>
      <c r="CW47" s="204">
        <v>0</v>
      </c>
      <c r="CX47" s="203" t="s">
        <v>151</v>
      </c>
      <c r="CY47" s="201">
        <v>0</v>
      </c>
      <c r="CZ47" s="201">
        <v>0</v>
      </c>
      <c r="DA47" s="202" t="str">
        <f t="shared" si="90"/>
        <v/>
      </c>
      <c r="DB47" s="203" t="s">
        <v>151</v>
      </c>
      <c r="DC47" s="204">
        <v>0</v>
      </c>
      <c r="DD47" s="203" t="s">
        <v>151</v>
      </c>
      <c r="DE47" s="201">
        <v>4</v>
      </c>
      <c r="DF47" s="201">
        <v>4</v>
      </c>
      <c r="DG47" s="202">
        <f t="shared" si="91"/>
        <v>1</v>
      </c>
      <c r="DH47" s="203" t="s">
        <v>151</v>
      </c>
      <c r="DI47" s="204">
        <v>0</v>
      </c>
      <c r="DJ47" s="203" t="s">
        <v>151</v>
      </c>
      <c r="DK47" s="201">
        <v>48</v>
      </c>
      <c r="DL47" s="201">
        <v>19</v>
      </c>
      <c r="DM47" s="202">
        <f t="shared" si="101"/>
        <v>0.39583333333333331</v>
      </c>
      <c r="DN47" s="180" t="s">
        <v>296</v>
      </c>
      <c r="DO47" s="204">
        <v>0</v>
      </c>
      <c r="DP47" s="203" t="s">
        <v>151</v>
      </c>
      <c r="DQ47" s="201">
        <v>0</v>
      </c>
      <c r="DR47" s="201">
        <v>0</v>
      </c>
      <c r="DS47" s="202" t="str">
        <f t="shared" si="93"/>
        <v/>
      </c>
      <c r="DT47" s="203" t="s">
        <v>151</v>
      </c>
      <c r="DU47" s="204">
        <v>0</v>
      </c>
      <c r="DV47" s="203" t="s">
        <v>151</v>
      </c>
      <c r="DW47" s="201">
        <v>0</v>
      </c>
      <c r="DX47" s="201">
        <v>0</v>
      </c>
      <c r="DY47" s="202" t="str">
        <f t="shared" si="94"/>
        <v/>
      </c>
      <c r="DZ47" s="203" t="s">
        <v>151</v>
      </c>
      <c r="EA47" s="204">
        <v>0</v>
      </c>
      <c r="EB47" s="203" t="s">
        <v>151</v>
      </c>
      <c r="EC47" s="201">
        <v>1</v>
      </c>
      <c r="ED47" s="201">
        <v>0</v>
      </c>
      <c r="EE47" s="202">
        <f t="shared" si="95"/>
        <v>0</v>
      </c>
      <c r="EF47" s="180" t="s">
        <v>758</v>
      </c>
      <c r="EG47" s="204">
        <v>1</v>
      </c>
      <c r="EH47" s="180" t="s">
        <v>337</v>
      </c>
      <c r="EI47" s="201">
        <v>5</v>
      </c>
      <c r="EJ47" s="201">
        <v>4</v>
      </c>
      <c r="EK47" s="202">
        <f t="shared" si="96"/>
        <v>0.8</v>
      </c>
      <c r="EL47" s="180" t="s">
        <v>589</v>
      </c>
      <c r="EM47" s="204">
        <v>1</v>
      </c>
      <c r="EN47" s="180" t="s">
        <v>590</v>
      </c>
      <c r="EO47" s="201">
        <v>0</v>
      </c>
      <c r="EP47" s="201">
        <v>0</v>
      </c>
      <c r="EQ47" s="202" t="str">
        <f t="shared" si="97"/>
        <v/>
      </c>
      <c r="ER47" s="203" t="s">
        <v>151</v>
      </c>
      <c r="ES47" s="204">
        <v>0</v>
      </c>
      <c r="ET47" s="203" t="s">
        <v>151</v>
      </c>
      <c r="EU47" s="201">
        <v>3</v>
      </c>
      <c r="EV47" s="201">
        <v>3</v>
      </c>
      <c r="EW47" s="202">
        <f t="shared" si="98"/>
        <v>1</v>
      </c>
      <c r="EX47" s="203" t="s">
        <v>151</v>
      </c>
      <c r="EY47" s="204">
        <v>0</v>
      </c>
      <c r="EZ47" s="203" t="s">
        <v>151</v>
      </c>
      <c r="FA47" s="201">
        <v>4</v>
      </c>
      <c r="FB47" s="201">
        <v>4</v>
      </c>
      <c r="FC47" s="202">
        <f t="shared" si="99"/>
        <v>1</v>
      </c>
      <c r="FD47" s="203" t="s">
        <v>151</v>
      </c>
      <c r="FE47" s="204">
        <v>0</v>
      </c>
      <c r="FF47" s="180"/>
      <c r="FG47" s="201">
        <v>0</v>
      </c>
      <c r="FH47" s="201">
        <v>0</v>
      </c>
      <c r="FI47" s="202" t="str">
        <f t="shared" si="100"/>
        <v/>
      </c>
      <c r="FJ47" s="203" t="s">
        <v>151</v>
      </c>
      <c r="FK47" s="204">
        <v>0</v>
      </c>
      <c r="FL47" s="203" t="s">
        <v>151</v>
      </c>
      <c r="FM47" s="201">
        <v>0</v>
      </c>
      <c r="FN47" s="201">
        <v>0</v>
      </c>
      <c r="FO47" s="202" t="str">
        <f t="shared" si="75"/>
        <v/>
      </c>
      <c r="FP47" s="203" t="s">
        <v>151</v>
      </c>
      <c r="FQ47" s="204">
        <v>0</v>
      </c>
      <c r="FR47" s="203" t="s">
        <v>151</v>
      </c>
      <c r="FS47" s="201">
        <v>5</v>
      </c>
      <c r="FT47" s="201">
        <v>5</v>
      </c>
      <c r="FU47" s="202">
        <f t="shared" si="76"/>
        <v>1</v>
      </c>
      <c r="FV47" s="203" t="s">
        <v>151</v>
      </c>
      <c r="FW47" s="204">
        <v>0</v>
      </c>
      <c r="FX47" s="203" t="s">
        <v>151</v>
      </c>
      <c r="FY47" s="201">
        <v>1</v>
      </c>
      <c r="FZ47" s="201">
        <v>1</v>
      </c>
      <c r="GA47" s="202">
        <f t="shared" si="77"/>
        <v>1</v>
      </c>
      <c r="GB47" s="180"/>
      <c r="GC47" s="204">
        <v>0</v>
      </c>
      <c r="GD47" s="180"/>
      <c r="GE47" s="204" t="s">
        <v>437</v>
      </c>
      <c r="GF47" s="204" t="s">
        <v>439</v>
      </c>
      <c r="GG47" s="204" t="s">
        <v>152</v>
      </c>
      <c r="GH47" s="204" t="s">
        <v>152</v>
      </c>
      <c r="GI47" s="204" t="s">
        <v>152</v>
      </c>
      <c r="GJ47" s="204" t="s">
        <v>152</v>
      </c>
      <c r="GK47" s="203" t="s">
        <v>759</v>
      </c>
      <c r="GL47" s="204" t="s">
        <v>152</v>
      </c>
      <c r="GM47" s="204" t="s">
        <v>152</v>
      </c>
      <c r="GN47" s="204" t="s">
        <v>152</v>
      </c>
      <c r="GO47" s="204" t="s">
        <v>151</v>
      </c>
      <c r="GP47" s="204" t="s">
        <v>152</v>
      </c>
      <c r="GQ47" s="204" t="s">
        <v>152</v>
      </c>
      <c r="GR47" s="100"/>
      <c r="GS47" s="101"/>
      <c r="GT47" s="204" t="s">
        <v>152</v>
      </c>
      <c r="GU47" s="204"/>
      <c r="GV47" s="204"/>
      <c r="GW47" s="145" t="s">
        <v>152</v>
      </c>
      <c r="GX47" s="145"/>
      <c r="GY47" s="204" t="s">
        <v>149</v>
      </c>
      <c r="GZ47" s="204" t="s">
        <v>457</v>
      </c>
      <c r="HA47" s="203"/>
      <c r="HB47" s="203"/>
      <c r="HC47" s="203"/>
      <c r="HD47" s="203"/>
      <c r="HE47" s="203"/>
      <c r="HF47" s="203"/>
      <c r="HG47" s="204" t="s">
        <v>457</v>
      </c>
      <c r="HH47" s="203"/>
      <c r="HI47" s="203"/>
      <c r="HJ47" s="203"/>
      <c r="HK47" s="203"/>
      <c r="HL47" s="203"/>
      <c r="HM47" s="203"/>
      <c r="HN47" s="204" t="s">
        <v>457</v>
      </c>
      <c r="HO47" s="203"/>
      <c r="HP47" s="203"/>
      <c r="HQ47" s="203"/>
      <c r="HR47" s="203"/>
      <c r="HS47" s="203"/>
      <c r="HT47" s="203"/>
      <c r="HU47" s="204" t="s">
        <v>457</v>
      </c>
      <c r="HV47" s="203"/>
      <c r="HW47" s="203"/>
      <c r="HX47" s="203"/>
      <c r="HY47" s="203"/>
      <c r="HZ47" s="204" t="s">
        <v>457</v>
      </c>
      <c r="IA47" s="203"/>
      <c r="IB47" s="203"/>
      <c r="IC47" s="203"/>
      <c r="ID47" s="203"/>
      <c r="IE47" s="204" t="s">
        <v>457</v>
      </c>
      <c r="IF47" s="203"/>
      <c r="IG47" s="203"/>
      <c r="IH47" s="203"/>
      <c r="II47" s="203"/>
      <c r="IJ47" s="140" t="str">
        <f t="shared" si="2"/>
        <v>○</v>
      </c>
    </row>
    <row r="48" spans="1:244" s="96" customFormat="1" ht="105.6">
      <c r="A48" s="97" t="s">
        <v>583</v>
      </c>
      <c r="B48" s="171" t="s">
        <v>212</v>
      </c>
      <c r="C48" s="171" t="s">
        <v>152</v>
      </c>
      <c r="D48" s="171" t="s">
        <v>151</v>
      </c>
      <c r="E48" s="191" t="s">
        <v>151</v>
      </c>
      <c r="F48" s="171" t="s">
        <v>152</v>
      </c>
      <c r="G48" s="171" t="s">
        <v>151</v>
      </c>
      <c r="H48" s="191" t="s">
        <v>151</v>
      </c>
      <c r="I48" s="171" t="s">
        <v>152</v>
      </c>
      <c r="J48" s="171" t="s">
        <v>151</v>
      </c>
      <c r="K48" s="191" t="s">
        <v>151</v>
      </c>
      <c r="L48" s="171" t="s">
        <v>152</v>
      </c>
      <c r="M48" s="171" t="s">
        <v>151</v>
      </c>
      <c r="N48" s="191" t="s">
        <v>151</v>
      </c>
      <c r="O48" s="171" t="s">
        <v>152</v>
      </c>
      <c r="P48" s="171" t="s">
        <v>151</v>
      </c>
      <c r="Q48" s="191" t="s">
        <v>151</v>
      </c>
      <c r="R48" s="171" t="s">
        <v>152</v>
      </c>
      <c r="S48" s="171" t="s">
        <v>151</v>
      </c>
      <c r="T48" s="191" t="s">
        <v>151</v>
      </c>
      <c r="U48" s="171" t="s">
        <v>160</v>
      </c>
      <c r="V48" s="171" t="s">
        <v>151</v>
      </c>
      <c r="W48" s="191" t="s">
        <v>151</v>
      </c>
      <c r="X48" s="171"/>
      <c r="Y48" s="171"/>
      <c r="Z48" s="171" t="s">
        <v>152</v>
      </c>
      <c r="AA48" s="192" t="str">
        <f t="shared" si="102"/>
        <v/>
      </c>
      <c r="AB48" s="171" t="s">
        <v>152</v>
      </c>
      <c r="AC48" s="171"/>
      <c r="AD48" s="192" t="str">
        <f t="shared" si="103"/>
        <v>○</v>
      </c>
      <c r="AE48" s="193" t="s">
        <v>229</v>
      </c>
      <c r="AF48" s="191" t="s">
        <v>534</v>
      </c>
      <c r="AG48" s="191"/>
      <c r="AH48" s="171" t="s">
        <v>160</v>
      </c>
      <c r="AI48" s="171" t="s">
        <v>151</v>
      </c>
      <c r="AJ48" s="191" t="s">
        <v>151</v>
      </c>
      <c r="AK48" s="171" t="s">
        <v>152</v>
      </c>
      <c r="AL48" s="171" t="s">
        <v>151</v>
      </c>
      <c r="AM48" s="191" t="s">
        <v>151</v>
      </c>
      <c r="AN48" s="171" t="s">
        <v>152</v>
      </c>
      <c r="AO48" s="171" t="s">
        <v>151</v>
      </c>
      <c r="AP48" s="191" t="s">
        <v>151</v>
      </c>
      <c r="AQ48" s="171" t="s">
        <v>152</v>
      </c>
      <c r="AR48" s="171" t="s">
        <v>151</v>
      </c>
      <c r="AS48" s="191" t="s">
        <v>151</v>
      </c>
      <c r="AT48" s="171" t="s">
        <v>152</v>
      </c>
      <c r="AU48" s="171" t="s">
        <v>151</v>
      </c>
      <c r="AV48" s="191" t="s">
        <v>151</v>
      </c>
      <c r="AW48" s="170">
        <v>8</v>
      </c>
      <c r="AX48" s="170">
        <v>8</v>
      </c>
      <c r="AY48" s="194">
        <f t="shared" si="81"/>
        <v>1</v>
      </c>
      <c r="AZ48" s="191" t="s">
        <v>151</v>
      </c>
      <c r="BA48" s="171">
        <v>0</v>
      </c>
      <c r="BB48" s="191" t="s">
        <v>151</v>
      </c>
      <c r="BC48" s="170">
        <v>0</v>
      </c>
      <c r="BD48" s="170">
        <v>0</v>
      </c>
      <c r="BE48" s="194" t="str">
        <f t="shared" si="82"/>
        <v/>
      </c>
      <c r="BF48" s="191" t="s">
        <v>151</v>
      </c>
      <c r="BG48" s="171">
        <v>0</v>
      </c>
      <c r="BH48" s="191" t="s">
        <v>151</v>
      </c>
      <c r="BI48" s="170">
        <v>0</v>
      </c>
      <c r="BJ48" s="170">
        <v>0</v>
      </c>
      <c r="BK48" s="194" t="str">
        <f t="shared" si="83"/>
        <v/>
      </c>
      <c r="BL48" s="191" t="s">
        <v>151</v>
      </c>
      <c r="BM48" s="171">
        <v>0</v>
      </c>
      <c r="BN48" s="191" t="s">
        <v>151</v>
      </c>
      <c r="BO48" s="170">
        <v>0</v>
      </c>
      <c r="BP48" s="170">
        <v>0</v>
      </c>
      <c r="BQ48" s="194" t="str">
        <f t="shared" si="84"/>
        <v/>
      </c>
      <c r="BR48" s="191" t="s">
        <v>151</v>
      </c>
      <c r="BS48" s="171">
        <v>0</v>
      </c>
      <c r="BT48" s="191" t="s">
        <v>151</v>
      </c>
      <c r="BU48" s="170">
        <v>0</v>
      </c>
      <c r="BV48" s="170">
        <v>0</v>
      </c>
      <c r="BW48" s="194" t="str">
        <f t="shared" si="85"/>
        <v/>
      </c>
      <c r="BX48" s="191" t="s">
        <v>151</v>
      </c>
      <c r="BY48" s="171">
        <v>0</v>
      </c>
      <c r="BZ48" s="191" t="s">
        <v>151</v>
      </c>
      <c r="CA48" s="170">
        <v>0</v>
      </c>
      <c r="CB48" s="170">
        <v>0</v>
      </c>
      <c r="CC48" s="194" t="str">
        <f t="shared" si="86"/>
        <v/>
      </c>
      <c r="CD48" s="191" t="s">
        <v>151</v>
      </c>
      <c r="CE48" s="171">
        <v>0</v>
      </c>
      <c r="CF48" s="191" t="s">
        <v>151</v>
      </c>
      <c r="CG48" s="170">
        <v>1</v>
      </c>
      <c r="CH48" s="170">
        <v>1</v>
      </c>
      <c r="CI48" s="194">
        <f t="shared" si="87"/>
        <v>1</v>
      </c>
      <c r="CJ48" s="191" t="s">
        <v>151</v>
      </c>
      <c r="CK48" s="171">
        <v>0</v>
      </c>
      <c r="CL48" s="191" t="s">
        <v>151</v>
      </c>
      <c r="CM48" s="170">
        <v>2</v>
      </c>
      <c r="CN48" s="170">
        <v>1</v>
      </c>
      <c r="CO48" s="194">
        <f t="shared" si="88"/>
        <v>0.5</v>
      </c>
      <c r="CP48" s="191" t="s">
        <v>252</v>
      </c>
      <c r="CQ48" s="171">
        <v>0</v>
      </c>
      <c r="CR48" s="191" t="s">
        <v>151</v>
      </c>
      <c r="CS48" s="170">
        <v>0</v>
      </c>
      <c r="CT48" s="170">
        <v>0</v>
      </c>
      <c r="CU48" s="194" t="str">
        <f t="shared" si="89"/>
        <v/>
      </c>
      <c r="CV48" s="191" t="s">
        <v>151</v>
      </c>
      <c r="CW48" s="171">
        <v>0</v>
      </c>
      <c r="CX48" s="191" t="s">
        <v>151</v>
      </c>
      <c r="CY48" s="170">
        <v>3</v>
      </c>
      <c r="CZ48" s="170">
        <v>0</v>
      </c>
      <c r="DA48" s="194">
        <f t="shared" si="90"/>
        <v>0</v>
      </c>
      <c r="DB48" s="191" t="s">
        <v>280</v>
      </c>
      <c r="DC48" s="171">
        <v>3</v>
      </c>
      <c r="DD48" s="191" t="s">
        <v>280</v>
      </c>
      <c r="DE48" s="170">
        <v>14</v>
      </c>
      <c r="DF48" s="170">
        <v>8</v>
      </c>
      <c r="DG48" s="194">
        <f t="shared" si="91"/>
        <v>0.5714285714285714</v>
      </c>
      <c r="DH48" s="191" t="s">
        <v>287</v>
      </c>
      <c r="DI48" s="171">
        <v>0</v>
      </c>
      <c r="DJ48" s="191" t="s">
        <v>151</v>
      </c>
      <c r="DK48" s="170">
        <v>62</v>
      </c>
      <c r="DL48" s="170">
        <v>0</v>
      </c>
      <c r="DM48" s="194">
        <f t="shared" si="101"/>
        <v>0</v>
      </c>
      <c r="DN48" s="191" t="s">
        <v>297</v>
      </c>
      <c r="DO48" s="171">
        <v>0</v>
      </c>
      <c r="DP48" s="191" t="s">
        <v>151</v>
      </c>
      <c r="DQ48" s="170">
        <v>0</v>
      </c>
      <c r="DR48" s="170">
        <v>0</v>
      </c>
      <c r="DS48" s="194" t="str">
        <f t="shared" si="93"/>
        <v/>
      </c>
      <c r="DT48" s="191" t="s">
        <v>151</v>
      </c>
      <c r="DU48" s="191">
        <v>0</v>
      </c>
      <c r="DV48" s="191" t="s">
        <v>151</v>
      </c>
      <c r="DW48" s="170">
        <v>0</v>
      </c>
      <c r="DX48" s="170">
        <v>0</v>
      </c>
      <c r="DY48" s="194" t="str">
        <f t="shared" si="94"/>
        <v/>
      </c>
      <c r="DZ48" s="191" t="s">
        <v>151</v>
      </c>
      <c r="EA48" s="171">
        <v>0</v>
      </c>
      <c r="EB48" s="191" t="s">
        <v>151</v>
      </c>
      <c r="EC48" s="170">
        <v>1</v>
      </c>
      <c r="ED48" s="170">
        <v>0</v>
      </c>
      <c r="EE48" s="194">
        <f t="shared" si="95"/>
        <v>0</v>
      </c>
      <c r="EF48" s="191" t="s">
        <v>280</v>
      </c>
      <c r="EG48" s="171">
        <v>1</v>
      </c>
      <c r="EH48" s="191" t="s">
        <v>280</v>
      </c>
      <c r="EI48" s="170">
        <v>5</v>
      </c>
      <c r="EJ48" s="170">
        <v>5</v>
      </c>
      <c r="EK48" s="194">
        <f t="shared" si="96"/>
        <v>1</v>
      </c>
      <c r="EL48" s="191" t="s">
        <v>151</v>
      </c>
      <c r="EM48" s="171">
        <v>0</v>
      </c>
      <c r="EN48" s="191" t="s">
        <v>151</v>
      </c>
      <c r="EO48" s="170">
        <v>0</v>
      </c>
      <c r="EP48" s="170">
        <v>0</v>
      </c>
      <c r="EQ48" s="194" t="str">
        <f t="shared" si="97"/>
        <v/>
      </c>
      <c r="ER48" s="191" t="s">
        <v>151</v>
      </c>
      <c r="ES48" s="171">
        <v>0</v>
      </c>
      <c r="ET48" s="191" t="s">
        <v>151</v>
      </c>
      <c r="EU48" s="170">
        <v>2</v>
      </c>
      <c r="EV48" s="170">
        <v>2</v>
      </c>
      <c r="EW48" s="194">
        <f t="shared" si="98"/>
        <v>1</v>
      </c>
      <c r="EX48" s="191" t="s">
        <v>151</v>
      </c>
      <c r="EY48" s="171">
        <v>0</v>
      </c>
      <c r="EZ48" s="191" t="s">
        <v>151</v>
      </c>
      <c r="FA48" s="170">
        <v>4</v>
      </c>
      <c r="FB48" s="170">
        <v>2</v>
      </c>
      <c r="FC48" s="194">
        <f t="shared" si="99"/>
        <v>0.5</v>
      </c>
      <c r="FD48" s="191" t="s">
        <v>280</v>
      </c>
      <c r="FE48" s="171">
        <v>2</v>
      </c>
      <c r="FF48" s="191" t="s">
        <v>280</v>
      </c>
      <c r="FG48" s="170">
        <v>0</v>
      </c>
      <c r="FH48" s="170">
        <v>0</v>
      </c>
      <c r="FI48" s="194" t="str">
        <f t="shared" si="100"/>
        <v/>
      </c>
      <c r="FJ48" s="191" t="s">
        <v>151</v>
      </c>
      <c r="FK48" s="171">
        <v>0</v>
      </c>
      <c r="FL48" s="191" t="s">
        <v>151</v>
      </c>
      <c r="FM48" s="170">
        <v>0</v>
      </c>
      <c r="FN48" s="170">
        <v>0</v>
      </c>
      <c r="FO48" s="194" t="str">
        <f t="shared" si="75"/>
        <v/>
      </c>
      <c r="FP48" s="191" t="s">
        <v>151</v>
      </c>
      <c r="FQ48" s="171">
        <v>0</v>
      </c>
      <c r="FR48" s="191" t="s">
        <v>151</v>
      </c>
      <c r="FS48" s="170">
        <v>1</v>
      </c>
      <c r="FT48" s="170">
        <v>0</v>
      </c>
      <c r="FU48" s="194">
        <f t="shared" si="76"/>
        <v>0</v>
      </c>
      <c r="FV48" s="191" t="s">
        <v>280</v>
      </c>
      <c r="FW48" s="171">
        <v>1</v>
      </c>
      <c r="FX48" s="191" t="s">
        <v>280</v>
      </c>
      <c r="FY48" s="170">
        <v>0</v>
      </c>
      <c r="FZ48" s="170">
        <v>0</v>
      </c>
      <c r="GA48" s="194" t="str">
        <f t="shared" si="77"/>
        <v/>
      </c>
      <c r="GB48" s="191" t="s">
        <v>151</v>
      </c>
      <c r="GC48" s="171">
        <v>0</v>
      </c>
      <c r="GD48" s="191" t="s">
        <v>151</v>
      </c>
      <c r="GE48" s="191" t="s">
        <v>437</v>
      </c>
      <c r="GF48" s="191" t="s">
        <v>439</v>
      </c>
      <c r="GG48" s="171" t="s">
        <v>152</v>
      </c>
      <c r="GH48" s="171" t="s">
        <v>152</v>
      </c>
      <c r="GI48" s="171" t="s">
        <v>152</v>
      </c>
      <c r="GJ48" s="171" t="s">
        <v>152</v>
      </c>
      <c r="GK48" s="191" t="s">
        <v>151</v>
      </c>
      <c r="GL48" s="171" t="s">
        <v>152</v>
      </c>
      <c r="GM48" s="171" t="s">
        <v>152</v>
      </c>
      <c r="GN48" s="171" t="s">
        <v>152</v>
      </c>
      <c r="GO48" s="171" t="s">
        <v>152</v>
      </c>
      <c r="GP48" s="171" t="s">
        <v>152</v>
      </c>
      <c r="GQ48" s="171" t="s">
        <v>152</v>
      </c>
      <c r="GR48" s="465" t="s">
        <v>152</v>
      </c>
      <c r="GS48" s="466"/>
      <c r="GT48" s="171" t="s">
        <v>152</v>
      </c>
      <c r="GU48" s="171"/>
      <c r="GV48" s="171"/>
      <c r="GW48" s="195" t="s">
        <v>152</v>
      </c>
      <c r="GX48" s="195"/>
      <c r="GY48" s="171"/>
      <c r="GZ48" s="171"/>
      <c r="HA48" s="191"/>
      <c r="HB48" s="191"/>
      <c r="HC48" s="191"/>
      <c r="HD48" s="171" t="s">
        <v>152</v>
      </c>
      <c r="HE48" s="191"/>
      <c r="HF48" s="191" t="s">
        <v>726</v>
      </c>
      <c r="HG48" s="171" t="s">
        <v>152</v>
      </c>
      <c r="HH48" s="191"/>
      <c r="HI48" s="191"/>
      <c r="HJ48" s="191"/>
      <c r="HK48" s="191"/>
      <c r="HL48" s="191"/>
      <c r="HM48" s="191"/>
      <c r="HN48" s="171" t="s">
        <v>152</v>
      </c>
      <c r="HO48" s="191"/>
      <c r="HP48" s="191"/>
      <c r="HQ48" s="191"/>
      <c r="HR48" s="191"/>
      <c r="HS48" s="191"/>
      <c r="HT48" s="191"/>
      <c r="HU48" s="191"/>
      <c r="HV48" s="191"/>
      <c r="HW48" s="171" t="s">
        <v>152</v>
      </c>
      <c r="HX48" s="191"/>
      <c r="HY48" s="191" t="s">
        <v>761</v>
      </c>
      <c r="HZ48" s="191"/>
      <c r="IA48" s="191"/>
      <c r="IB48" s="171" t="s">
        <v>152</v>
      </c>
      <c r="IC48" s="191"/>
      <c r="ID48" s="191" t="s">
        <v>727</v>
      </c>
      <c r="IE48" s="191"/>
      <c r="IF48" s="191"/>
      <c r="IG48" s="171" t="s">
        <v>152</v>
      </c>
      <c r="IH48" s="191"/>
      <c r="II48" s="191" t="s">
        <v>727</v>
      </c>
      <c r="IJ48" s="141" t="str">
        <f t="shared" si="2"/>
        <v>○</v>
      </c>
    </row>
    <row r="49" spans="1:244" s="93" customFormat="1" ht="141" customHeight="1">
      <c r="A49" s="97" t="s">
        <v>452</v>
      </c>
      <c r="B49" s="204" t="s">
        <v>213</v>
      </c>
      <c r="C49" s="198" t="s">
        <v>152</v>
      </c>
      <c r="D49" s="198" t="s">
        <v>151</v>
      </c>
      <c r="E49" s="203" t="s">
        <v>151</v>
      </c>
      <c r="F49" s="198" t="s">
        <v>152</v>
      </c>
      <c r="G49" s="198" t="s">
        <v>151</v>
      </c>
      <c r="H49" s="203" t="s">
        <v>151</v>
      </c>
      <c r="I49" s="198" t="s">
        <v>160</v>
      </c>
      <c r="J49" s="198" t="s">
        <v>151</v>
      </c>
      <c r="K49" s="203" t="s">
        <v>151</v>
      </c>
      <c r="L49" s="198" t="s">
        <v>152</v>
      </c>
      <c r="M49" s="198" t="s">
        <v>151</v>
      </c>
      <c r="N49" s="203" t="s">
        <v>151</v>
      </c>
      <c r="O49" s="198" t="s">
        <v>152</v>
      </c>
      <c r="P49" s="198" t="s">
        <v>151</v>
      </c>
      <c r="Q49" s="203" t="s">
        <v>151</v>
      </c>
      <c r="R49" s="198" t="s">
        <v>152</v>
      </c>
      <c r="S49" s="198" t="s">
        <v>151</v>
      </c>
      <c r="T49" s="203" t="s">
        <v>151</v>
      </c>
      <c r="U49" s="198" t="s">
        <v>152</v>
      </c>
      <c r="V49" s="198" t="s">
        <v>151</v>
      </c>
      <c r="W49" s="203" t="s">
        <v>151</v>
      </c>
      <c r="X49" s="204"/>
      <c r="Y49" s="204" t="s">
        <v>152</v>
      </c>
      <c r="Z49" s="204"/>
      <c r="AA49" s="98" t="str">
        <f t="shared" si="102"/>
        <v>○</v>
      </c>
      <c r="AB49" s="204" t="s">
        <v>152</v>
      </c>
      <c r="AC49" s="204"/>
      <c r="AD49" s="98" t="str">
        <f t="shared" si="103"/>
        <v/>
      </c>
      <c r="AE49" s="99"/>
      <c r="AF49" s="203"/>
      <c r="AG49" s="203"/>
      <c r="AH49" s="198" t="s">
        <v>160</v>
      </c>
      <c r="AI49" s="198" t="s">
        <v>151</v>
      </c>
      <c r="AJ49" s="203" t="s">
        <v>151</v>
      </c>
      <c r="AK49" s="198" t="s">
        <v>152</v>
      </c>
      <c r="AL49" s="198" t="s">
        <v>151</v>
      </c>
      <c r="AM49" s="203" t="s">
        <v>151</v>
      </c>
      <c r="AN49" s="198" t="s">
        <v>152</v>
      </c>
      <c r="AO49" s="198" t="s">
        <v>151</v>
      </c>
      <c r="AP49" s="203" t="s">
        <v>151</v>
      </c>
      <c r="AQ49" s="198" t="s">
        <v>152</v>
      </c>
      <c r="AR49" s="198" t="s">
        <v>151</v>
      </c>
      <c r="AS49" s="203" t="s">
        <v>151</v>
      </c>
      <c r="AT49" s="198" t="s">
        <v>152</v>
      </c>
      <c r="AU49" s="198" t="s">
        <v>151</v>
      </c>
      <c r="AV49" s="203" t="s">
        <v>151</v>
      </c>
      <c r="AW49" s="201">
        <v>1</v>
      </c>
      <c r="AX49" s="201">
        <v>1</v>
      </c>
      <c r="AY49" s="202">
        <f t="shared" si="81"/>
        <v>1</v>
      </c>
      <c r="AZ49" s="203" t="s">
        <v>151</v>
      </c>
      <c r="BA49" s="204">
        <v>0</v>
      </c>
      <c r="BB49" s="203" t="s">
        <v>151</v>
      </c>
      <c r="BC49" s="201">
        <v>4</v>
      </c>
      <c r="BD49" s="201">
        <v>3</v>
      </c>
      <c r="BE49" s="202">
        <f t="shared" si="82"/>
        <v>0.75</v>
      </c>
      <c r="BF49" s="203" t="s">
        <v>728</v>
      </c>
      <c r="BG49" s="204">
        <v>1</v>
      </c>
      <c r="BH49" s="203" t="s">
        <v>729</v>
      </c>
      <c r="BI49" s="201">
        <v>1</v>
      </c>
      <c r="BJ49" s="201">
        <v>1</v>
      </c>
      <c r="BK49" s="202">
        <f t="shared" si="83"/>
        <v>1</v>
      </c>
      <c r="BL49" s="203" t="s">
        <v>151</v>
      </c>
      <c r="BM49" s="204">
        <v>0</v>
      </c>
      <c r="BN49" s="203" t="s">
        <v>151</v>
      </c>
      <c r="BO49" s="201">
        <v>0</v>
      </c>
      <c r="BP49" s="201">
        <v>0</v>
      </c>
      <c r="BQ49" s="202" t="str">
        <f t="shared" si="84"/>
        <v/>
      </c>
      <c r="BR49" s="203" t="s">
        <v>151</v>
      </c>
      <c r="BS49" s="204">
        <v>0</v>
      </c>
      <c r="BT49" s="203" t="s">
        <v>151</v>
      </c>
      <c r="BU49" s="201">
        <v>0</v>
      </c>
      <c r="BV49" s="201">
        <v>0</v>
      </c>
      <c r="BW49" s="202" t="str">
        <f t="shared" si="85"/>
        <v/>
      </c>
      <c r="BX49" s="203" t="s">
        <v>151</v>
      </c>
      <c r="BY49" s="204">
        <v>0</v>
      </c>
      <c r="BZ49" s="203" t="s">
        <v>151</v>
      </c>
      <c r="CA49" s="201">
        <v>3</v>
      </c>
      <c r="CB49" s="201">
        <v>3</v>
      </c>
      <c r="CC49" s="202">
        <f t="shared" si="86"/>
        <v>1</v>
      </c>
      <c r="CD49" s="203" t="s">
        <v>151</v>
      </c>
      <c r="CE49" s="204">
        <v>0</v>
      </c>
      <c r="CF49" s="203" t="s">
        <v>151</v>
      </c>
      <c r="CG49" s="201">
        <v>0</v>
      </c>
      <c r="CH49" s="201">
        <v>0</v>
      </c>
      <c r="CI49" s="202" t="str">
        <f t="shared" si="87"/>
        <v/>
      </c>
      <c r="CJ49" s="203" t="s">
        <v>151</v>
      </c>
      <c r="CK49" s="204">
        <v>0</v>
      </c>
      <c r="CL49" s="203" t="s">
        <v>151</v>
      </c>
      <c r="CM49" s="201">
        <v>3</v>
      </c>
      <c r="CN49" s="201">
        <v>3</v>
      </c>
      <c r="CO49" s="202">
        <f t="shared" si="88"/>
        <v>1</v>
      </c>
      <c r="CP49" s="203" t="s">
        <v>151</v>
      </c>
      <c r="CQ49" s="204">
        <v>0</v>
      </c>
      <c r="CR49" s="203" t="s">
        <v>151</v>
      </c>
      <c r="CS49" s="201">
        <v>0</v>
      </c>
      <c r="CT49" s="201">
        <v>0</v>
      </c>
      <c r="CU49" s="202" t="str">
        <f t="shared" si="89"/>
        <v/>
      </c>
      <c r="CV49" s="203" t="s">
        <v>151</v>
      </c>
      <c r="CW49" s="204">
        <v>0</v>
      </c>
      <c r="CX49" s="203" t="s">
        <v>151</v>
      </c>
      <c r="CY49" s="201">
        <v>0</v>
      </c>
      <c r="CZ49" s="201">
        <v>0</v>
      </c>
      <c r="DA49" s="202" t="str">
        <f t="shared" si="90"/>
        <v/>
      </c>
      <c r="DB49" s="203" t="s">
        <v>151</v>
      </c>
      <c r="DC49" s="204">
        <v>0</v>
      </c>
      <c r="DD49" s="203" t="s">
        <v>151</v>
      </c>
      <c r="DE49" s="201">
        <v>6</v>
      </c>
      <c r="DF49" s="201">
        <v>6</v>
      </c>
      <c r="DG49" s="202">
        <f t="shared" si="91"/>
        <v>1</v>
      </c>
      <c r="DH49" s="203" t="s">
        <v>151</v>
      </c>
      <c r="DI49" s="204">
        <v>0</v>
      </c>
      <c r="DJ49" s="203" t="s">
        <v>151</v>
      </c>
      <c r="DK49" s="201">
        <v>207</v>
      </c>
      <c r="DL49" s="201">
        <v>0</v>
      </c>
      <c r="DM49" s="202">
        <f t="shared" si="101"/>
        <v>0</v>
      </c>
      <c r="DN49" s="203" t="s">
        <v>473</v>
      </c>
      <c r="DO49" s="204">
        <v>0</v>
      </c>
      <c r="DP49" s="203" t="s">
        <v>151</v>
      </c>
      <c r="DQ49" s="201">
        <v>0</v>
      </c>
      <c r="DR49" s="201">
        <v>0</v>
      </c>
      <c r="DS49" s="202" t="str">
        <f t="shared" si="93"/>
        <v/>
      </c>
      <c r="DT49" s="203" t="s">
        <v>151</v>
      </c>
      <c r="DU49" s="203">
        <v>0</v>
      </c>
      <c r="DV49" s="203" t="s">
        <v>151</v>
      </c>
      <c r="DW49" s="201">
        <v>0</v>
      </c>
      <c r="DX49" s="201">
        <v>0</v>
      </c>
      <c r="DY49" s="202" t="str">
        <f t="shared" si="94"/>
        <v/>
      </c>
      <c r="DZ49" s="203" t="s">
        <v>151</v>
      </c>
      <c r="EA49" s="204">
        <v>0</v>
      </c>
      <c r="EB49" s="203" t="s">
        <v>151</v>
      </c>
      <c r="EC49" s="201">
        <v>1</v>
      </c>
      <c r="ED49" s="201">
        <v>0</v>
      </c>
      <c r="EE49" s="202">
        <f t="shared" si="95"/>
        <v>0</v>
      </c>
      <c r="EF49" s="203" t="s">
        <v>764</v>
      </c>
      <c r="EG49" s="204">
        <v>1</v>
      </c>
      <c r="EH49" s="203" t="s">
        <v>765</v>
      </c>
      <c r="EI49" s="201">
        <v>11</v>
      </c>
      <c r="EJ49" s="201">
        <v>7</v>
      </c>
      <c r="EK49" s="202">
        <f t="shared" si="96"/>
        <v>0.63636363636363635</v>
      </c>
      <c r="EL49" s="203" t="s">
        <v>766</v>
      </c>
      <c r="EM49" s="204">
        <v>4</v>
      </c>
      <c r="EN49" s="203" t="s">
        <v>767</v>
      </c>
      <c r="EO49" s="201">
        <v>0</v>
      </c>
      <c r="EP49" s="201">
        <v>0</v>
      </c>
      <c r="EQ49" s="202" t="str">
        <f t="shared" si="97"/>
        <v/>
      </c>
      <c r="ER49" s="203" t="s">
        <v>151</v>
      </c>
      <c r="ES49" s="204">
        <v>0</v>
      </c>
      <c r="ET49" s="203" t="s">
        <v>151</v>
      </c>
      <c r="EU49" s="201">
        <v>3</v>
      </c>
      <c r="EV49" s="201">
        <v>3</v>
      </c>
      <c r="EW49" s="202">
        <f t="shared" si="98"/>
        <v>1</v>
      </c>
      <c r="EX49" s="203" t="s">
        <v>151</v>
      </c>
      <c r="EY49" s="204">
        <v>0</v>
      </c>
      <c r="EZ49" s="203" t="s">
        <v>151</v>
      </c>
      <c r="FA49" s="201">
        <v>5</v>
      </c>
      <c r="FB49" s="201">
        <v>4</v>
      </c>
      <c r="FC49" s="202">
        <f t="shared" si="99"/>
        <v>0.8</v>
      </c>
      <c r="FD49" s="203" t="s">
        <v>576</v>
      </c>
      <c r="FE49" s="204">
        <v>0</v>
      </c>
      <c r="FF49" s="203"/>
      <c r="FG49" s="201">
        <v>0</v>
      </c>
      <c r="FH49" s="201">
        <v>0</v>
      </c>
      <c r="FI49" s="202" t="str">
        <f t="shared" si="100"/>
        <v/>
      </c>
      <c r="FJ49" s="203" t="s">
        <v>151</v>
      </c>
      <c r="FK49" s="204">
        <v>0</v>
      </c>
      <c r="FL49" s="203" t="s">
        <v>151</v>
      </c>
      <c r="FM49" s="201">
        <v>0</v>
      </c>
      <c r="FN49" s="201">
        <v>0</v>
      </c>
      <c r="FO49" s="202" t="str">
        <f t="shared" si="75"/>
        <v/>
      </c>
      <c r="FP49" s="203" t="s">
        <v>151</v>
      </c>
      <c r="FQ49" s="204">
        <v>0</v>
      </c>
      <c r="FR49" s="203" t="s">
        <v>151</v>
      </c>
      <c r="FS49" s="201">
        <v>2</v>
      </c>
      <c r="FT49" s="201">
        <v>2</v>
      </c>
      <c r="FU49" s="202">
        <f t="shared" si="76"/>
        <v>1</v>
      </c>
      <c r="FV49" s="203" t="s">
        <v>151</v>
      </c>
      <c r="FW49" s="204">
        <v>0</v>
      </c>
      <c r="FX49" s="203" t="s">
        <v>151</v>
      </c>
      <c r="FY49" s="201">
        <v>0</v>
      </c>
      <c r="FZ49" s="201">
        <v>0</v>
      </c>
      <c r="GA49" s="202" t="str">
        <f t="shared" si="77"/>
        <v/>
      </c>
      <c r="GB49" s="203" t="s">
        <v>151</v>
      </c>
      <c r="GC49" s="204">
        <v>0</v>
      </c>
      <c r="GD49" s="203" t="s">
        <v>151</v>
      </c>
      <c r="GE49" s="203" t="s">
        <v>437</v>
      </c>
      <c r="GF49" s="203" t="s">
        <v>439</v>
      </c>
      <c r="GG49" s="204" t="s">
        <v>152</v>
      </c>
      <c r="GH49" s="204" t="s">
        <v>152</v>
      </c>
      <c r="GI49" s="204" t="s">
        <v>152</v>
      </c>
      <c r="GJ49" s="204" t="s">
        <v>152</v>
      </c>
      <c r="GK49" s="203" t="s">
        <v>151</v>
      </c>
      <c r="GL49" s="204" t="s">
        <v>152</v>
      </c>
      <c r="GM49" s="204" t="s">
        <v>152</v>
      </c>
      <c r="GN49" s="204" t="s">
        <v>152</v>
      </c>
      <c r="GO49" s="204" t="s">
        <v>152</v>
      </c>
      <c r="GP49" s="204" t="s">
        <v>151</v>
      </c>
      <c r="GQ49" s="204" t="s">
        <v>151</v>
      </c>
      <c r="GR49" s="100" t="s">
        <v>152</v>
      </c>
      <c r="GS49" s="101"/>
      <c r="GT49" s="204" t="s">
        <v>152</v>
      </c>
      <c r="GU49" s="204"/>
      <c r="GV49" s="204"/>
      <c r="GW49" s="145" t="s">
        <v>152</v>
      </c>
      <c r="GX49" s="145"/>
      <c r="GY49" s="204" t="s">
        <v>149</v>
      </c>
      <c r="GZ49" s="204" t="s">
        <v>457</v>
      </c>
      <c r="HA49" s="204"/>
      <c r="HB49" s="204"/>
      <c r="HC49" s="204"/>
      <c r="HD49" s="204"/>
      <c r="HE49" s="204"/>
      <c r="HF49" s="204"/>
      <c r="HG49" s="204" t="s">
        <v>457</v>
      </c>
      <c r="HH49" s="204"/>
      <c r="HI49" s="204"/>
      <c r="HJ49" s="204"/>
      <c r="HK49" s="204"/>
      <c r="HL49" s="204"/>
      <c r="HM49" s="204"/>
      <c r="HN49" s="204" t="s">
        <v>457</v>
      </c>
      <c r="HO49" s="203"/>
      <c r="HP49" s="203"/>
      <c r="HQ49" s="203"/>
      <c r="HR49" s="203"/>
      <c r="HS49" s="203"/>
      <c r="HT49" s="203"/>
      <c r="HU49" s="204" t="s">
        <v>457</v>
      </c>
      <c r="HV49" s="203"/>
      <c r="HW49" s="203"/>
      <c r="HX49" s="203"/>
      <c r="HY49" s="203"/>
      <c r="HZ49" s="204" t="s">
        <v>457</v>
      </c>
      <c r="IA49" s="203"/>
      <c r="IB49" s="203"/>
      <c r="IC49" s="203"/>
      <c r="ID49" s="203"/>
      <c r="IE49" s="204" t="s">
        <v>457</v>
      </c>
      <c r="IF49" s="203"/>
      <c r="IG49" s="203"/>
      <c r="IH49" s="203"/>
      <c r="II49" s="203"/>
      <c r="IJ49" s="140" t="str">
        <f t="shared" si="2"/>
        <v>○</v>
      </c>
    </row>
    <row r="50" spans="1:244" s="93" customFormat="1" ht="118.8">
      <c r="A50" s="97" t="s">
        <v>214</v>
      </c>
      <c r="B50" s="204" t="s">
        <v>215</v>
      </c>
      <c r="C50" s="198" t="s">
        <v>152</v>
      </c>
      <c r="D50" s="198" t="s">
        <v>151</v>
      </c>
      <c r="E50" s="203" t="s">
        <v>151</v>
      </c>
      <c r="F50" s="198" t="s">
        <v>152</v>
      </c>
      <c r="G50" s="198" t="s">
        <v>151</v>
      </c>
      <c r="H50" s="203" t="s">
        <v>151</v>
      </c>
      <c r="I50" s="198" t="s">
        <v>152</v>
      </c>
      <c r="J50" s="198" t="s">
        <v>151</v>
      </c>
      <c r="K50" s="203" t="s">
        <v>151</v>
      </c>
      <c r="L50" s="198" t="s">
        <v>152</v>
      </c>
      <c r="M50" s="198" t="s">
        <v>151</v>
      </c>
      <c r="N50" s="203" t="s">
        <v>151</v>
      </c>
      <c r="O50" s="198" t="s">
        <v>152</v>
      </c>
      <c r="P50" s="198" t="s">
        <v>151</v>
      </c>
      <c r="Q50" s="203" t="s">
        <v>151</v>
      </c>
      <c r="R50" s="198" t="s">
        <v>152</v>
      </c>
      <c r="S50" s="198" t="s">
        <v>151</v>
      </c>
      <c r="T50" s="203" t="s">
        <v>151</v>
      </c>
      <c r="U50" s="198" t="s">
        <v>152</v>
      </c>
      <c r="V50" s="198" t="s">
        <v>151</v>
      </c>
      <c r="W50" s="203" t="s">
        <v>151</v>
      </c>
      <c r="X50" s="204"/>
      <c r="Y50" s="204"/>
      <c r="Z50" s="204" t="s">
        <v>152</v>
      </c>
      <c r="AA50" s="98" t="str">
        <f>IF(OR(X50="○",Y50="○"),"○","")</f>
        <v/>
      </c>
      <c r="AB50" s="204" t="s">
        <v>152</v>
      </c>
      <c r="AC50" s="204"/>
      <c r="AD50" s="98" t="str">
        <f t="shared" si="103"/>
        <v>○</v>
      </c>
      <c r="AE50" s="99" t="s">
        <v>229</v>
      </c>
      <c r="AF50" s="203" t="s">
        <v>458</v>
      </c>
      <c r="AG50" s="203"/>
      <c r="AH50" s="198" t="s">
        <v>160</v>
      </c>
      <c r="AI50" s="198" t="s">
        <v>151</v>
      </c>
      <c r="AJ50" s="203" t="s">
        <v>151</v>
      </c>
      <c r="AK50" s="198" t="s">
        <v>152</v>
      </c>
      <c r="AL50" s="198" t="s">
        <v>151</v>
      </c>
      <c r="AM50" s="203" t="s">
        <v>151</v>
      </c>
      <c r="AN50" s="198" t="s">
        <v>152</v>
      </c>
      <c r="AO50" s="198" t="s">
        <v>151</v>
      </c>
      <c r="AP50" s="203" t="s">
        <v>151</v>
      </c>
      <c r="AQ50" s="198" t="s">
        <v>152</v>
      </c>
      <c r="AR50" s="198" t="s">
        <v>151</v>
      </c>
      <c r="AS50" s="203" t="s">
        <v>151</v>
      </c>
      <c r="AT50" s="198" t="s">
        <v>152</v>
      </c>
      <c r="AU50" s="198" t="s">
        <v>151</v>
      </c>
      <c r="AV50" s="203" t="s">
        <v>151</v>
      </c>
      <c r="AW50" s="201">
        <v>2</v>
      </c>
      <c r="AX50" s="201">
        <v>2</v>
      </c>
      <c r="AY50" s="202">
        <f t="shared" si="81"/>
        <v>1</v>
      </c>
      <c r="AZ50" s="203" t="s">
        <v>151</v>
      </c>
      <c r="BA50" s="204">
        <v>0</v>
      </c>
      <c r="BB50" s="203" t="s">
        <v>151</v>
      </c>
      <c r="BC50" s="201">
        <v>2</v>
      </c>
      <c r="BD50" s="201">
        <v>2</v>
      </c>
      <c r="BE50" s="202">
        <f t="shared" si="82"/>
        <v>1</v>
      </c>
      <c r="BF50" s="203" t="s">
        <v>151</v>
      </c>
      <c r="BG50" s="204">
        <v>0</v>
      </c>
      <c r="BH50" s="203" t="s">
        <v>151</v>
      </c>
      <c r="BI50" s="201">
        <v>1</v>
      </c>
      <c r="BJ50" s="201">
        <v>1</v>
      </c>
      <c r="BK50" s="202">
        <f t="shared" si="83"/>
        <v>1</v>
      </c>
      <c r="BL50" s="203" t="s">
        <v>151</v>
      </c>
      <c r="BM50" s="204">
        <v>0</v>
      </c>
      <c r="BN50" s="203" t="s">
        <v>151</v>
      </c>
      <c r="BO50" s="201">
        <v>2</v>
      </c>
      <c r="BP50" s="201">
        <v>2</v>
      </c>
      <c r="BQ50" s="202">
        <f t="shared" si="84"/>
        <v>1</v>
      </c>
      <c r="BR50" s="203" t="s">
        <v>151</v>
      </c>
      <c r="BS50" s="204">
        <v>0</v>
      </c>
      <c r="BT50" s="203" t="s">
        <v>151</v>
      </c>
      <c r="BU50" s="201">
        <v>0</v>
      </c>
      <c r="BV50" s="201">
        <v>0</v>
      </c>
      <c r="BW50" s="202" t="str">
        <f t="shared" si="85"/>
        <v/>
      </c>
      <c r="BX50" s="203" t="s">
        <v>151</v>
      </c>
      <c r="BY50" s="204">
        <v>0</v>
      </c>
      <c r="BZ50" s="203" t="s">
        <v>151</v>
      </c>
      <c r="CA50" s="201">
        <v>0</v>
      </c>
      <c r="CB50" s="201">
        <v>0</v>
      </c>
      <c r="CC50" s="202" t="str">
        <f t="shared" si="86"/>
        <v/>
      </c>
      <c r="CD50" s="203" t="s">
        <v>151</v>
      </c>
      <c r="CE50" s="204">
        <v>0</v>
      </c>
      <c r="CF50" s="203" t="s">
        <v>151</v>
      </c>
      <c r="CG50" s="201">
        <v>1</v>
      </c>
      <c r="CH50" s="201">
        <v>1</v>
      </c>
      <c r="CI50" s="202">
        <f t="shared" si="87"/>
        <v>1</v>
      </c>
      <c r="CJ50" s="203" t="s">
        <v>151</v>
      </c>
      <c r="CK50" s="204">
        <v>0</v>
      </c>
      <c r="CL50" s="203" t="s">
        <v>151</v>
      </c>
      <c r="CM50" s="201">
        <v>0</v>
      </c>
      <c r="CN50" s="201">
        <v>0</v>
      </c>
      <c r="CO50" s="202" t="str">
        <f t="shared" si="88"/>
        <v/>
      </c>
      <c r="CP50" s="203" t="s">
        <v>151</v>
      </c>
      <c r="CQ50" s="204">
        <v>0</v>
      </c>
      <c r="CR50" s="203" t="s">
        <v>151</v>
      </c>
      <c r="CS50" s="201">
        <v>0</v>
      </c>
      <c r="CT50" s="201">
        <v>0</v>
      </c>
      <c r="CU50" s="202" t="str">
        <f t="shared" si="89"/>
        <v/>
      </c>
      <c r="CV50" s="203" t="s">
        <v>151</v>
      </c>
      <c r="CW50" s="204">
        <v>0</v>
      </c>
      <c r="CX50" s="203" t="s">
        <v>151</v>
      </c>
      <c r="CY50" s="201">
        <v>2</v>
      </c>
      <c r="CZ50" s="201">
        <v>2</v>
      </c>
      <c r="DA50" s="202">
        <f t="shared" si="90"/>
        <v>1</v>
      </c>
      <c r="DB50" s="203" t="s">
        <v>151</v>
      </c>
      <c r="DC50" s="204">
        <v>0</v>
      </c>
      <c r="DD50" s="203" t="s">
        <v>151</v>
      </c>
      <c r="DE50" s="201">
        <v>4</v>
      </c>
      <c r="DF50" s="201">
        <v>4</v>
      </c>
      <c r="DG50" s="202">
        <f t="shared" si="91"/>
        <v>1</v>
      </c>
      <c r="DH50" s="203" t="s">
        <v>151</v>
      </c>
      <c r="DI50" s="204">
        <v>0</v>
      </c>
      <c r="DJ50" s="203" t="s">
        <v>151</v>
      </c>
      <c r="DK50" s="201">
        <v>2</v>
      </c>
      <c r="DL50" s="201">
        <v>2</v>
      </c>
      <c r="DM50" s="202">
        <f t="shared" si="101"/>
        <v>1</v>
      </c>
      <c r="DN50" s="203" t="s">
        <v>151</v>
      </c>
      <c r="DO50" s="204">
        <v>0</v>
      </c>
      <c r="DP50" s="203" t="s">
        <v>151</v>
      </c>
      <c r="DQ50" s="201">
        <v>0</v>
      </c>
      <c r="DR50" s="201">
        <v>0</v>
      </c>
      <c r="DS50" s="202" t="str">
        <f t="shared" si="93"/>
        <v/>
      </c>
      <c r="DT50" s="203" t="s">
        <v>151</v>
      </c>
      <c r="DU50" s="203">
        <v>0</v>
      </c>
      <c r="DV50" s="203" t="s">
        <v>151</v>
      </c>
      <c r="DW50" s="201">
        <v>0</v>
      </c>
      <c r="DX50" s="201">
        <v>0</v>
      </c>
      <c r="DY50" s="202" t="str">
        <f t="shared" si="94"/>
        <v/>
      </c>
      <c r="DZ50" s="203" t="s">
        <v>151</v>
      </c>
      <c r="EA50" s="204">
        <v>0</v>
      </c>
      <c r="EB50" s="203" t="s">
        <v>151</v>
      </c>
      <c r="EC50" s="201">
        <v>1</v>
      </c>
      <c r="ED50" s="201">
        <v>0</v>
      </c>
      <c r="EE50" s="202">
        <f t="shared" si="95"/>
        <v>0</v>
      </c>
      <c r="EF50" s="203" t="s">
        <v>338</v>
      </c>
      <c r="EG50" s="204">
        <v>1</v>
      </c>
      <c r="EH50" s="203" t="s">
        <v>338</v>
      </c>
      <c r="EI50" s="201">
        <v>7</v>
      </c>
      <c r="EJ50" s="201">
        <v>1</v>
      </c>
      <c r="EK50" s="202">
        <f t="shared" si="96"/>
        <v>0.14285714285714285</v>
      </c>
      <c r="EL50" s="203" t="s">
        <v>338</v>
      </c>
      <c r="EM50" s="204">
        <v>6</v>
      </c>
      <c r="EN50" s="203" t="s">
        <v>338</v>
      </c>
      <c r="EO50" s="201">
        <v>0</v>
      </c>
      <c r="EP50" s="201">
        <v>0</v>
      </c>
      <c r="EQ50" s="202" t="str">
        <f t="shared" si="97"/>
        <v/>
      </c>
      <c r="ER50" s="203" t="s">
        <v>151</v>
      </c>
      <c r="ES50" s="204">
        <v>0</v>
      </c>
      <c r="ET50" s="203" t="s">
        <v>151</v>
      </c>
      <c r="EU50" s="201">
        <v>2</v>
      </c>
      <c r="EV50" s="201">
        <v>2</v>
      </c>
      <c r="EW50" s="202">
        <f t="shared" si="98"/>
        <v>1</v>
      </c>
      <c r="EX50" s="203" t="s">
        <v>151</v>
      </c>
      <c r="EY50" s="204">
        <v>0</v>
      </c>
      <c r="EZ50" s="203" t="s">
        <v>151</v>
      </c>
      <c r="FA50" s="201">
        <v>3</v>
      </c>
      <c r="FB50" s="201">
        <v>3</v>
      </c>
      <c r="FC50" s="202">
        <f t="shared" si="99"/>
        <v>1</v>
      </c>
      <c r="FD50" s="203" t="s">
        <v>151</v>
      </c>
      <c r="FE50" s="204">
        <v>0</v>
      </c>
      <c r="FF50" s="203" t="s">
        <v>151</v>
      </c>
      <c r="FG50" s="201">
        <v>0</v>
      </c>
      <c r="FH50" s="201">
        <v>0</v>
      </c>
      <c r="FI50" s="202" t="str">
        <f t="shared" si="100"/>
        <v/>
      </c>
      <c r="FJ50" s="203" t="s">
        <v>151</v>
      </c>
      <c r="FK50" s="204">
        <v>0</v>
      </c>
      <c r="FL50" s="203" t="s">
        <v>151</v>
      </c>
      <c r="FM50" s="201">
        <v>1</v>
      </c>
      <c r="FN50" s="201">
        <v>1</v>
      </c>
      <c r="FO50" s="202">
        <f t="shared" si="75"/>
        <v>1</v>
      </c>
      <c r="FP50" s="203" t="s">
        <v>151</v>
      </c>
      <c r="FQ50" s="204">
        <v>0</v>
      </c>
      <c r="FR50" s="203" t="s">
        <v>151</v>
      </c>
      <c r="FS50" s="201">
        <v>2</v>
      </c>
      <c r="FT50" s="201">
        <v>1</v>
      </c>
      <c r="FU50" s="202">
        <f t="shared" si="76"/>
        <v>0.5</v>
      </c>
      <c r="FV50" s="203" t="s">
        <v>338</v>
      </c>
      <c r="FW50" s="204">
        <v>1</v>
      </c>
      <c r="FX50" s="203" t="s">
        <v>338</v>
      </c>
      <c r="FY50" s="201">
        <v>0</v>
      </c>
      <c r="FZ50" s="201">
        <v>0</v>
      </c>
      <c r="GA50" s="202" t="str">
        <f t="shared" si="77"/>
        <v/>
      </c>
      <c r="GB50" s="203" t="s">
        <v>151</v>
      </c>
      <c r="GC50" s="204">
        <v>0</v>
      </c>
      <c r="GD50" s="203" t="s">
        <v>151</v>
      </c>
      <c r="GE50" s="203" t="s">
        <v>437</v>
      </c>
      <c r="GF50" s="203" t="s">
        <v>439</v>
      </c>
      <c r="GG50" s="204" t="s">
        <v>152</v>
      </c>
      <c r="GH50" s="204" t="s">
        <v>152</v>
      </c>
      <c r="GI50" s="204" t="s">
        <v>152</v>
      </c>
      <c r="GJ50" s="204" t="s">
        <v>152</v>
      </c>
      <c r="GK50" s="203" t="s">
        <v>151</v>
      </c>
      <c r="GL50" s="204" t="s">
        <v>152</v>
      </c>
      <c r="GM50" s="204" t="s">
        <v>152</v>
      </c>
      <c r="GN50" s="204" t="s">
        <v>151</v>
      </c>
      <c r="GO50" s="204" t="s">
        <v>151</v>
      </c>
      <c r="GP50" s="204" t="s">
        <v>152</v>
      </c>
      <c r="GQ50" s="204" t="s">
        <v>152</v>
      </c>
      <c r="GR50" s="100" t="s">
        <v>152</v>
      </c>
      <c r="GS50" s="101"/>
      <c r="GT50" s="204" t="s">
        <v>152</v>
      </c>
      <c r="GU50" s="204"/>
      <c r="GV50" s="204"/>
      <c r="GW50" s="145" t="s">
        <v>152</v>
      </c>
      <c r="GX50" s="145"/>
      <c r="GY50" s="204"/>
      <c r="GZ50" s="203"/>
      <c r="HA50" s="203"/>
      <c r="HB50" s="203"/>
      <c r="HC50" s="203"/>
      <c r="HD50" s="203" t="s">
        <v>152</v>
      </c>
      <c r="HE50" s="203"/>
      <c r="HF50" s="203" t="s">
        <v>730</v>
      </c>
      <c r="HG50" s="203" t="s">
        <v>152</v>
      </c>
      <c r="HH50" s="203"/>
      <c r="HI50" s="203"/>
      <c r="HJ50" s="203"/>
      <c r="HK50" s="203"/>
      <c r="HL50" s="203"/>
      <c r="HM50" s="203"/>
      <c r="HN50" s="203"/>
      <c r="HO50" s="203"/>
      <c r="HP50" s="203"/>
      <c r="HQ50" s="203"/>
      <c r="HR50" s="203" t="s">
        <v>152</v>
      </c>
      <c r="HS50" s="203"/>
      <c r="HT50" s="203" t="s">
        <v>730</v>
      </c>
      <c r="HU50" s="203"/>
      <c r="HV50" s="203"/>
      <c r="HW50" s="203" t="s">
        <v>689</v>
      </c>
      <c r="HX50" s="203"/>
      <c r="HY50" s="203" t="s">
        <v>730</v>
      </c>
      <c r="HZ50" s="203" t="s">
        <v>152</v>
      </c>
      <c r="IA50" s="203"/>
      <c r="IB50" s="203"/>
      <c r="IC50" s="203"/>
      <c r="ID50" s="203"/>
      <c r="IE50" s="203"/>
      <c r="IF50" s="203"/>
      <c r="IG50" s="203" t="s">
        <v>689</v>
      </c>
      <c r="IH50" s="203"/>
      <c r="II50" s="203" t="s">
        <v>730</v>
      </c>
      <c r="IJ50" s="140" t="str">
        <f t="shared" si="2"/>
        <v>○</v>
      </c>
    </row>
    <row r="51" spans="1:244" s="93" customFormat="1" ht="184.8">
      <c r="A51" s="97" t="s">
        <v>453</v>
      </c>
      <c r="B51" s="204" t="s">
        <v>216</v>
      </c>
      <c r="C51" s="198" t="s">
        <v>152</v>
      </c>
      <c r="D51" s="198" t="s">
        <v>151</v>
      </c>
      <c r="E51" s="203" t="s">
        <v>151</v>
      </c>
      <c r="F51" s="198" t="s">
        <v>152</v>
      </c>
      <c r="G51" s="198" t="s">
        <v>151</v>
      </c>
      <c r="H51" s="203" t="s">
        <v>731</v>
      </c>
      <c r="I51" s="198" t="s">
        <v>160</v>
      </c>
      <c r="J51" s="198" t="s">
        <v>151</v>
      </c>
      <c r="K51" s="203" t="s">
        <v>151</v>
      </c>
      <c r="L51" s="198" t="s">
        <v>160</v>
      </c>
      <c r="M51" s="198" t="s">
        <v>152</v>
      </c>
      <c r="N51" s="203" t="s">
        <v>217</v>
      </c>
      <c r="O51" s="198" t="s">
        <v>152</v>
      </c>
      <c r="P51" s="198" t="s">
        <v>151</v>
      </c>
      <c r="Q51" s="203" t="s">
        <v>151</v>
      </c>
      <c r="R51" s="198" t="s">
        <v>152</v>
      </c>
      <c r="S51" s="198" t="s">
        <v>151</v>
      </c>
      <c r="T51" s="203" t="s">
        <v>151</v>
      </c>
      <c r="U51" s="198" t="s">
        <v>152</v>
      </c>
      <c r="V51" s="198" t="s">
        <v>151</v>
      </c>
      <c r="W51" s="203" t="s">
        <v>151</v>
      </c>
      <c r="X51" s="204"/>
      <c r="Y51" s="204" t="s">
        <v>152</v>
      </c>
      <c r="Z51" s="204"/>
      <c r="AA51" s="98" t="str">
        <f t="shared" ref="AA51:AA52" si="104">IF(OR(X51="○",Y51="○"),"○","")</f>
        <v>○</v>
      </c>
      <c r="AB51" s="204" t="s">
        <v>152</v>
      </c>
      <c r="AC51" s="204"/>
      <c r="AD51" s="98" t="str">
        <f t="shared" si="103"/>
        <v/>
      </c>
      <c r="AE51" s="99"/>
      <c r="AF51" s="203"/>
      <c r="AG51" s="203"/>
      <c r="AH51" s="198" t="s">
        <v>160</v>
      </c>
      <c r="AI51" s="198" t="s">
        <v>151</v>
      </c>
      <c r="AJ51" s="203" t="s">
        <v>151</v>
      </c>
      <c r="AK51" s="198" t="s">
        <v>152</v>
      </c>
      <c r="AL51" s="198" t="s">
        <v>151</v>
      </c>
      <c r="AM51" s="203" t="s">
        <v>151</v>
      </c>
      <c r="AN51" s="198" t="s">
        <v>152</v>
      </c>
      <c r="AO51" s="198" t="s">
        <v>151</v>
      </c>
      <c r="AP51" s="203" t="s">
        <v>151</v>
      </c>
      <c r="AQ51" s="198" t="s">
        <v>152</v>
      </c>
      <c r="AR51" s="198" t="s">
        <v>151</v>
      </c>
      <c r="AS51" s="203" t="s">
        <v>151</v>
      </c>
      <c r="AT51" s="198" t="s">
        <v>152</v>
      </c>
      <c r="AU51" s="198" t="s">
        <v>151</v>
      </c>
      <c r="AV51" s="203" t="s">
        <v>151</v>
      </c>
      <c r="AW51" s="201">
        <v>1</v>
      </c>
      <c r="AX51" s="201">
        <v>1</v>
      </c>
      <c r="AY51" s="202">
        <f t="shared" si="81"/>
        <v>1</v>
      </c>
      <c r="AZ51" s="203" t="s">
        <v>151</v>
      </c>
      <c r="BA51" s="204">
        <v>0</v>
      </c>
      <c r="BB51" s="203" t="s">
        <v>151</v>
      </c>
      <c r="BC51" s="201">
        <v>5</v>
      </c>
      <c r="BD51" s="201">
        <v>4</v>
      </c>
      <c r="BE51" s="202">
        <f t="shared" si="82"/>
        <v>0.8</v>
      </c>
      <c r="BF51" s="203" t="s">
        <v>243</v>
      </c>
      <c r="BG51" s="204">
        <v>0</v>
      </c>
      <c r="BH51" s="203" t="s">
        <v>151</v>
      </c>
      <c r="BI51" s="201">
        <v>0</v>
      </c>
      <c r="BJ51" s="201">
        <v>0</v>
      </c>
      <c r="BK51" s="202" t="str">
        <f t="shared" si="83"/>
        <v/>
      </c>
      <c r="BL51" s="203" t="s">
        <v>151</v>
      </c>
      <c r="BM51" s="204">
        <v>0</v>
      </c>
      <c r="BN51" s="203" t="s">
        <v>151</v>
      </c>
      <c r="BO51" s="201">
        <v>0</v>
      </c>
      <c r="BP51" s="201">
        <v>0</v>
      </c>
      <c r="BQ51" s="202" t="str">
        <f t="shared" si="84"/>
        <v/>
      </c>
      <c r="BR51" s="203" t="s">
        <v>151</v>
      </c>
      <c r="BS51" s="204">
        <v>0</v>
      </c>
      <c r="BT51" s="203" t="s">
        <v>151</v>
      </c>
      <c r="BU51" s="201">
        <v>0</v>
      </c>
      <c r="BV51" s="201">
        <v>0</v>
      </c>
      <c r="BW51" s="202" t="str">
        <f t="shared" si="85"/>
        <v/>
      </c>
      <c r="BX51" s="203" t="s">
        <v>151</v>
      </c>
      <c r="BY51" s="204">
        <v>0</v>
      </c>
      <c r="BZ51" s="203" t="s">
        <v>151</v>
      </c>
      <c r="CA51" s="201">
        <v>2</v>
      </c>
      <c r="CB51" s="201">
        <v>2</v>
      </c>
      <c r="CC51" s="202">
        <f t="shared" si="86"/>
        <v>1</v>
      </c>
      <c r="CD51" s="203" t="s">
        <v>151</v>
      </c>
      <c r="CE51" s="204">
        <v>0</v>
      </c>
      <c r="CF51" s="203" t="s">
        <v>151</v>
      </c>
      <c r="CG51" s="201">
        <v>2</v>
      </c>
      <c r="CH51" s="201">
        <v>2</v>
      </c>
      <c r="CI51" s="202">
        <f t="shared" si="87"/>
        <v>1</v>
      </c>
      <c r="CJ51" s="203" t="s">
        <v>151</v>
      </c>
      <c r="CK51" s="204">
        <v>0</v>
      </c>
      <c r="CL51" s="203" t="s">
        <v>151</v>
      </c>
      <c r="CM51" s="201">
        <v>0</v>
      </c>
      <c r="CN51" s="201">
        <v>0</v>
      </c>
      <c r="CO51" s="202" t="str">
        <f t="shared" si="88"/>
        <v/>
      </c>
      <c r="CP51" s="203" t="s">
        <v>151</v>
      </c>
      <c r="CQ51" s="204">
        <v>0</v>
      </c>
      <c r="CR51" s="203" t="s">
        <v>151</v>
      </c>
      <c r="CS51" s="201">
        <v>0</v>
      </c>
      <c r="CT51" s="201">
        <v>0</v>
      </c>
      <c r="CU51" s="202" t="str">
        <f t="shared" si="89"/>
        <v/>
      </c>
      <c r="CV51" s="203" t="s">
        <v>151</v>
      </c>
      <c r="CW51" s="204">
        <v>0</v>
      </c>
      <c r="CX51" s="203" t="s">
        <v>151</v>
      </c>
      <c r="CY51" s="201">
        <v>0</v>
      </c>
      <c r="CZ51" s="201">
        <v>0</v>
      </c>
      <c r="DA51" s="202" t="str">
        <f t="shared" si="90"/>
        <v/>
      </c>
      <c r="DB51" s="203" t="s">
        <v>151</v>
      </c>
      <c r="DC51" s="204">
        <v>0</v>
      </c>
      <c r="DD51" s="203" t="s">
        <v>151</v>
      </c>
      <c r="DE51" s="201">
        <v>6</v>
      </c>
      <c r="DF51" s="201">
        <v>6</v>
      </c>
      <c r="DG51" s="202">
        <f t="shared" si="91"/>
        <v>1</v>
      </c>
      <c r="DH51" s="203" t="s">
        <v>151</v>
      </c>
      <c r="DI51" s="204">
        <v>0</v>
      </c>
      <c r="DJ51" s="203" t="s">
        <v>151</v>
      </c>
      <c r="DK51" s="201">
        <v>84</v>
      </c>
      <c r="DL51" s="201">
        <v>84</v>
      </c>
      <c r="DM51" s="202">
        <f t="shared" si="101"/>
        <v>1</v>
      </c>
      <c r="DN51" s="203" t="s">
        <v>151</v>
      </c>
      <c r="DO51" s="204">
        <v>0</v>
      </c>
      <c r="DP51" s="203" t="s">
        <v>151</v>
      </c>
      <c r="DQ51" s="201">
        <v>0</v>
      </c>
      <c r="DR51" s="201">
        <v>0</v>
      </c>
      <c r="DS51" s="202" t="str">
        <f t="shared" si="93"/>
        <v/>
      </c>
      <c r="DT51" s="203" t="s">
        <v>151</v>
      </c>
      <c r="DU51" s="203">
        <v>0</v>
      </c>
      <c r="DV51" s="203" t="s">
        <v>151</v>
      </c>
      <c r="DW51" s="201">
        <v>0</v>
      </c>
      <c r="DX51" s="201">
        <v>0</v>
      </c>
      <c r="DY51" s="202" t="str">
        <f t="shared" si="94"/>
        <v/>
      </c>
      <c r="DZ51" s="203" t="s">
        <v>151</v>
      </c>
      <c r="EA51" s="204">
        <v>0</v>
      </c>
      <c r="EB51" s="203" t="s">
        <v>151</v>
      </c>
      <c r="EC51" s="201">
        <v>1</v>
      </c>
      <c r="ED51" s="201">
        <v>0</v>
      </c>
      <c r="EE51" s="202">
        <f t="shared" si="95"/>
        <v>0</v>
      </c>
      <c r="EF51" s="203" t="s">
        <v>339</v>
      </c>
      <c r="EG51" s="204">
        <v>1</v>
      </c>
      <c r="EH51" s="203" t="s">
        <v>339</v>
      </c>
      <c r="EI51" s="201">
        <v>4</v>
      </c>
      <c r="EJ51" s="201">
        <v>4</v>
      </c>
      <c r="EK51" s="202">
        <f t="shared" si="96"/>
        <v>1</v>
      </c>
      <c r="EL51" s="203"/>
      <c r="EM51" s="204">
        <v>1</v>
      </c>
      <c r="EN51" s="203" t="s">
        <v>783</v>
      </c>
      <c r="EO51" s="201">
        <v>0</v>
      </c>
      <c r="EP51" s="201">
        <v>0</v>
      </c>
      <c r="EQ51" s="202" t="str">
        <f t="shared" si="97"/>
        <v/>
      </c>
      <c r="ER51" s="203" t="s">
        <v>151</v>
      </c>
      <c r="ES51" s="204">
        <v>0</v>
      </c>
      <c r="ET51" s="203" t="s">
        <v>151</v>
      </c>
      <c r="EU51" s="201">
        <v>1</v>
      </c>
      <c r="EV51" s="201">
        <v>0</v>
      </c>
      <c r="EW51" s="202">
        <f t="shared" si="98"/>
        <v>0</v>
      </c>
      <c r="EX51" s="203" t="s">
        <v>732</v>
      </c>
      <c r="EY51" s="204">
        <v>0</v>
      </c>
      <c r="EZ51" s="203" t="s">
        <v>151</v>
      </c>
      <c r="FA51" s="201">
        <v>5</v>
      </c>
      <c r="FB51" s="201">
        <v>5</v>
      </c>
      <c r="FC51" s="202">
        <f t="shared" si="99"/>
        <v>1</v>
      </c>
      <c r="FD51" s="203" t="s">
        <v>151</v>
      </c>
      <c r="FE51" s="204">
        <v>0</v>
      </c>
      <c r="FF51" s="203" t="s">
        <v>151</v>
      </c>
      <c r="FG51" s="201">
        <v>0</v>
      </c>
      <c r="FH51" s="201">
        <v>0</v>
      </c>
      <c r="FI51" s="202" t="str">
        <f t="shared" si="100"/>
        <v/>
      </c>
      <c r="FJ51" s="203" t="s">
        <v>151</v>
      </c>
      <c r="FK51" s="204">
        <v>0</v>
      </c>
      <c r="FL51" s="203" t="s">
        <v>151</v>
      </c>
      <c r="FM51" s="201">
        <v>0</v>
      </c>
      <c r="FN51" s="201">
        <v>0</v>
      </c>
      <c r="FO51" s="202" t="str">
        <f t="shared" si="75"/>
        <v/>
      </c>
      <c r="FP51" s="203" t="s">
        <v>151</v>
      </c>
      <c r="FQ51" s="204">
        <v>0</v>
      </c>
      <c r="FR51" s="203" t="s">
        <v>151</v>
      </c>
      <c r="FS51" s="201">
        <v>1</v>
      </c>
      <c r="FT51" s="201">
        <v>0</v>
      </c>
      <c r="FU51" s="202">
        <f t="shared" si="76"/>
        <v>0</v>
      </c>
      <c r="FV51" s="203" t="s">
        <v>435</v>
      </c>
      <c r="FW51" s="204">
        <v>1</v>
      </c>
      <c r="FX51" s="203" t="s">
        <v>435</v>
      </c>
      <c r="FY51" s="201">
        <v>0</v>
      </c>
      <c r="FZ51" s="201">
        <v>0</v>
      </c>
      <c r="GA51" s="202" t="str">
        <f t="shared" si="77"/>
        <v/>
      </c>
      <c r="GB51" s="203" t="s">
        <v>151</v>
      </c>
      <c r="GC51" s="204">
        <v>0</v>
      </c>
      <c r="GD51" s="203" t="s">
        <v>151</v>
      </c>
      <c r="GE51" s="203" t="s">
        <v>437</v>
      </c>
      <c r="GF51" s="203" t="s">
        <v>438</v>
      </c>
      <c r="GG51" s="204" t="s">
        <v>152</v>
      </c>
      <c r="GH51" s="204" t="s">
        <v>151</v>
      </c>
      <c r="GI51" s="204" t="s">
        <v>152</v>
      </c>
      <c r="GJ51" s="204" t="s">
        <v>152</v>
      </c>
      <c r="GK51" s="203" t="s">
        <v>151</v>
      </c>
      <c r="GL51" s="204" t="s">
        <v>152</v>
      </c>
      <c r="GM51" s="204" t="s">
        <v>152</v>
      </c>
      <c r="GN51" s="204" t="s">
        <v>151</v>
      </c>
      <c r="GO51" s="204" t="s">
        <v>152</v>
      </c>
      <c r="GP51" s="204" t="s">
        <v>152</v>
      </c>
      <c r="GQ51" s="204" t="s">
        <v>152</v>
      </c>
      <c r="GR51" s="100" t="s">
        <v>152</v>
      </c>
      <c r="GS51" s="101"/>
      <c r="GT51" s="204" t="s">
        <v>152</v>
      </c>
      <c r="GU51" s="204"/>
      <c r="GV51" s="204"/>
      <c r="GW51" s="145" t="s">
        <v>152</v>
      </c>
      <c r="GX51" s="145"/>
      <c r="GY51" s="204" t="s">
        <v>149</v>
      </c>
      <c r="GZ51" s="204"/>
      <c r="HA51" s="203"/>
      <c r="HB51" s="203"/>
      <c r="HC51" s="203"/>
      <c r="HD51" s="203"/>
      <c r="HE51" s="204" t="s">
        <v>673</v>
      </c>
      <c r="HF51" s="203" t="s">
        <v>733</v>
      </c>
      <c r="HG51" s="204" t="s">
        <v>457</v>
      </c>
      <c r="HH51" s="203"/>
      <c r="HI51" s="203"/>
      <c r="HJ51" s="203"/>
      <c r="HK51" s="203"/>
      <c r="HL51" s="203"/>
      <c r="HM51" s="203"/>
      <c r="HN51" s="204" t="s">
        <v>457</v>
      </c>
      <c r="HO51" s="203"/>
      <c r="HP51" s="203"/>
      <c r="HQ51" s="203"/>
      <c r="HR51" s="203"/>
      <c r="HS51" s="203"/>
      <c r="HT51" s="203"/>
      <c r="HU51" s="203"/>
      <c r="HV51" s="203"/>
      <c r="HW51" s="203"/>
      <c r="HX51" s="204" t="s">
        <v>689</v>
      </c>
      <c r="HY51" s="203" t="s">
        <v>734</v>
      </c>
      <c r="HZ51" s="204" t="s">
        <v>457</v>
      </c>
      <c r="IA51" s="203"/>
      <c r="IB51" s="203"/>
      <c r="IC51" s="203"/>
      <c r="ID51" s="203"/>
      <c r="IE51" s="204" t="s">
        <v>457</v>
      </c>
      <c r="IF51" s="203"/>
      <c r="IG51" s="203"/>
      <c r="IH51" s="203"/>
      <c r="II51" s="203"/>
      <c r="IJ51" s="140" t="str">
        <f t="shared" si="2"/>
        <v>○</v>
      </c>
    </row>
    <row r="52" spans="1:244" s="93" customFormat="1" ht="124.5" customHeight="1">
      <c r="A52" s="97" t="s">
        <v>218</v>
      </c>
      <c r="B52" s="204" t="s">
        <v>219</v>
      </c>
      <c r="C52" s="198" t="s">
        <v>152</v>
      </c>
      <c r="D52" s="198" t="s">
        <v>151</v>
      </c>
      <c r="E52" s="203" t="s">
        <v>151</v>
      </c>
      <c r="F52" s="198" t="s">
        <v>152</v>
      </c>
      <c r="G52" s="198" t="s">
        <v>151</v>
      </c>
      <c r="H52" s="203" t="s">
        <v>151</v>
      </c>
      <c r="I52" s="198" t="s">
        <v>160</v>
      </c>
      <c r="J52" s="198" t="s">
        <v>151</v>
      </c>
      <c r="K52" s="203" t="s">
        <v>151</v>
      </c>
      <c r="L52" s="198" t="s">
        <v>152</v>
      </c>
      <c r="M52" s="198" t="s">
        <v>151</v>
      </c>
      <c r="N52" s="203" t="s">
        <v>151</v>
      </c>
      <c r="O52" s="198" t="s">
        <v>160</v>
      </c>
      <c r="P52" s="198" t="s">
        <v>152</v>
      </c>
      <c r="Q52" s="203" t="s">
        <v>220</v>
      </c>
      <c r="R52" s="198" t="s">
        <v>152</v>
      </c>
      <c r="S52" s="198" t="s">
        <v>151</v>
      </c>
      <c r="T52" s="203" t="s">
        <v>151</v>
      </c>
      <c r="U52" s="198" t="s">
        <v>152</v>
      </c>
      <c r="V52" s="198" t="s">
        <v>151</v>
      </c>
      <c r="W52" s="203" t="s">
        <v>151</v>
      </c>
      <c r="X52" s="204"/>
      <c r="Y52" s="204" t="s">
        <v>152</v>
      </c>
      <c r="Z52" s="204"/>
      <c r="AA52" s="98" t="str">
        <f t="shared" si="104"/>
        <v>○</v>
      </c>
      <c r="AB52" s="204" t="s">
        <v>152</v>
      </c>
      <c r="AC52" s="204"/>
      <c r="AD52" s="98" t="str">
        <f t="shared" si="103"/>
        <v/>
      </c>
      <c r="AE52" s="99"/>
      <c r="AF52" s="203"/>
      <c r="AG52" s="203"/>
      <c r="AH52" s="198" t="s">
        <v>160</v>
      </c>
      <c r="AI52" s="198" t="s">
        <v>151</v>
      </c>
      <c r="AJ52" s="203" t="s">
        <v>151</v>
      </c>
      <c r="AK52" s="198" t="s">
        <v>152</v>
      </c>
      <c r="AL52" s="198" t="s">
        <v>151</v>
      </c>
      <c r="AM52" s="203" t="s">
        <v>151</v>
      </c>
      <c r="AN52" s="198" t="s">
        <v>152</v>
      </c>
      <c r="AO52" s="198" t="s">
        <v>151</v>
      </c>
      <c r="AP52" s="203" t="s">
        <v>151</v>
      </c>
      <c r="AQ52" s="198" t="s">
        <v>152</v>
      </c>
      <c r="AR52" s="198" t="s">
        <v>151</v>
      </c>
      <c r="AS52" s="203" t="s">
        <v>151</v>
      </c>
      <c r="AT52" s="198" t="s">
        <v>152</v>
      </c>
      <c r="AU52" s="198" t="s">
        <v>151</v>
      </c>
      <c r="AV52" s="203" t="s">
        <v>151</v>
      </c>
      <c r="AW52" s="201">
        <v>1</v>
      </c>
      <c r="AX52" s="201">
        <v>1</v>
      </c>
      <c r="AY52" s="202">
        <f t="shared" si="81"/>
        <v>1</v>
      </c>
      <c r="AZ52" s="203" t="s">
        <v>151</v>
      </c>
      <c r="BA52" s="204">
        <v>0</v>
      </c>
      <c r="BB52" s="203" t="s">
        <v>151</v>
      </c>
      <c r="BC52" s="201">
        <v>2</v>
      </c>
      <c r="BD52" s="201">
        <v>2</v>
      </c>
      <c r="BE52" s="202">
        <f t="shared" si="82"/>
        <v>1</v>
      </c>
      <c r="BF52" s="203" t="s">
        <v>151</v>
      </c>
      <c r="BG52" s="204">
        <v>0</v>
      </c>
      <c r="BH52" s="203" t="s">
        <v>151</v>
      </c>
      <c r="BI52" s="201">
        <v>0</v>
      </c>
      <c r="BJ52" s="201">
        <v>0</v>
      </c>
      <c r="BK52" s="202" t="str">
        <f t="shared" si="83"/>
        <v/>
      </c>
      <c r="BL52" s="203" t="s">
        <v>151</v>
      </c>
      <c r="BM52" s="204">
        <v>0</v>
      </c>
      <c r="BN52" s="203" t="s">
        <v>151</v>
      </c>
      <c r="BO52" s="201">
        <v>0</v>
      </c>
      <c r="BP52" s="201">
        <v>0</v>
      </c>
      <c r="BQ52" s="202" t="str">
        <f t="shared" si="84"/>
        <v/>
      </c>
      <c r="BR52" s="203" t="s">
        <v>151</v>
      </c>
      <c r="BS52" s="204">
        <v>0</v>
      </c>
      <c r="BT52" s="203" t="s">
        <v>151</v>
      </c>
      <c r="BU52" s="201">
        <v>0</v>
      </c>
      <c r="BV52" s="201">
        <v>0</v>
      </c>
      <c r="BW52" s="202" t="str">
        <f t="shared" si="85"/>
        <v/>
      </c>
      <c r="BX52" s="203" t="s">
        <v>151</v>
      </c>
      <c r="BY52" s="204">
        <v>0</v>
      </c>
      <c r="BZ52" s="203" t="s">
        <v>151</v>
      </c>
      <c r="CA52" s="201">
        <v>0</v>
      </c>
      <c r="CB52" s="201">
        <v>0</v>
      </c>
      <c r="CC52" s="202" t="str">
        <f t="shared" si="86"/>
        <v/>
      </c>
      <c r="CD52" s="203" t="s">
        <v>151</v>
      </c>
      <c r="CE52" s="204">
        <v>0</v>
      </c>
      <c r="CF52" s="203" t="s">
        <v>151</v>
      </c>
      <c r="CG52" s="201">
        <v>0</v>
      </c>
      <c r="CH52" s="201">
        <v>0</v>
      </c>
      <c r="CI52" s="202" t="str">
        <f t="shared" si="87"/>
        <v/>
      </c>
      <c r="CJ52" s="203" t="s">
        <v>151</v>
      </c>
      <c r="CK52" s="204">
        <v>0</v>
      </c>
      <c r="CL52" s="203" t="s">
        <v>151</v>
      </c>
      <c r="CM52" s="201">
        <v>1</v>
      </c>
      <c r="CN52" s="201">
        <v>1</v>
      </c>
      <c r="CO52" s="202">
        <f t="shared" si="88"/>
        <v>1</v>
      </c>
      <c r="CP52" s="203" t="s">
        <v>151</v>
      </c>
      <c r="CQ52" s="204">
        <v>0</v>
      </c>
      <c r="CR52" s="203" t="s">
        <v>151</v>
      </c>
      <c r="CS52" s="201">
        <v>2</v>
      </c>
      <c r="CT52" s="201">
        <v>2</v>
      </c>
      <c r="CU52" s="202">
        <f t="shared" si="89"/>
        <v>1</v>
      </c>
      <c r="CV52" s="203" t="s">
        <v>151</v>
      </c>
      <c r="CW52" s="204">
        <v>0</v>
      </c>
      <c r="CX52" s="203" t="s">
        <v>151</v>
      </c>
      <c r="CY52" s="201">
        <v>0</v>
      </c>
      <c r="CZ52" s="201">
        <v>0</v>
      </c>
      <c r="DA52" s="202" t="str">
        <f t="shared" si="90"/>
        <v/>
      </c>
      <c r="DB52" s="203" t="s">
        <v>151</v>
      </c>
      <c r="DC52" s="204">
        <v>0</v>
      </c>
      <c r="DD52" s="203" t="s">
        <v>151</v>
      </c>
      <c r="DE52" s="201">
        <v>5</v>
      </c>
      <c r="DF52" s="201">
        <v>5</v>
      </c>
      <c r="DG52" s="202">
        <f t="shared" si="91"/>
        <v>1</v>
      </c>
      <c r="DH52" s="203"/>
      <c r="DI52" s="204">
        <v>0</v>
      </c>
      <c r="DJ52" s="203" t="s">
        <v>151</v>
      </c>
      <c r="DK52" s="201">
        <v>37</v>
      </c>
      <c r="DL52" s="201">
        <v>37</v>
      </c>
      <c r="DM52" s="202">
        <f t="shared" si="101"/>
        <v>1</v>
      </c>
      <c r="DN52" s="203" t="s">
        <v>151</v>
      </c>
      <c r="DO52" s="204">
        <v>0</v>
      </c>
      <c r="DP52" s="203" t="s">
        <v>151</v>
      </c>
      <c r="DQ52" s="201">
        <v>2</v>
      </c>
      <c r="DR52" s="201">
        <v>2</v>
      </c>
      <c r="DS52" s="202">
        <f t="shared" si="93"/>
        <v>1</v>
      </c>
      <c r="DT52" s="203" t="s">
        <v>151</v>
      </c>
      <c r="DU52" s="203">
        <v>0</v>
      </c>
      <c r="DV52" s="203" t="s">
        <v>151</v>
      </c>
      <c r="DW52" s="201">
        <v>0</v>
      </c>
      <c r="DX52" s="201">
        <v>0</v>
      </c>
      <c r="DY52" s="202" t="str">
        <f t="shared" si="94"/>
        <v/>
      </c>
      <c r="DZ52" s="203" t="s">
        <v>151</v>
      </c>
      <c r="EA52" s="204">
        <v>0</v>
      </c>
      <c r="EB52" s="203" t="s">
        <v>151</v>
      </c>
      <c r="EC52" s="201">
        <v>1</v>
      </c>
      <c r="ED52" s="201">
        <v>0</v>
      </c>
      <c r="EE52" s="202">
        <f t="shared" si="95"/>
        <v>0</v>
      </c>
      <c r="EF52" s="203" t="s">
        <v>535</v>
      </c>
      <c r="EG52" s="204">
        <v>1</v>
      </c>
      <c r="EH52" s="203" t="s">
        <v>536</v>
      </c>
      <c r="EI52" s="201">
        <v>6</v>
      </c>
      <c r="EJ52" s="201">
        <v>2</v>
      </c>
      <c r="EK52" s="202">
        <f t="shared" si="96"/>
        <v>0.33333333333333331</v>
      </c>
      <c r="EL52" s="203" t="s">
        <v>491</v>
      </c>
      <c r="EM52" s="204">
        <v>3</v>
      </c>
      <c r="EN52" s="203" t="s">
        <v>377</v>
      </c>
      <c r="EO52" s="201">
        <v>0</v>
      </c>
      <c r="EP52" s="201">
        <v>0</v>
      </c>
      <c r="EQ52" s="202" t="str">
        <f t="shared" si="97"/>
        <v/>
      </c>
      <c r="ER52" s="203" t="s">
        <v>151</v>
      </c>
      <c r="ES52" s="204">
        <v>0</v>
      </c>
      <c r="ET52" s="203" t="s">
        <v>151</v>
      </c>
      <c r="EU52" s="201">
        <v>2</v>
      </c>
      <c r="EV52" s="201">
        <v>2</v>
      </c>
      <c r="EW52" s="202">
        <f t="shared" si="98"/>
        <v>1</v>
      </c>
      <c r="EX52" s="203" t="s">
        <v>151</v>
      </c>
      <c r="EY52" s="204">
        <v>0</v>
      </c>
      <c r="EZ52" s="203" t="s">
        <v>151</v>
      </c>
      <c r="FA52" s="201">
        <v>4</v>
      </c>
      <c r="FB52" s="201">
        <v>4</v>
      </c>
      <c r="FC52" s="202">
        <f t="shared" si="99"/>
        <v>1</v>
      </c>
      <c r="FD52" s="203" t="s">
        <v>151</v>
      </c>
      <c r="FE52" s="204">
        <v>0</v>
      </c>
      <c r="FF52" s="203" t="s">
        <v>151</v>
      </c>
      <c r="FG52" s="201">
        <v>0</v>
      </c>
      <c r="FH52" s="201">
        <v>0</v>
      </c>
      <c r="FI52" s="202" t="str">
        <f t="shared" si="100"/>
        <v/>
      </c>
      <c r="FJ52" s="203" t="s">
        <v>151</v>
      </c>
      <c r="FK52" s="204">
        <v>0</v>
      </c>
      <c r="FL52" s="203" t="s">
        <v>151</v>
      </c>
      <c r="FM52" s="201">
        <v>0</v>
      </c>
      <c r="FN52" s="201">
        <v>0</v>
      </c>
      <c r="FO52" s="202" t="str">
        <f t="shared" si="75"/>
        <v/>
      </c>
      <c r="FP52" s="203" t="s">
        <v>151</v>
      </c>
      <c r="FQ52" s="204">
        <v>0</v>
      </c>
      <c r="FR52" s="203" t="s">
        <v>151</v>
      </c>
      <c r="FS52" s="201">
        <v>2</v>
      </c>
      <c r="FT52" s="201">
        <v>2</v>
      </c>
      <c r="FU52" s="202">
        <f t="shared" si="76"/>
        <v>1</v>
      </c>
      <c r="FV52" s="203" t="s">
        <v>151</v>
      </c>
      <c r="FW52" s="204">
        <v>0</v>
      </c>
      <c r="FX52" s="203" t="s">
        <v>151</v>
      </c>
      <c r="FY52" s="201">
        <v>0</v>
      </c>
      <c r="FZ52" s="201">
        <v>0</v>
      </c>
      <c r="GA52" s="202" t="str">
        <f t="shared" si="77"/>
        <v/>
      </c>
      <c r="GB52" s="203" t="s">
        <v>151</v>
      </c>
      <c r="GC52" s="204">
        <v>0</v>
      </c>
      <c r="GD52" s="203" t="s">
        <v>151</v>
      </c>
      <c r="GE52" s="203" t="s">
        <v>437</v>
      </c>
      <c r="GF52" s="203" t="s">
        <v>439</v>
      </c>
      <c r="GG52" s="204" t="s">
        <v>152</v>
      </c>
      <c r="GH52" s="204" t="s">
        <v>152</v>
      </c>
      <c r="GI52" s="204" t="s">
        <v>152</v>
      </c>
      <c r="GJ52" s="204" t="s">
        <v>152</v>
      </c>
      <c r="GK52" s="203" t="s">
        <v>151</v>
      </c>
      <c r="GL52" s="204" t="s">
        <v>152</v>
      </c>
      <c r="GM52" s="204" t="s">
        <v>152</v>
      </c>
      <c r="GN52" s="204" t="s">
        <v>152</v>
      </c>
      <c r="GO52" s="204" t="s">
        <v>151</v>
      </c>
      <c r="GP52" s="204" t="s">
        <v>152</v>
      </c>
      <c r="GQ52" s="204" t="s">
        <v>152</v>
      </c>
      <c r="GR52" s="100" t="s">
        <v>152</v>
      </c>
      <c r="GS52" s="101"/>
      <c r="GT52" s="204" t="s">
        <v>152</v>
      </c>
      <c r="GU52" s="204"/>
      <c r="GV52" s="204"/>
      <c r="GW52" s="145" t="s">
        <v>152</v>
      </c>
      <c r="GX52" s="145" t="s">
        <v>149</v>
      </c>
      <c r="GY52" s="204" t="s">
        <v>149</v>
      </c>
      <c r="GZ52" s="203" t="s">
        <v>457</v>
      </c>
      <c r="HA52" s="203"/>
      <c r="HB52" s="203"/>
      <c r="HC52" s="203"/>
      <c r="HD52" s="203"/>
      <c r="HE52" s="203"/>
      <c r="HF52" s="203"/>
      <c r="HG52" s="203" t="s">
        <v>457</v>
      </c>
      <c r="HH52" s="203"/>
      <c r="HI52" s="203"/>
      <c r="HJ52" s="203"/>
      <c r="HK52" s="203"/>
      <c r="HL52" s="203"/>
      <c r="HM52" s="203"/>
      <c r="HN52" s="203" t="s">
        <v>457</v>
      </c>
      <c r="HO52" s="203"/>
      <c r="HP52" s="203"/>
      <c r="HQ52" s="203"/>
      <c r="HR52" s="203"/>
      <c r="HS52" s="203"/>
      <c r="HT52" s="203"/>
      <c r="HU52" s="203" t="s">
        <v>457</v>
      </c>
      <c r="HV52" s="203"/>
      <c r="HW52" s="203"/>
      <c r="HX52" s="203"/>
      <c r="HY52" s="203"/>
      <c r="HZ52" s="203" t="s">
        <v>457</v>
      </c>
      <c r="IA52" s="203"/>
      <c r="IB52" s="203"/>
      <c r="IC52" s="203"/>
      <c r="ID52" s="203"/>
      <c r="IE52" s="203"/>
      <c r="IF52" s="203"/>
      <c r="IG52" s="203"/>
      <c r="IH52" s="203" t="s">
        <v>457</v>
      </c>
      <c r="II52" s="203" t="s">
        <v>735</v>
      </c>
      <c r="IJ52" s="140" t="str">
        <f t="shared" si="2"/>
        <v>○</v>
      </c>
    </row>
    <row r="53" spans="1:244" s="93" customFormat="1" ht="100.5" customHeight="1">
      <c r="A53" s="97" t="s">
        <v>221</v>
      </c>
      <c r="B53" s="204" t="s">
        <v>222</v>
      </c>
      <c r="C53" s="198" t="s">
        <v>152</v>
      </c>
      <c r="D53" s="198" t="s">
        <v>151</v>
      </c>
      <c r="E53" s="203" t="s">
        <v>151</v>
      </c>
      <c r="F53" s="198" t="s">
        <v>152</v>
      </c>
      <c r="G53" s="198" t="s">
        <v>151</v>
      </c>
      <c r="H53" s="203" t="s">
        <v>151</v>
      </c>
      <c r="I53" s="198" t="s">
        <v>152</v>
      </c>
      <c r="J53" s="198" t="s">
        <v>151</v>
      </c>
      <c r="K53" s="203" t="s">
        <v>151</v>
      </c>
      <c r="L53" s="198"/>
      <c r="M53" s="198" t="s">
        <v>152</v>
      </c>
      <c r="N53" s="203" t="s">
        <v>223</v>
      </c>
      <c r="O53" s="198"/>
      <c r="P53" s="198" t="s">
        <v>152</v>
      </c>
      <c r="Q53" s="203" t="s">
        <v>736</v>
      </c>
      <c r="R53" s="198" t="s">
        <v>152</v>
      </c>
      <c r="S53" s="198" t="s">
        <v>151</v>
      </c>
      <c r="T53" s="203" t="s">
        <v>151</v>
      </c>
      <c r="U53" s="198" t="s">
        <v>152</v>
      </c>
      <c r="V53" s="198" t="s">
        <v>151</v>
      </c>
      <c r="W53" s="203" t="s">
        <v>151</v>
      </c>
      <c r="X53" s="204"/>
      <c r="Y53" s="204"/>
      <c r="Z53" s="204"/>
      <c r="AA53" s="98"/>
      <c r="AB53" s="204"/>
      <c r="AC53" s="204"/>
      <c r="AD53" s="98"/>
      <c r="AE53" s="198"/>
      <c r="AF53" s="203" t="s">
        <v>737</v>
      </c>
      <c r="AG53" s="203"/>
      <c r="AH53" s="198" t="s">
        <v>160</v>
      </c>
      <c r="AI53" s="198" t="s">
        <v>151</v>
      </c>
      <c r="AJ53" s="203" t="s">
        <v>151</v>
      </c>
      <c r="AK53" s="198" t="s">
        <v>152</v>
      </c>
      <c r="AL53" s="198" t="s">
        <v>151</v>
      </c>
      <c r="AM53" s="203" t="s">
        <v>151</v>
      </c>
      <c r="AN53" s="198" t="s">
        <v>152</v>
      </c>
      <c r="AO53" s="198" t="s">
        <v>151</v>
      </c>
      <c r="AP53" s="203" t="s">
        <v>151</v>
      </c>
      <c r="AQ53" s="198" t="s">
        <v>152</v>
      </c>
      <c r="AR53" s="198" t="s">
        <v>151</v>
      </c>
      <c r="AS53" s="203" t="s">
        <v>151</v>
      </c>
      <c r="AT53" s="198" t="s">
        <v>152</v>
      </c>
      <c r="AU53" s="198" t="s">
        <v>151</v>
      </c>
      <c r="AV53" s="203" t="s">
        <v>151</v>
      </c>
      <c r="AW53" s="201">
        <v>2</v>
      </c>
      <c r="AX53" s="201">
        <v>2</v>
      </c>
      <c r="AY53" s="202">
        <f t="shared" si="81"/>
        <v>1</v>
      </c>
      <c r="AZ53" s="203" t="s">
        <v>151</v>
      </c>
      <c r="BA53" s="204">
        <v>0</v>
      </c>
      <c r="BB53" s="203" t="s">
        <v>151</v>
      </c>
      <c r="BC53" s="201">
        <v>5</v>
      </c>
      <c r="BD53" s="201">
        <v>4</v>
      </c>
      <c r="BE53" s="202">
        <f t="shared" si="82"/>
        <v>0.8</v>
      </c>
      <c r="BF53" s="203" t="s">
        <v>244</v>
      </c>
      <c r="BG53" s="204">
        <v>0</v>
      </c>
      <c r="BH53" s="203" t="s">
        <v>151</v>
      </c>
      <c r="BI53" s="201">
        <v>0</v>
      </c>
      <c r="BJ53" s="201">
        <v>0</v>
      </c>
      <c r="BK53" s="202" t="str">
        <f t="shared" si="83"/>
        <v/>
      </c>
      <c r="BL53" s="203" t="s">
        <v>151</v>
      </c>
      <c r="BM53" s="204">
        <v>0</v>
      </c>
      <c r="BN53" s="203" t="s">
        <v>151</v>
      </c>
      <c r="BO53" s="201">
        <v>3</v>
      </c>
      <c r="BP53" s="201">
        <v>0</v>
      </c>
      <c r="BQ53" s="202">
        <f t="shared" si="84"/>
        <v>0</v>
      </c>
      <c r="BR53" s="203" t="s">
        <v>244</v>
      </c>
      <c r="BS53" s="204">
        <v>0</v>
      </c>
      <c r="BT53" s="203" t="s">
        <v>151</v>
      </c>
      <c r="BU53" s="201">
        <v>0</v>
      </c>
      <c r="BV53" s="201">
        <v>0</v>
      </c>
      <c r="BW53" s="202" t="str">
        <f t="shared" si="85"/>
        <v/>
      </c>
      <c r="BX53" s="203" t="s">
        <v>151</v>
      </c>
      <c r="BY53" s="204">
        <v>0</v>
      </c>
      <c r="BZ53" s="203" t="s">
        <v>151</v>
      </c>
      <c r="CA53" s="201">
        <v>0</v>
      </c>
      <c r="CB53" s="201">
        <v>0</v>
      </c>
      <c r="CC53" s="202" t="str">
        <f t="shared" si="86"/>
        <v/>
      </c>
      <c r="CD53" s="203" t="s">
        <v>151</v>
      </c>
      <c r="CE53" s="204">
        <v>0</v>
      </c>
      <c r="CF53" s="203" t="s">
        <v>151</v>
      </c>
      <c r="CG53" s="201">
        <v>3</v>
      </c>
      <c r="CH53" s="201">
        <v>3</v>
      </c>
      <c r="CI53" s="202">
        <f t="shared" si="87"/>
        <v>1</v>
      </c>
      <c r="CJ53" s="203" t="s">
        <v>151</v>
      </c>
      <c r="CK53" s="204">
        <v>0</v>
      </c>
      <c r="CL53" s="203" t="s">
        <v>151</v>
      </c>
      <c r="CM53" s="201">
        <v>0</v>
      </c>
      <c r="CN53" s="201">
        <v>0</v>
      </c>
      <c r="CO53" s="202" t="str">
        <f t="shared" si="88"/>
        <v/>
      </c>
      <c r="CP53" s="203" t="s">
        <v>151</v>
      </c>
      <c r="CQ53" s="204">
        <v>0</v>
      </c>
      <c r="CR53" s="203" t="s">
        <v>151</v>
      </c>
      <c r="CS53" s="201">
        <v>2</v>
      </c>
      <c r="CT53" s="201">
        <v>2</v>
      </c>
      <c r="CU53" s="202">
        <f t="shared" si="89"/>
        <v>1</v>
      </c>
      <c r="CV53" s="203" t="s">
        <v>151</v>
      </c>
      <c r="CW53" s="204">
        <v>0</v>
      </c>
      <c r="CX53" s="203" t="s">
        <v>151</v>
      </c>
      <c r="CY53" s="201">
        <v>0</v>
      </c>
      <c r="CZ53" s="201">
        <v>0</v>
      </c>
      <c r="DA53" s="202" t="str">
        <f t="shared" si="90"/>
        <v/>
      </c>
      <c r="DB53" s="203" t="s">
        <v>151</v>
      </c>
      <c r="DC53" s="204">
        <v>0</v>
      </c>
      <c r="DD53" s="203" t="s">
        <v>151</v>
      </c>
      <c r="DE53" s="201">
        <v>8</v>
      </c>
      <c r="DF53" s="201">
        <v>8</v>
      </c>
      <c r="DG53" s="202">
        <f t="shared" si="91"/>
        <v>1</v>
      </c>
      <c r="DH53" s="203" t="s">
        <v>151</v>
      </c>
      <c r="DI53" s="204">
        <v>0</v>
      </c>
      <c r="DJ53" s="203" t="s">
        <v>151</v>
      </c>
      <c r="DK53" s="201">
        <v>105</v>
      </c>
      <c r="DL53" s="201">
        <v>0</v>
      </c>
      <c r="DM53" s="202">
        <f t="shared" si="101"/>
        <v>0</v>
      </c>
      <c r="DN53" s="203" t="s">
        <v>298</v>
      </c>
      <c r="DO53" s="204">
        <v>0</v>
      </c>
      <c r="DP53" s="203" t="s">
        <v>151</v>
      </c>
      <c r="DQ53" s="201">
        <v>2</v>
      </c>
      <c r="DR53" s="201">
        <v>1</v>
      </c>
      <c r="DS53" s="202">
        <f t="shared" si="93"/>
        <v>0.5</v>
      </c>
      <c r="DT53" s="148" t="s">
        <v>738</v>
      </c>
      <c r="DU53" s="203">
        <v>0</v>
      </c>
      <c r="DV53" s="203" t="s">
        <v>151</v>
      </c>
      <c r="DW53" s="201">
        <v>0</v>
      </c>
      <c r="DX53" s="201">
        <v>0</v>
      </c>
      <c r="DY53" s="202" t="str">
        <f t="shared" si="94"/>
        <v/>
      </c>
      <c r="DZ53" s="203" t="s">
        <v>151</v>
      </c>
      <c r="EA53" s="204">
        <v>0</v>
      </c>
      <c r="EB53" s="203" t="s">
        <v>151</v>
      </c>
      <c r="EC53" s="201">
        <v>1</v>
      </c>
      <c r="ED53" s="201">
        <v>0</v>
      </c>
      <c r="EE53" s="202">
        <f t="shared" si="95"/>
        <v>0</v>
      </c>
      <c r="EF53" s="203" t="s">
        <v>340</v>
      </c>
      <c r="EG53" s="204">
        <v>1</v>
      </c>
      <c r="EH53" s="203" t="s">
        <v>341</v>
      </c>
      <c r="EI53" s="201">
        <v>5</v>
      </c>
      <c r="EJ53" s="201">
        <v>1</v>
      </c>
      <c r="EK53" s="202">
        <f t="shared" si="96"/>
        <v>0.2</v>
      </c>
      <c r="EL53" s="203" t="s">
        <v>378</v>
      </c>
      <c r="EM53" s="204">
        <v>4</v>
      </c>
      <c r="EN53" s="203" t="s">
        <v>379</v>
      </c>
      <c r="EO53" s="201">
        <v>0</v>
      </c>
      <c r="EP53" s="201">
        <v>0</v>
      </c>
      <c r="EQ53" s="202" t="str">
        <f t="shared" si="97"/>
        <v/>
      </c>
      <c r="ER53" s="203" t="s">
        <v>151</v>
      </c>
      <c r="ES53" s="204">
        <v>0</v>
      </c>
      <c r="ET53" s="203" t="s">
        <v>151</v>
      </c>
      <c r="EU53" s="201">
        <v>1</v>
      </c>
      <c r="EV53" s="201">
        <v>1</v>
      </c>
      <c r="EW53" s="202">
        <f t="shared" si="98"/>
        <v>1</v>
      </c>
      <c r="EX53" s="203" t="s">
        <v>151</v>
      </c>
      <c r="EY53" s="204">
        <v>0</v>
      </c>
      <c r="EZ53" s="203" t="s">
        <v>151</v>
      </c>
      <c r="FA53" s="201">
        <v>6</v>
      </c>
      <c r="FB53" s="201">
        <v>3</v>
      </c>
      <c r="FC53" s="202">
        <f t="shared" si="99"/>
        <v>0.5</v>
      </c>
      <c r="FD53" s="203" t="s">
        <v>404</v>
      </c>
      <c r="FE53" s="204">
        <v>3</v>
      </c>
      <c r="FF53" s="203" t="s">
        <v>537</v>
      </c>
      <c r="FG53" s="201">
        <v>0</v>
      </c>
      <c r="FH53" s="201">
        <v>0</v>
      </c>
      <c r="FI53" s="202" t="str">
        <f t="shared" si="100"/>
        <v/>
      </c>
      <c r="FJ53" s="203" t="s">
        <v>151</v>
      </c>
      <c r="FK53" s="204">
        <v>0</v>
      </c>
      <c r="FL53" s="203" t="s">
        <v>151</v>
      </c>
      <c r="FM53" s="201">
        <v>1</v>
      </c>
      <c r="FN53" s="201">
        <v>1</v>
      </c>
      <c r="FO53" s="202">
        <f t="shared" si="75"/>
        <v>1</v>
      </c>
      <c r="FP53" s="203" t="s">
        <v>151</v>
      </c>
      <c r="FQ53" s="204">
        <v>0</v>
      </c>
      <c r="FR53" s="203" t="s">
        <v>151</v>
      </c>
      <c r="FS53" s="201">
        <v>0</v>
      </c>
      <c r="FT53" s="201">
        <v>0</v>
      </c>
      <c r="FU53" s="202" t="str">
        <f t="shared" si="76"/>
        <v/>
      </c>
      <c r="FV53" s="203" t="s">
        <v>151</v>
      </c>
      <c r="FW53" s="204">
        <v>0</v>
      </c>
      <c r="FX53" s="203" t="s">
        <v>151</v>
      </c>
      <c r="FY53" s="201">
        <v>0</v>
      </c>
      <c r="FZ53" s="201">
        <v>0</v>
      </c>
      <c r="GA53" s="202" t="str">
        <f t="shared" si="77"/>
        <v/>
      </c>
      <c r="GB53" s="203" t="s">
        <v>151</v>
      </c>
      <c r="GC53" s="204">
        <v>0</v>
      </c>
      <c r="GD53" s="203" t="s">
        <v>151</v>
      </c>
      <c r="GE53" s="203" t="s">
        <v>437</v>
      </c>
      <c r="GF53" s="203" t="s">
        <v>438</v>
      </c>
      <c r="GG53" s="204" t="s">
        <v>152</v>
      </c>
      <c r="GH53" s="204" t="s">
        <v>152</v>
      </c>
      <c r="GI53" s="204" t="s">
        <v>152</v>
      </c>
      <c r="GJ53" s="204" t="s">
        <v>152</v>
      </c>
      <c r="GK53" s="203" t="s">
        <v>151</v>
      </c>
      <c r="GL53" s="204" t="s">
        <v>152</v>
      </c>
      <c r="GM53" s="204" t="s">
        <v>152</v>
      </c>
      <c r="GN53" s="204"/>
      <c r="GO53" s="204"/>
      <c r="GP53" s="204" t="s">
        <v>152</v>
      </c>
      <c r="GQ53" s="204" t="s">
        <v>152</v>
      </c>
      <c r="GR53" s="100" t="s">
        <v>152</v>
      </c>
      <c r="GS53" s="101"/>
      <c r="GT53" s="204" t="s">
        <v>152</v>
      </c>
      <c r="GU53" s="204"/>
      <c r="GV53" s="204"/>
      <c r="GW53" s="145" t="s">
        <v>152</v>
      </c>
      <c r="GX53" s="145" t="s">
        <v>149</v>
      </c>
      <c r="GY53" s="204" t="s">
        <v>149</v>
      </c>
      <c r="GZ53" s="204" t="s">
        <v>457</v>
      </c>
      <c r="HA53" s="203"/>
      <c r="HB53" s="203"/>
      <c r="HC53" s="203"/>
      <c r="HD53" s="203"/>
      <c r="HE53" s="203"/>
      <c r="HF53" s="203"/>
      <c r="HG53" s="204" t="s">
        <v>457</v>
      </c>
      <c r="HH53" s="203"/>
      <c r="HI53" s="203"/>
      <c r="HJ53" s="203"/>
      <c r="HK53" s="203"/>
      <c r="HL53" s="203"/>
      <c r="HM53" s="203"/>
      <c r="HN53" s="204" t="s">
        <v>457</v>
      </c>
      <c r="HO53" s="203"/>
      <c r="HP53" s="203"/>
      <c r="HQ53" s="203"/>
      <c r="HR53" s="203"/>
      <c r="HS53" s="203"/>
      <c r="HT53" s="203"/>
      <c r="HU53" s="204" t="s">
        <v>457</v>
      </c>
      <c r="HV53" s="203"/>
      <c r="HW53" s="203"/>
      <c r="HX53" s="203"/>
      <c r="HY53" s="203"/>
      <c r="HZ53" s="204" t="s">
        <v>457</v>
      </c>
      <c r="IA53" s="203"/>
      <c r="IB53" s="203"/>
      <c r="IC53" s="203"/>
      <c r="ID53" s="203"/>
      <c r="IE53" s="204" t="s">
        <v>457</v>
      </c>
      <c r="IF53" s="203"/>
      <c r="IG53" s="203"/>
      <c r="IH53" s="203"/>
      <c r="II53" s="203"/>
      <c r="IJ53" s="140" t="str">
        <f t="shared" si="2"/>
        <v>○</v>
      </c>
    </row>
    <row r="54" spans="1:244" s="93" customFormat="1" ht="165" customHeight="1">
      <c r="A54" s="97" t="s">
        <v>538</v>
      </c>
      <c r="B54" s="204" t="s">
        <v>224</v>
      </c>
      <c r="C54" s="204" t="s">
        <v>152</v>
      </c>
      <c r="D54" s="204" t="s">
        <v>151</v>
      </c>
      <c r="E54" s="203" t="s">
        <v>151</v>
      </c>
      <c r="F54" s="204" t="s">
        <v>152</v>
      </c>
      <c r="G54" s="204" t="s">
        <v>151</v>
      </c>
      <c r="H54" s="203" t="s">
        <v>151</v>
      </c>
      <c r="I54" s="204" t="s">
        <v>152</v>
      </c>
      <c r="J54" s="204" t="s">
        <v>151</v>
      </c>
      <c r="K54" s="203" t="s">
        <v>151</v>
      </c>
      <c r="L54" s="204" t="s">
        <v>152</v>
      </c>
      <c r="M54" s="204" t="s">
        <v>151</v>
      </c>
      <c r="N54" s="203" t="s">
        <v>151</v>
      </c>
      <c r="O54" s="204" t="s">
        <v>152</v>
      </c>
      <c r="P54" s="204" t="s">
        <v>151</v>
      </c>
      <c r="Q54" s="203" t="s">
        <v>739</v>
      </c>
      <c r="R54" s="204" t="s">
        <v>152</v>
      </c>
      <c r="S54" s="204" t="s">
        <v>151</v>
      </c>
      <c r="T54" s="203" t="s">
        <v>151</v>
      </c>
      <c r="U54" s="204" t="s">
        <v>152</v>
      </c>
      <c r="V54" s="204" t="s">
        <v>151</v>
      </c>
      <c r="W54" s="203" t="s">
        <v>151</v>
      </c>
      <c r="X54" s="204"/>
      <c r="Y54" s="204" t="s">
        <v>152</v>
      </c>
      <c r="Z54" s="204"/>
      <c r="AA54" s="181" t="str">
        <f t="shared" ref="AA54:AA55" si="105">IF(OR(X54="○",Y54="○"),"○","")</f>
        <v>○</v>
      </c>
      <c r="AB54" s="204"/>
      <c r="AC54" s="204" t="s">
        <v>152</v>
      </c>
      <c r="AD54" s="181" t="str">
        <f t="shared" ref="AD54:AD55" si="106">IF(AND(Z54="○",AB54="○"),"○","")</f>
        <v/>
      </c>
      <c r="AE54" s="131"/>
      <c r="AF54" s="203"/>
      <c r="AG54" s="203"/>
      <c r="AH54" s="204" t="s">
        <v>160</v>
      </c>
      <c r="AI54" s="204" t="s">
        <v>151</v>
      </c>
      <c r="AJ54" s="203" t="s">
        <v>151</v>
      </c>
      <c r="AK54" s="204" t="s">
        <v>152</v>
      </c>
      <c r="AL54" s="204" t="s">
        <v>151</v>
      </c>
      <c r="AM54" s="203" t="s">
        <v>151</v>
      </c>
      <c r="AN54" s="204" t="s">
        <v>152</v>
      </c>
      <c r="AO54" s="204" t="s">
        <v>151</v>
      </c>
      <c r="AP54" s="203" t="s">
        <v>151</v>
      </c>
      <c r="AQ54" s="204" t="s">
        <v>152</v>
      </c>
      <c r="AR54" s="204" t="s">
        <v>151</v>
      </c>
      <c r="AS54" s="203" t="s">
        <v>151</v>
      </c>
      <c r="AT54" s="204" t="s">
        <v>152</v>
      </c>
      <c r="AU54" s="204" t="s">
        <v>151</v>
      </c>
      <c r="AV54" s="203" t="s">
        <v>151</v>
      </c>
      <c r="AW54" s="201">
        <v>1</v>
      </c>
      <c r="AX54" s="201">
        <v>1</v>
      </c>
      <c r="AY54" s="199">
        <f t="shared" si="81"/>
        <v>1</v>
      </c>
      <c r="AZ54" s="203" t="s">
        <v>151</v>
      </c>
      <c r="BA54" s="204">
        <v>0</v>
      </c>
      <c r="BB54" s="203" t="s">
        <v>151</v>
      </c>
      <c r="BC54" s="201">
        <v>1</v>
      </c>
      <c r="BD54" s="201">
        <v>1</v>
      </c>
      <c r="BE54" s="199">
        <f t="shared" si="82"/>
        <v>1</v>
      </c>
      <c r="BF54" s="203" t="s">
        <v>151</v>
      </c>
      <c r="BG54" s="204">
        <v>0</v>
      </c>
      <c r="BH54" s="203" t="s">
        <v>151</v>
      </c>
      <c r="BI54" s="201">
        <v>0</v>
      </c>
      <c r="BJ54" s="201">
        <v>0</v>
      </c>
      <c r="BK54" s="199" t="str">
        <f t="shared" si="83"/>
        <v/>
      </c>
      <c r="BL54" s="203" t="s">
        <v>151</v>
      </c>
      <c r="BM54" s="204">
        <v>0</v>
      </c>
      <c r="BN54" s="203" t="s">
        <v>151</v>
      </c>
      <c r="BO54" s="201">
        <v>1</v>
      </c>
      <c r="BP54" s="201">
        <v>1</v>
      </c>
      <c r="BQ54" s="199">
        <f t="shared" si="84"/>
        <v>1</v>
      </c>
      <c r="BR54" s="203" t="s">
        <v>151</v>
      </c>
      <c r="BS54" s="204">
        <v>0</v>
      </c>
      <c r="BT54" s="203" t="s">
        <v>151</v>
      </c>
      <c r="BU54" s="201">
        <v>2</v>
      </c>
      <c r="BV54" s="201">
        <v>2</v>
      </c>
      <c r="BW54" s="199">
        <f t="shared" si="85"/>
        <v>1</v>
      </c>
      <c r="BX54" s="203" t="s">
        <v>151</v>
      </c>
      <c r="BY54" s="204">
        <v>0</v>
      </c>
      <c r="BZ54" s="203" t="s">
        <v>151</v>
      </c>
      <c r="CA54" s="201">
        <v>1</v>
      </c>
      <c r="CB54" s="201">
        <v>0</v>
      </c>
      <c r="CC54" s="199">
        <f t="shared" si="86"/>
        <v>0</v>
      </c>
      <c r="CD54" s="203" t="s">
        <v>740</v>
      </c>
      <c r="CE54" s="204">
        <v>0</v>
      </c>
      <c r="CF54" s="203" t="s">
        <v>151</v>
      </c>
      <c r="CG54" s="201">
        <v>1</v>
      </c>
      <c r="CH54" s="201">
        <v>1</v>
      </c>
      <c r="CI54" s="199">
        <f t="shared" si="87"/>
        <v>1</v>
      </c>
      <c r="CJ54" s="203" t="s">
        <v>151</v>
      </c>
      <c r="CK54" s="204">
        <v>0</v>
      </c>
      <c r="CL54" s="203" t="s">
        <v>151</v>
      </c>
      <c r="CM54" s="201">
        <v>14</v>
      </c>
      <c r="CN54" s="201">
        <v>3</v>
      </c>
      <c r="CO54" s="199">
        <f t="shared" si="88"/>
        <v>0.21428571428571427</v>
      </c>
      <c r="CP54" s="203" t="s">
        <v>253</v>
      </c>
      <c r="CQ54" s="204">
        <v>13</v>
      </c>
      <c r="CR54" s="203" t="s">
        <v>254</v>
      </c>
      <c r="CS54" s="201">
        <v>0</v>
      </c>
      <c r="CT54" s="201">
        <v>0</v>
      </c>
      <c r="CU54" s="199" t="str">
        <f t="shared" si="89"/>
        <v/>
      </c>
      <c r="CV54" s="203" t="s">
        <v>151</v>
      </c>
      <c r="CW54" s="204">
        <v>0</v>
      </c>
      <c r="CX54" s="203" t="s">
        <v>151</v>
      </c>
      <c r="CY54" s="201">
        <v>0</v>
      </c>
      <c r="CZ54" s="201">
        <v>0</v>
      </c>
      <c r="DA54" s="199" t="str">
        <f t="shared" si="90"/>
        <v/>
      </c>
      <c r="DB54" s="203" t="s">
        <v>151</v>
      </c>
      <c r="DC54" s="204">
        <v>0</v>
      </c>
      <c r="DD54" s="203" t="s">
        <v>151</v>
      </c>
      <c r="DE54" s="201">
        <v>6</v>
      </c>
      <c r="DF54" s="201">
        <v>6</v>
      </c>
      <c r="DG54" s="199">
        <f t="shared" si="91"/>
        <v>1</v>
      </c>
      <c r="DH54" s="203" t="s">
        <v>151</v>
      </c>
      <c r="DI54" s="204">
        <v>0</v>
      </c>
      <c r="DJ54" s="203" t="s">
        <v>151</v>
      </c>
      <c r="DK54" s="201">
        <v>1</v>
      </c>
      <c r="DL54" s="201">
        <v>1</v>
      </c>
      <c r="DM54" s="199">
        <f t="shared" si="101"/>
        <v>1</v>
      </c>
      <c r="DN54" s="203" t="s">
        <v>151</v>
      </c>
      <c r="DO54" s="204">
        <v>0</v>
      </c>
      <c r="DP54" s="203" t="s">
        <v>151</v>
      </c>
      <c r="DQ54" s="201">
        <v>0</v>
      </c>
      <c r="DR54" s="201">
        <v>0</v>
      </c>
      <c r="DS54" s="199" t="str">
        <f t="shared" si="93"/>
        <v/>
      </c>
      <c r="DT54" s="203" t="s">
        <v>151</v>
      </c>
      <c r="DU54" s="203">
        <v>0</v>
      </c>
      <c r="DV54" s="203" t="s">
        <v>151</v>
      </c>
      <c r="DW54" s="201">
        <v>0</v>
      </c>
      <c r="DX54" s="201">
        <v>0</v>
      </c>
      <c r="DY54" s="199" t="str">
        <f t="shared" si="94"/>
        <v/>
      </c>
      <c r="DZ54" s="203" t="s">
        <v>151</v>
      </c>
      <c r="EA54" s="204">
        <v>0</v>
      </c>
      <c r="EB54" s="203" t="s">
        <v>151</v>
      </c>
      <c r="EC54" s="201">
        <v>1</v>
      </c>
      <c r="ED54" s="201">
        <v>0</v>
      </c>
      <c r="EE54" s="199">
        <f t="shared" si="95"/>
        <v>0</v>
      </c>
      <c r="EF54" s="203" t="s">
        <v>342</v>
      </c>
      <c r="EG54" s="204">
        <v>1</v>
      </c>
      <c r="EH54" s="203" t="s">
        <v>342</v>
      </c>
      <c r="EI54" s="201">
        <v>6</v>
      </c>
      <c r="EJ54" s="201">
        <v>1</v>
      </c>
      <c r="EK54" s="199">
        <f t="shared" si="96"/>
        <v>0.16666666666666666</v>
      </c>
      <c r="EL54" s="203" t="s">
        <v>380</v>
      </c>
      <c r="EM54" s="204">
        <v>5</v>
      </c>
      <c r="EN54" s="203" t="s">
        <v>380</v>
      </c>
      <c r="EO54" s="201">
        <v>0</v>
      </c>
      <c r="EP54" s="201">
        <v>0</v>
      </c>
      <c r="EQ54" s="199" t="str">
        <f t="shared" si="97"/>
        <v/>
      </c>
      <c r="ER54" s="203" t="s">
        <v>151</v>
      </c>
      <c r="ES54" s="204">
        <v>0</v>
      </c>
      <c r="ET54" s="203" t="s">
        <v>151</v>
      </c>
      <c r="EU54" s="201">
        <v>1</v>
      </c>
      <c r="EV54" s="201">
        <v>1</v>
      </c>
      <c r="EW54" s="199">
        <f t="shared" si="98"/>
        <v>1</v>
      </c>
      <c r="EX54" s="203" t="s">
        <v>151</v>
      </c>
      <c r="EY54" s="204">
        <v>0</v>
      </c>
      <c r="EZ54" s="203" t="s">
        <v>151</v>
      </c>
      <c r="FA54" s="201">
        <v>3</v>
      </c>
      <c r="FB54" s="201">
        <v>3</v>
      </c>
      <c r="FC54" s="199">
        <f>IF(ISERROR(FB54/FA54),"",FB54/FA54)</f>
        <v>1</v>
      </c>
      <c r="FD54" s="203" t="s">
        <v>151</v>
      </c>
      <c r="FE54" s="204">
        <v>0</v>
      </c>
      <c r="FF54" s="203" t="s">
        <v>151</v>
      </c>
      <c r="FG54" s="201">
        <v>0</v>
      </c>
      <c r="FH54" s="201">
        <v>0</v>
      </c>
      <c r="FI54" s="199" t="str">
        <f t="shared" si="100"/>
        <v/>
      </c>
      <c r="FJ54" s="203" t="s">
        <v>151</v>
      </c>
      <c r="FK54" s="204">
        <v>0</v>
      </c>
      <c r="FL54" s="203" t="s">
        <v>151</v>
      </c>
      <c r="FM54" s="201">
        <v>0</v>
      </c>
      <c r="FN54" s="201">
        <v>0</v>
      </c>
      <c r="FO54" s="199" t="str">
        <f t="shared" si="75"/>
        <v/>
      </c>
      <c r="FP54" s="203" t="s">
        <v>151</v>
      </c>
      <c r="FQ54" s="204">
        <v>0</v>
      </c>
      <c r="FR54" s="203" t="s">
        <v>151</v>
      </c>
      <c r="FS54" s="201">
        <v>6</v>
      </c>
      <c r="FT54" s="201">
        <v>4</v>
      </c>
      <c r="FU54" s="199">
        <f t="shared" si="76"/>
        <v>0.66666666666666663</v>
      </c>
      <c r="FV54" s="203" t="s">
        <v>436</v>
      </c>
      <c r="FW54" s="204">
        <v>2</v>
      </c>
      <c r="FX54" s="203" t="s">
        <v>436</v>
      </c>
      <c r="FY54" s="201">
        <v>0</v>
      </c>
      <c r="FZ54" s="201">
        <v>0</v>
      </c>
      <c r="GA54" s="199" t="str">
        <f t="shared" si="77"/>
        <v/>
      </c>
      <c r="GB54" s="203" t="s">
        <v>151</v>
      </c>
      <c r="GC54" s="204">
        <v>0</v>
      </c>
      <c r="GD54" s="203" t="s">
        <v>151</v>
      </c>
      <c r="GE54" s="203" t="s">
        <v>437</v>
      </c>
      <c r="GF54" s="203" t="s">
        <v>438</v>
      </c>
      <c r="GG54" s="204" t="s">
        <v>152</v>
      </c>
      <c r="GH54" s="204" t="s">
        <v>152</v>
      </c>
      <c r="GI54" s="204" t="s">
        <v>152</v>
      </c>
      <c r="GJ54" s="204" t="s">
        <v>152</v>
      </c>
      <c r="GK54" s="203" t="s">
        <v>587</v>
      </c>
      <c r="GL54" s="204" t="s">
        <v>152</v>
      </c>
      <c r="GM54" s="204" t="s">
        <v>152</v>
      </c>
      <c r="GN54" s="204" t="s">
        <v>152</v>
      </c>
      <c r="GO54" s="204" t="s">
        <v>152</v>
      </c>
      <c r="GP54" s="204" t="s">
        <v>152</v>
      </c>
      <c r="GQ54" s="204" t="s">
        <v>152</v>
      </c>
      <c r="GR54" s="100" t="s">
        <v>152</v>
      </c>
      <c r="GS54" s="101"/>
      <c r="GT54" s="204" t="s">
        <v>152</v>
      </c>
      <c r="GU54" s="204"/>
      <c r="GV54" s="204"/>
      <c r="GW54" s="145" t="s">
        <v>152</v>
      </c>
      <c r="GX54" s="145" t="s">
        <v>149</v>
      </c>
      <c r="GY54" s="204" t="s">
        <v>149</v>
      </c>
      <c r="GZ54" s="204" t="s">
        <v>457</v>
      </c>
      <c r="HA54" s="204"/>
      <c r="HB54" s="204"/>
      <c r="HC54" s="204"/>
      <c r="HD54" s="204"/>
      <c r="HE54" s="204"/>
      <c r="HF54" s="204"/>
      <c r="HG54" s="204" t="s">
        <v>457</v>
      </c>
      <c r="HH54" s="204"/>
      <c r="HI54" s="204"/>
      <c r="HJ54" s="204"/>
      <c r="HK54" s="204"/>
      <c r="HL54" s="204"/>
      <c r="HM54" s="204"/>
      <c r="HN54" s="204" t="s">
        <v>750</v>
      </c>
      <c r="HO54" s="204"/>
      <c r="HP54" s="204"/>
      <c r="HQ54" s="204"/>
      <c r="HR54" s="204"/>
      <c r="HS54" s="204"/>
      <c r="HT54" s="204"/>
      <c r="HU54" s="204" t="s">
        <v>457</v>
      </c>
      <c r="HV54" s="204"/>
      <c r="HW54" s="204"/>
      <c r="HX54" s="204"/>
      <c r="HY54" s="204"/>
      <c r="HZ54" s="204" t="s">
        <v>457</v>
      </c>
      <c r="IA54" s="204"/>
      <c r="IB54" s="204"/>
      <c r="IC54" s="204"/>
      <c r="ID54" s="204"/>
      <c r="IE54" s="204" t="s">
        <v>750</v>
      </c>
      <c r="IF54" s="204"/>
      <c r="IG54" s="204"/>
      <c r="IH54" s="204"/>
      <c r="II54" s="204"/>
      <c r="IJ54" s="140" t="str">
        <f t="shared" si="2"/>
        <v>○</v>
      </c>
    </row>
    <row r="55" spans="1:244" s="102" customFormat="1" ht="158.4">
      <c r="A55" s="97" t="s">
        <v>454</v>
      </c>
      <c r="B55" s="204" t="s">
        <v>225</v>
      </c>
      <c r="C55" s="198" t="s">
        <v>152</v>
      </c>
      <c r="D55" s="198" t="s">
        <v>151</v>
      </c>
      <c r="E55" s="203" t="s">
        <v>151</v>
      </c>
      <c r="F55" s="198" t="s">
        <v>152</v>
      </c>
      <c r="G55" s="198" t="s">
        <v>151</v>
      </c>
      <c r="H55" s="203" t="s">
        <v>151</v>
      </c>
      <c r="I55" s="198" t="s">
        <v>152</v>
      </c>
      <c r="J55" s="198" t="s">
        <v>151</v>
      </c>
      <c r="K55" s="203" t="s">
        <v>151</v>
      </c>
      <c r="L55" s="198" t="s">
        <v>152</v>
      </c>
      <c r="M55" s="198"/>
      <c r="N55" s="203"/>
      <c r="O55" s="198" t="s">
        <v>160</v>
      </c>
      <c r="P55" s="198" t="s">
        <v>152</v>
      </c>
      <c r="Q55" s="203" t="s">
        <v>226</v>
      </c>
      <c r="R55" s="198" t="s">
        <v>152</v>
      </c>
      <c r="S55" s="198" t="s">
        <v>151</v>
      </c>
      <c r="T55" s="203" t="s">
        <v>151</v>
      </c>
      <c r="U55" s="198" t="s">
        <v>152</v>
      </c>
      <c r="V55" s="198" t="s">
        <v>151</v>
      </c>
      <c r="W55" s="203" t="s">
        <v>151</v>
      </c>
      <c r="X55" s="204"/>
      <c r="Y55" s="204"/>
      <c r="Z55" s="204" t="s">
        <v>152</v>
      </c>
      <c r="AA55" s="98" t="str">
        <f t="shared" si="105"/>
        <v/>
      </c>
      <c r="AB55" s="204" t="s">
        <v>152</v>
      </c>
      <c r="AC55" s="204"/>
      <c r="AD55" s="98" t="str">
        <f t="shared" si="106"/>
        <v>○</v>
      </c>
      <c r="AE55" s="99" t="s">
        <v>229</v>
      </c>
      <c r="AF55" s="203" t="s">
        <v>539</v>
      </c>
      <c r="AG55" s="203"/>
      <c r="AH55" s="198" t="s">
        <v>160</v>
      </c>
      <c r="AI55" s="198" t="s">
        <v>151</v>
      </c>
      <c r="AJ55" s="203" t="s">
        <v>151</v>
      </c>
      <c r="AK55" s="198" t="s">
        <v>152</v>
      </c>
      <c r="AL55" s="198" t="s">
        <v>151</v>
      </c>
      <c r="AM55" s="203" t="s">
        <v>151</v>
      </c>
      <c r="AN55" s="198" t="s">
        <v>152</v>
      </c>
      <c r="AO55" s="198" t="s">
        <v>151</v>
      </c>
      <c r="AP55" s="203" t="s">
        <v>151</v>
      </c>
      <c r="AQ55" s="198" t="s">
        <v>152</v>
      </c>
      <c r="AR55" s="198" t="s">
        <v>151</v>
      </c>
      <c r="AS55" s="203" t="s">
        <v>151</v>
      </c>
      <c r="AT55" s="198" t="s">
        <v>152</v>
      </c>
      <c r="AU55" s="198" t="s">
        <v>151</v>
      </c>
      <c r="AV55" s="203" t="s">
        <v>151</v>
      </c>
      <c r="AW55" s="201">
        <v>1</v>
      </c>
      <c r="AX55" s="201">
        <v>1</v>
      </c>
      <c r="AY55" s="202">
        <f t="shared" si="81"/>
        <v>1</v>
      </c>
      <c r="AZ55" s="203" t="s">
        <v>151</v>
      </c>
      <c r="BA55" s="204">
        <v>0</v>
      </c>
      <c r="BB55" s="203" t="s">
        <v>151</v>
      </c>
      <c r="BC55" s="201">
        <v>4</v>
      </c>
      <c r="BD55" s="201">
        <v>4</v>
      </c>
      <c r="BE55" s="202">
        <f t="shared" si="82"/>
        <v>1</v>
      </c>
      <c r="BF55" s="203" t="s">
        <v>151</v>
      </c>
      <c r="BG55" s="204">
        <v>0</v>
      </c>
      <c r="BH55" s="203" t="s">
        <v>151</v>
      </c>
      <c r="BI55" s="201">
        <v>0</v>
      </c>
      <c r="BJ55" s="201">
        <v>0</v>
      </c>
      <c r="BK55" s="202" t="str">
        <f t="shared" si="83"/>
        <v/>
      </c>
      <c r="BL55" s="203" t="s">
        <v>151</v>
      </c>
      <c r="BM55" s="204">
        <v>0</v>
      </c>
      <c r="BN55" s="203" t="s">
        <v>151</v>
      </c>
      <c r="BO55" s="201">
        <v>0</v>
      </c>
      <c r="BP55" s="201">
        <v>0</v>
      </c>
      <c r="BQ55" s="202" t="str">
        <f t="shared" si="84"/>
        <v/>
      </c>
      <c r="BR55" s="203" t="s">
        <v>151</v>
      </c>
      <c r="BS55" s="204">
        <v>0</v>
      </c>
      <c r="BT55" s="203" t="s">
        <v>151</v>
      </c>
      <c r="BU55" s="201">
        <v>0</v>
      </c>
      <c r="BV55" s="201">
        <v>0</v>
      </c>
      <c r="BW55" s="202" t="str">
        <f t="shared" si="85"/>
        <v/>
      </c>
      <c r="BX55" s="203" t="s">
        <v>151</v>
      </c>
      <c r="BY55" s="204">
        <v>0</v>
      </c>
      <c r="BZ55" s="203" t="s">
        <v>151</v>
      </c>
      <c r="CA55" s="201">
        <v>0</v>
      </c>
      <c r="CB55" s="201">
        <v>0</v>
      </c>
      <c r="CC55" s="202" t="str">
        <f t="shared" si="86"/>
        <v/>
      </c>
      <c r="CD55" s="203" t="s">
        <v>151</v>
      </c>
      <c r="CE55" s="204">
        <v>0</v>
      </c>
      <c r="CF55" s="203" t="s">
        <v>151</v>
      </c>
      <c r="CG55" s="201">
        <v>0</v>
      </c>
      <c r="CH55" s="201">
        <v>0</v>
      </c>
      <c r="CI55" s="202" t="str">
        <f t="shared" si="87"/>
        <v/>
      </c>
      <c r="CJ55" s="203" t="s">
        <v>151</v>
      </c>
      <c r="CK55" s="204">
        <v>0</v>
      </c>
      <c r="CL55" s="203" t="s">
        <v>151</v>
      </c>
      <c r="CM55" s="201">
        <v>0</v>
      </c>
      <c r="CN55" s="201">
        <v>0</v>
      </c>
      <c r="CO55" s="202" t="str">
        <f t="shared" si="88"/>
        <v/>
      </c>
      <c r="CP55" s="203" t="s">
        <v>151</v>
      </c>
      <c r="CQ55" s="204">
        <v>0</v>
      </c>
      <c r="CR55" s="203" t="s">
        <v>151</v>
      </c>
      <c r="CS55" s="201">
        <v>0</v>
      </c>
      <c r="CT55" s="201">
        <v>0</v>
      </c>
      <c r="CU55" s="202" t="str">
        <f t="shared" si="89"/>
        <v/>
      </c>
      <c r="CV55" s="203" t="s">
        <v>151</v>
      </c>
      <c r="CW55" s="204">
        <v>0</v>
      </c>
      <c r="CX55" s="203" t="s">
        <v>151</v>
      </c>
      <c r="CY55" s="201">
        <v>0</v>
      </c>
      <c r="CZ55" s="201">
        <v>0</v>
      </c>
      <c r="DA55" s="202" t="str">
        <f t="shared" si="90"/>
        <v/>
      </c>
      <c r="DB55" s="203" t="s">
        <v>151</v>
      </c>
      <c r="DC55" s="204">
        <v>0</v>
      </c>
      <c r="DD55" s="203" t="s">
        <v>151</v>
      </c>
      <c r="DE55" s="201">
        <v>8</v>
      </c>
      <c r="DF55" s="201">
        <v>8</v>
      </c>
      <c r="DG55" s="202">
        <f t="shared" si="91"/>
        <v>1</v>
      </c>
      <c r="DH55" s="203" t="s">
        <v>151</v>
      </c>
      <c r="DI55" s="204">
        <v>0</v>
      </c>
      <c r="DJ55" s="203" t="s">
        <v>151</v>
      </c>
      <c r="DK55" s="201">
        <v>161</v>
      </c>
      <c r="DL55" s="201">
        <v>134</v>
      </c>
      <c r="DM55" s="202">
        <f t="shared" si="101"/>
        <v>0.83229813664596275</v>
      </c>
      <c r="DN55" s="203" t="s">
        <v>741</v>
      </c>
      <c r="DO55" s="204">
        <v>0</v>
      </c>
      <c r="DP55" s="203" t="s">
        <v>151</v>
      </c>
      <c r="DQ55" s="201">
        <v>0</v>
      </c>
      <c r="DR55" s="201">
        <v>0</v>
      </c>
      <c r="DS55" s="202" t="str">
        <f t="shared" si="93"/>
        <v/>
      </c>
      <c r="DT55" s="203" t="s">
        <v>151</v>
      </c>
      <c r="DU55" s="203">
        <v>0</v>
      </c>
      <c r="DV55" s="203" t="s">
        <v>151</v>
      </c>
      <c r="DW55" s="201">
        <v>0</v>
      </c>
      <c r="DX55" s="201">
        <v>0</v>
      </c>
      <c r="DY55" s="202" t="str">
        <f t="shared" si="94"/>
        <v/>
      </c>
      <c r="DZ55" s="203" t="s">
        <v>151</v>
      </c>
      <c r="EA55" s="204">
        <v>0</v>
      </c>
      <c r="EB55" s="203" t="s">
        <v>151</v>
      </c>
      <c r="EC55" s="201">
        <v>2</v>
      </c>
      <c r="ED55" s="201">
        <v>0</v>
      </c>
      <c r="EE55" s="202">
        <f t="shared" si="95"/>
        <v>0</v>
      </c>
      <c r="EF55" s="203" t="s">
        <v>742</v>
      </c>
      <c r="EG55" s="204">
        <v>2</v>
      </c>
      <c r="EH55" s="203" t="s">
        <v>743</v>
      </c>
      <c r="EI55" s="201">
        <v>6</v>
      </c>
      <c r="EJ55" s="201">
        <v>4</v>
      </c>
      <c r="EK55" s="202">
        <f t="shared" si="96"/>
        <v>0.66666666666666663</v>
      </c>
      <c r="EL55" s="203" t="s">
        <v>381</v>
      </c>
      <c r="EM55" s="204">
        <v>2</v>
      </c>
      <c r="EN55" s="203" t="s">
        <v>382</v>
      </c>
      <c r="EO55" s="201">
        <v>0</v>
      </c>
      <c r="EP55" s="201">
        <v>0</v>
      </c>
      <c r="EQ55" s="202" t="str">
        <f t="shared" si="97"/>
        <v/>
      </c>
      <c r="ER55" s="203" t="s">
        <v>151</v>
      </c>
      <c r="ES55" s="204">
        <v>0</v>
      </c>
      <c r="ET55" s="203" t="s">
        <v>151</v>
      </c>
      <c r="EU55" s="201">
        <v>3</v>
      </c>
      <c r="EV55" s="201">
        <v>2</v>
      </c>
      <c r="EW55" s="202">
        <f t="shared" si="98"/>
        <v>0.66666666666666663</v>
      </c>
      <c r="EX55" s="203" t="s">
        <v>387</v>
      </c>
      <c r="EY55" s="204">
        <v>1</v>
      </c>
      <c r="EZ55" s="203" t="s">
        <v>388</v>
      </c>
      <c r="FA55" s="201">
        <v>9</v>
      </c>
      <c r="FB55" s="201">
        <v>6</v>
      </c>
      <c r="FC55" s="199">
        <f t="shared" ref="FC55:FC56" si="107">IF(ISERROR(FB55/FA55),"",FB55/FA55)</f>
        <v>0.66666666666666663</v>
      </c>
      <c r="FD55" s="203" t="s">
        <v>744</v>
      </c>
      <c r="FE55" s="204">
        <v>3</v>
      </c>
      <c r="FF55" s="203" t="s">
        <v>745</v>
      </c>
      <c r="FG55" s="201">
        <v>0</v>
      </c>
      <c r="FH55" s="201">
        <v>0</v>
      </c>
      <c r="FI55" s="202" t="str">
        <f t="shared" si="100"/>
        <v/>
      </c>
      <c r="FJ55" s="203" t="s">
        <v>151</v>
      </c>
      <c r="FK55" s="204">
        <v>0</v>
      </c>
      <c r="FL55" s="203" t="s">
        <v>151</v>
      </c>
      <c r="FM55" s="201">
        <v>0</v>
      </c>
      <c r="FN55" s="201">
        <v>0</v>
      </c>
      <c r="FO55" s="202" t="str">
        <f t="shared" si="75"/>
        <v/>
      </c>
      <c r="FP55" s="203" t="s">
        <v>151</v>
      </c>
      <c r="FQ55" s="204">
        <v>0</v>
      </c>
      <c r="FR55" s="203" t="s">
        <v>151</v>
      </c>
      <c r="FS55" s="201">
        <v>3</v>
      </c>
      <c r="FT55" s="201">
        <v>3</v>
      </c>
      <c r="FU55" s="202">
        <f t="shared" si="76"/>
        <v>1</v>
      </c>
      <c r="FV55" s="203" t="s">
        <v>151</v>
      </c>
      <c r="FW55" s="204">
        <v>0</v>
      </c>
      <c r="FX55" s="203" t="s">
        <v>151</v>
      </c>
      <c r="FY55" s="201">
        <v>0</v>
      </c>
      <c r="FZ55" s="201">
        <v>0</v>
      </c>
      <c r="GA55" s="202" t="str">
        <f t="shared" si="77"/>
        <v/>
      </c>
      <c r="GB55" s="203" t="s">
        <v>151</v>
      </c>
      <c r="GC55" s="204">
        <v>0</v>
      </c>
      <c r="GD55" s="203" t="s">
        <v>151</v>
      </c>
      <c r="GE55" s="203" t="s">
        <v>437</v>
      </c>
      <c r="GF55" s="203" t="s">
        <v>439</v>
      </c>
      <c r="GG55" s="204" t="s">
        <v>152</v>
      </c>
      <c r="GH55" s="204" t="s">
        <v>151</v>
      </c>
      <c r="GI55" s="204" t="s">
        <v>152</v>
      </c>
      <c r="GJ55" s="204" t="s">
        <v>151</v>
      </c>
      <c r="GK55" s="203" t="s">
        <v>151</v>
      </c>
      <c r="GL55" s="204" t="s">
        <v>152</v>
      </c>
      <c r="GM55" s="204" t="s">
        <v>152</v>
      </c>
      <c r="GN55" s="204" t="s">
        <v>152</v>
      </c>
      <c r="GO55" s="204" t="s">
        <v>151</v>
      </c>
      <c r="GP55" s="204" t="s">
        <v>152</v>
      </c>
      <c r="GQ55" s="204" t="s">
        <v>152</v>
      </c>
      <c r="GR55" s="100" t="s">
        <v>152</v>
      </c>
      <c r="GS55" s="101"/>
      <c r="GT55" s="204" t="s">
        <v>152</v>
      </c>
      <c r="GU55" s="204"/>
      <c r="GV55" s="204"/>
      <c r="GW55" s="145" t="s">
        <v>152</v>
      </c>
      <c r="GX55" s="145" t="s">
        <v>149</v>
      </c>
      <c r="GY55" s="204" t="s">
        <v>149</v>
      </c>
      <c r="GZ55" s="203"/>
      <c r="HA55" s="203"/>
      <c r="HB55" s="203"/>
      <c r="HC55" s="203"/>
      <c r="HD55" s="203"/>
      <c r="HE55" s="204" t="s">
        <v>457</v>
      </c>
      <c r="HF55" s="203" t="s">
        <v>746</v>
      </c>
      <c r="HG55" s="204" t="s">
        <v>457</v>
      </c>
      <c r="HH55" s="203"/>
      <c r="HI55" s="203"/>
      <c r="HJ55" s="203"/>
      <c r="HK55" s="203"/>
      <c r="HL55" s="203"/>
      <c r="HM55" s="203"/>
      <c r="HN55" s="203"/>
      <c r="HO55" s="203"/>
      <c r="HP55" s="203"/>
      <c r="HQ55" s="203"/>
      <c r="HR55" s="203"/>
      <c r="HS55" s="204" t="s">
        <v>457</v>
      </c>
      <c r="HT55" s="203" t="s">
        <v>747</v>
      </c>
      <c r="HU55" s="203"/>
      <c r="HV55" s="203"/>
      <c r="HW55" s="204" t="s">
        <v>457</v>
      </c>
      <c r="HX55" s="203"/>
      <c r="HY55" s="203" t="s">
        <v>748</v>
      </c>
      <c r="HZ55" s="204" t="s">
        <v>152</v>
      </c>
      <c r="IA55" s="204"/>
      <c r="IB55" s="203"/>
      <c r="IC55" s="203"/>
      <c r="ID55" s="203"/>
      <c r="IE55" s="203"/>
      <c r="IF55" s="203"/>
      <c r="IG55" s="204" t="s">
        <v>457</v>
      </c>
      <c r="IH55" s="203"/>
      <c r="II55" s="203" t="s">
        <v>748</v>
      </c>
      <c r="IJ55" s="142" t="str">
        <f t="shared" si="2"/>
        <v>○</v>
      </c>
    </row>
    <row r="56" spans="1:244" s="93" customFormat="1" ht="272.25" customHeight="1" thickBot="1">
      <c r="A56" s="166" t="s">
        <v>540</v>
      </c>
      <c r="B56" s="204" t="s">
        <v>227</v>
      </c>
      <c r="C56" s="198" t="s">
        <v>152</v>
      </c>
      <c r="D56" s="198" t="s">
        <v>151</v>
      </c>
      <c r="E56" s="203" t="s">
        <v>151</v>
      </c>
      <c r="F56" s="198" t="s">
        <v>152</v>
      </c>
      <c r="G56" s="198" t="s">
        <v>151</v>
      </c>
      <c r="H56" s="203" t="s">
        <v>151</v>
      </c>
      <c r="I56" s="198" t="s">
        <v>152</v>
      </c>
      <c r="J56" s="198"/>
      <c r="K56" s="203"/>
      <c r="L56" s="198" t="s">
        <v>152</v>
      </c>
      <c r="M56" s="198"/>
      <c r="N56" s="203"/>
      <c r="O56" s="198" t="s">
        <v>152</v>
      </c>
      <c r="P56" s="198"/>
      <c r="Q56" s="203"/>
      <c r="R56" s="198" t="s">
        <v>152</v>
      </c>
      <c r="S56" s="198" t="s">
        <v>151</v>
      </c>
      <c r="T56" s="203" t="s">
        <v>151</v>
      </c>
      <c r="U56" s="198" t="s">
        <v>152</v>
      </c>
      <c r="V56" s="198" t="s">
        <v>151</v>
      </c>
      <c r="W56" s="203" t="s">
        <v>151</v>
      </c>
      <c r="X56" s="204"/>
      <c r="Y56" s="204"/>
      <c r="Z56" s="204" t="s">
        <v>152</v>
      </c>
      <c r="AA56" s="98" t="s">
        <v>149</v>
      </c>
      <c r="AB56" s="204" t="s">
        <v>152</v>
      </c>
      <c r="AC56" s="204"/>
      <c r="AD56" s="98" t="s">
        <v>152</v>
      </c>
      <c r="AE56" s="198" t="s">
        <v>229</v>
      </c>
      <c r="AF56" s="203" t="s">
        <v>544</v>
      </c>
      <c r="AG56" s="203"/>
      <c r="AH56" s="198" t="s">
        <v>160</v>
      </c>
      <c r="AI56" s="198"/>
      <c r="AJ56" s="203"/>
      <c r="AK56" s="198" t="s">
        <v>152</v>
      </c>
      <c r="AL56" s="198"/>
      <c r="AM56" s="203"/>
      <c r="AN56" s="198" t="s">
        <v>152</v>
      </c>
      <c r="AO56" s="198" t="s">
        <v>151</v>
      </c>
      <c r="AP56" s="203" t="s">
        <v>151</v>
      </c>
      <c r="AQ56" s="198" t="s">
        <v>152</v>
      </c>
      <c r="AR56" s="198" t="s">
        <v>151</v>
      </c>
      <c r="AS56" s="203" t="s">
        <v>151</v>
      </c>
      <c r="AT56" s="198"/>
      <c r="AU56" s="198"/>
      <c r="AV56" s="203"/>
      <c r="AW56" s="201">
        <v>1</v>
      </c>
      <c r="AX56" s="201">
        <v>1</v>
      </c>
      <c r="AY56" s="202">
        <v>1</v>
      </c>
      <c r="AZ56" s="203" t="s">
        <v>151</v>
      </c>
      <c r="BA56" s="204">
        <v>0</v>
      </c>
      <c r="BB56" s="203" t="s">
        <v>151</v>
      </c>
      <c r="BC56" s="201">
        <v>1</v>
      </c>
      <c r="BD56" s="201">
        <v>1</v>
      </c>
      <c r="BE56" s="202">
        <v>1</v>
      </c>
      <c r="BF56" s="203" t="s">
        <v>151</v>
      </c>
      <c r="BG56" s="204">
        <v>0</v>
      </c>
      <c r="BH56" s="203" t="s">
        <v>151</v>
      </c>
      <c r="BI56" s="201">
        <v>0</v>
      </c>
      <c r="BJ56" s="201">
        <v>0</v>
      </c>
      <c r="BK56" s="202" t="s">
        <v>149</v>
      </c>
      <c r="BL56" s="203" t="s">
        <v>151</v>
      </c>
      <c r="BM56" s="204">
        <v>0</v>
      </c>
      <c r="BN56" s="203" t="s">
        <v>151</v>
      </c>
      <c r="BO56" s="201">
        <v>3</v>
      </c>
      <c r="BP56" s="201">
        <v>3</v>
      </c>
      <c r="BQ56" s="202">
        <v>1</v>
      </c>
      <c r="BR56" s="203" t="s">
        <v>151</v>
      </c>
      <c r="BS56" s="204">
        <v>0</v>
      </c>
      <c r="BT56" s="203" t="s">
        <v>151</v>
      </c>
      <c r="BU56" s="201">
        <v>0</v>
      </c>
      <c r="BV56" s="201">
        <v>0</v>
      </c>
      <c r="BW56" s="202" t="s">
        <v>149</v>
      </c>
      <c r="BX56" s="203" t="s">
        <v>151</v>
      </c>
      <c r="BY56" s="204">
        <v>0</v>
      </c>
      <c r="BZ56" s="203" t="s">
        <v>151</v>
      </c>
      <c r="CA56" s="201">
        <v>0</v>
      </c>
      <c r="CB56" s="201">
        <v>0</v>
      </c>
      <c r="CC56" s="202" t="s">
        <v>149</v>
      </c>
      <c r="CD56" s="203" t="s">
        <v>151</v>
      </c>
      <c r="CE56" s="204">
        <v>0</v>
      </c>
      <c r="CF56" s="203" t="s">
        <v>151</v>
      </c>
      <c r="CG56" s="201">
        <v>0</v>
      </c>
      <c r="CH56" s="201">
        <v>0</v>
      </c>
      <c r="CI56" s="202" t="s">
        <v>149</v>
      </c>
      <c r="CJ56" s="203" t="s">
        <v>151</v>
      </c>
      <c r="CK56" s="204">
        <v>0</v>
      </c>
      <c r="CL56" s="203" t="s">
        <v>151</v>
      </c>
      <c r="CM56" s="201">
        <v>0</v>
      </c>
      <c r="CN56" s="201">
        <v>0</v>
      </c>
      <c r="CO56" s="202" t="s">
        <v>149</v>
      </c>
      <c r="CP56" s="203" t="s">
        <v>151</v>
      </c>
      <c r="CQ56" s="204">
        <v>0</v>
      </c>
      <c r="CR56" s="203" t="s">
        <v>151</v>
      </c>
      <c r="CS56" s="201">
        <v>1</v>
      </c>
      <c r="CT56" s="201">
        <v>1</v>
      </c>
      <c r="CU56" s="202">
        <v>1</v>
      </c>
      <c r="CV56" s="203" t="s">
        <v>151</v>
      </c>
      <c r="CW56" s="204">
        <v>0</v>
      </c>
      <c r="CX56" s="203" t="s">
        <v>151</v>
      </c>
      <c r="CY56" s="201">
        <v>3</v>
      </c>
      <c r="CZ56" s="201">
        <v>3</v>
      </c>
      <c r="DA56" s="202">
        <v>1</v>
      </c>
      <c r="DB56" s="203" t="s">
        <v>151</v>
      </c>
      <c r="DC56" s="204">
        <v>0</v>
      </c>
      <c r="DD56" s="203" t="s">
        <v>151</v>
      </c>
      <c r="DE56" s="201">
        <v>13</v>
      </c>
      <c r="DF56" s="201">
        <v>13</v>
      </c>
      <c r="DG56" s="202">
        <v>1</v>
      </c>
      <c r="DH56" s="203" t="s">
        <v>151</v>
      </c>
      <c r="DI56" s="204">
        <v>0</v>
      </c>
      <c r="DJ56" s="203" t="s">
        <v>151</v>
      </c>
      <c r="DK56" s="201">
        <v>133</v>
      </c>
      <c r="DL56" s="201">
        <v>133</v>
      </c>
      <c r="DM56" s="202">
        <v>1</v>
      </c>
      <c r="DN56" s="203" t="s">
        <v>151</v>
      </c>
      <c r="DO56" s="204">
        <v>0</v>
      </c>
      <c r="DP56" s="203" t="s">
        <v>151</v>
      </c>
      <c r="DQ56" s="201">
        <v>3</v>
      </c>
      <c r="DR56" s="201">
        <v>2</v>
      </c>
      <c r="DS56" s="202">
        <v>0.66666666666666663</v>
      </c>
      <c r="DT56" s="203" t="s">
        <v>749</v>
      </c>
      <c r="DU56" s="203">
        <v>0</v>
      </c>
      <c r="DV56" s="203" t="s">
        <v>151</v>
      </c>
      <c r="DW56" s="201">
        <v>0</v>
      </c>
      <c r="DX56" s="201">
        <v>0</v>
      </c>
      <c r="DY56" s="202" t="s">
        <v>149</v>
      </c>
      <c r="DZ56" s="203" t="s">
        <v>151</v>
      </c>
      <c r="EA56" s="204">
        <v>0</v>
      </c>
      <c r="EB56" s="203" t="s">
        <v>151</v>
      </c>
      <c r="EC56" s="201">
        <v>1</v>
      </c>
      <c r="ED56" s="201">
        <v>0</v>
      </c>
      <c r="EE56" s="202">
        <v>0</v>
      </c>
      <c r="EF56" s="203" t="s">
        <v>343</v>
      </c>
      <c r="EG56" s="204">
        <v>1</v>
      </c>
      <c r="EH56" s="203" t="s">
        <v>344</v>
      </c>
      <c r="EI56" s="201">
        <v>3</v>
      </c>
      <c r="EJ56" s="201">
        <v>1</v>
      </c>
      <c r="EK56" s="202">
        <v>0.33333333333333331</v>
      </c>
      <c r="EL56" s="203" t="s">
        <v>642</v>
      </c>
      <c r="EM56" s="204">
        <v>2</v>
      </c>
      <c r="EN56" s="203" t="s">
        <v>643</v>
      </c>
      <c r="EO56" s="201">
        <v>0</v>
      </c>
      <c r="EP56" s="201">
        <v>0</v>
      </c>
      <c r="EQ56" s="202" t="s">
        <v>149</v>
      </c>
      <c r="ER56" s="203" t="s">
        <v>151</v>
      </c>
      <c r="ES56" s="204">
        <v>0</v>
      </c>
      <c r="ET56" s="203" t="s">
        <v>151</v>
      </c>
      <c r="EU56" s="201">
        <v>0</v>
      </c>
      <c r="EV56" s="201">
        <v>0</v>
      </c>
      <c r="EW56" s="202" t="str">
        <f t="shared" si="98"/>
        <v/>
      </c>
      <c r="EX56" s="203" t="s">
        <v>151</v>
      </c>
      <c r="EY56" s="204">
        <v>0</v>
      </c>
      <c r="EZ56" s="203" t="s">
        <v>151</v>
      </c>
      <c r="FA56" s="201">
        <v>6</v>
      </c>
      <c r="FB56" s="201">
        <v>6</v>
      </c>
      <c r="FC56" s="199">
        <f t="shared" si="107"/>
        <v>1</v>
      </c>
      <c r="FD56" s="203" t="s">
        <v>151</v>
      </c>
      <c r="FE56" s="204">
        <v>0</v>
      </c>
      <c r="FF56" s="203" t="s">
        <v>151</v>
      </c>
      <c r="FG56" s="201">
        <v>0</v>
      </c>
      <c r="FH56" s="201">
        <v>0</v>
      </c>
      <c r="FI56" s="202" t="s">
        <v>149</v>
      </c>
      <c r="FJ56" s="203" t="s">
        <v>151</v>
      </c>
      <c r="FK56" s="204">
        <v>0</v>
      </c>
      <c r="FL56" s="203" t="s">
        <v>151</v>
      </c>
      <c r="FM56" s="201">
        <v>0</v>
      </c>
      <c r="FN56" s="201">
        <v>0</v>
      </c>
      <c r="FO56" s="202" t="s">
        <v>149</v>
      </c>
      <c r="FP56" s="203" t="s">
        <v>151</v>
      </c>
      <c r="FQ56" s="204">
        <v>0</v>
      </c>
      <c r="FR56" s="203" t="s">
        <v>151</v>
      </c>
      <c r="FS56" s="201">
        <v>0</v>
      </c>
      <c r="FT56" s="201">
        <v>0</v>
      </c>
      <c r="FU56" s="202" t="s">
        <v>149</v>
      </c>
      <c r="FV56" s="203" t="s">
        <v>151</v>
      </c>
      <c r="FW56" s="204">
        <v>0</v>
      </c>
      <c r="FX56" s="203" t="s">
        <v>151</v>
      </c>
      <c r="FY56" s="201">
        <v>0</v>
      </c>
      <c r="FZ56" s="201">
        <v>0</v>
      </c>
      <c r="GA56" s="182" t="str">
        <f t="shared" ref="GA56" si="108">IF(ISERROR(FZ56/FY56),"",FZ56/FY56)</f>
        <v/>
      </c>
      <c r="GB56" s="203" t="s">
        <v>151</v>
      </c>
      <c r="GC56" s="204">
        <v>0</v>
      </c>
      <c r="GD56" s="203" t="s">
        <v>151</v>
      </c>
      <c r="GE56" s="203" t="s">
        <v>437</v>
      </c>
      <c r="GF56" s="203" t="s">
        <v>438</v>
      </c>
      <c r="GG56" s="204" t="s">
        <v>152</v>
      </c>
      <c r="GH56" s="204" t="s">
        <v>151</v>
      </c>
      <c r="GI56" s="204" t="s">
        <v>151</v>
      </c>
      <c r="GJ56" s="204" t="s">
        <v>152</v>
      </c>
      <c r="GK56" s="203" t="s">
        <v>151</v>
      </c>
      <c r="GL56" s="204" t="s">
        <v>152</v>
      </c>
      <c r="GM56" s="204" t="s">
        <v>151</v>
      </c>
      <c r="GN56" s="204" t="s">
        <v>151</v>
      </c>
      <c r="GO56" s="204" t="s">
        <v>151</v>
      </c>
      <c r="GP56" s="204" t="s">
        <v>151</v>
      </c>
      <c r="GQ56" s="204" t="s">
        <v>151</v>
      </c>
      <c r="GR56" s="98" t="s">
        <v>152</v>
      </c>
      <c r="GS56" s="204"/>
      <c r="GT56" s="204" t="s">
        <v>152</v>
      </c>
      <c r="GU56" s="204"/>
      <c r="GV56" s="204"/>
      <c r="GW56" s="196" t="s">
        <v>152</v>
      </c>
      <c r="GX56" s="146" t="s">
        <v>149</v>
      </c>
      <c r="GY56" s="204" t="s">
        <v>149</v>
      </c>
      <c r="GZ56" s="197"/>
      <c r="HA56" s="197"/>
      <c r="HB56" s="197"/>
      <c r="HC56" s="197"/>
      <c r="HD56" s="197" t="s">
        <v>152</v>
      </c>
      <c r="HE56" s="197"/>
      <c r="HF56" s="197" t="s">
        <v>762</v>
      </c>
      <c r="HG56" s="196" t="s">
        <v>152</v>
      </c>
      <c r="HH56" s="197"/>
      <c r="HI56" s="197"/>
      <c r="HJ56" s="197"/>
      <c r="HK56" s="197"/>
      <c r="HL56" s="197"/>
      <c r="HM56" s="197"/>
      <c r="HN56" s="196" t="s">
        <v>152</v>
      </c>
      <c r="HO56" s="197"/>
      <c r="HP56" s="197"/>
      <c r="HQ56" s="197"/>
      <c r="HR56" s="197"/>
      <c r="HS56" s="197"/>
      <c r="HT56" s="197"/>
      <c r="HU56" s="197"/>
      <c r="HV56" s="197"/>
      <c r="HW56" s="197" t="s">
        <v>152</v>
      </c>
      <c r="HX56" s="197"/>
      <c r="HY56" s="197" t="s">
        <v>734</v>
      </c>
      <c r="HZ56" s="196" t="s">
        <v>457</v>
      </c>
      <c r="IA56" s="197"/>
      <c r="IB56" s="197"/>
      <c r="IC56" s="197"/>
      <c r="ID56" s="197"/>
      <c r="IE56" s="196" t="s">
        <v>457</v>
      </c>
      <c r="IF56" s="197"/>
      <c r="IG56" s="197"/>
      <c r="IH56" s="197"/>
      <c r="II56" s="197"/>
      <c r="IJ56" s="140" t="str">
        <f t="shared" si="2"/>
        <v>○</v>
      </c>
    </row>
    <row r="57" spans="1:244" s="77" customFormat="1" ht="35.1" customHeight="1" thickTop="1">
      <c r="A57" s="246" t="s">
        <v>0</v>
      </c>
      <c r="B57" s="247"/>
      <c r="C57" s="183">
        <f t="shared" ref="C57:AV57" si="109">COUNTIF(C10:C56,"○")</f>
        <v>47</v>
      </c>
      <c r="D57" s="183">
        <f t="shared" si="109"/>
        <v>0</v>
      </c>
      <c r="E57" s="183">
        <f t="shared" si="109"/>
        <v>0</v>
      </c>
      <c r="F57" s="183">
        <f t="shared" si="109"/>
        <v>47</v>
      </c>
      <c r="G57" s="183">
        <f t="shared" si="109"/>
        <v>0</v>
      </c>
      <c r="H57" s="183">
        <f t="shared" si="109"/>
        <v>0</v>
      </c>
      <c r="I57" s="183">
        <f>COUNTIF(I10:I56,"○")</f>
        <v>39</v>
      </c>
      <c r="J57" s="183">
        <f t="shared" si="109"/>
        <v>0</v>
      </c>
      <c r="K57" s="183">
        <f t="shared" si="109"/>
        <v>0</v>
      </c>
      <c r="L57" s="183">
        <f t="shared" si="109"/>
        <v>39</v>
      </c>
      <c r="M57" s="183">
        <f t="shared" si="109"/>
        <v>3</v>
      </c>
      <c r="N57" s="183">
        <f t="shared" si="109"/>
        <v>0</v>
      </c>
      <c r="O57" s="183">
        <f>COUNTIF(O10:O56,"○")</f>
        <v>42</v>
      </c>
      <c r="P57" s="183">
        <f t="shared" si="109"/>
        <v>4</v>
      </c>
      <c r="Q57" s="183">
        <f t="shared" si="109"/>
        <v>0</v>
      </c>
      <c r="R57" s="183">
        <f t="shared" si="109"/>
        <v>45</v>
      </c>
      <c r="S57" s="183">
        <f t="shared" si="109"/>
        <v>1</v>
      </c>
      <c r="T57" s="183">
        <f t="shared" si="109"/>
        <v>0</v>
      </c>
      <c r="U57" s="183">
        <f t="shared" si="109"/>
        <v>38</v>
      </c>
      <c r="V57" s="183">
        <f t="shared" si="109"/>
        <v>0</v>
      </c>
      <c r="W57" s="183">
        <f t="shared" si="109"/>
        <v>0</v>
      </c>
      <c r="X57" s="183">
        <f t="shared" si="109"/>
        <v>1</v>
      </c>
      <c r="Y57" s="183">
        <f t="shared" si="109"/>
        <v>17</v>
      </c>
      <c r="Z57" s="183">
        <f t="shared" si="109"/>
        <v>28</v>
      </c>
      <c r="AA57" s="183">
        <f t="shared" si="109"/>
        <v>18</v>
      </c>
      <c r="AB57" s="183">
        <f t="shared" si="109"/>
        <v>40</v>
      </c>
      <c r="AC57" s="183">
        <f t="shared" si="109"/>
        <v>5</v>
      </c>
      <c r="AD57" s="184">
        <f t="shared" si="109"/>
        <v>25</v>
      </c>
      <c r="AE57" s="183">
        <f t="shared" si="109"/>
        <v>1</v>
      </c>
      <c r="AF57" s="183">
        <f t="shared" si="109"/>
        <v>0</v>
      </c>
      <c r="AG57" s="183">
        <f t="shared" si="109"/>
        <v>0</v>
      </c>
      <c r="AH57" s="183">
        <f t="shared" si="109"/>
        <v>4</v>
      </c>
      <c r="AI57" s="183">
        <f t="shared" si="109"/>
        <v>0</v>
      </c>
      <c r="AJ57" s="183">
        <f t="shared" si="109"/>
        <v>0</v>
      </c>
      <c r="AK57" s="183">
        <f t="shared" si="109"/>
        <v>47</v>
      </c>
      <c r="AL57" s="183">
        <f t="shared" si="109"/>
        <v>0</v>
      </c>
      <c r="AM57" s="183">
        <f t="shared" si="109"/>
        <v>0</v>
      </c>
      <c r="AN57" s="183">
        <f t="shared" si="109"/>
        <v>47</v>
      </c>
      <c r="AO57" s="183">
        <f t="shared" si="109"/>
        <v>0</v>
      </c>
      <c r="AP57" s="183">
        <f t="shared" si="109"/>
        <v>0</v>
      </c>
      <c r="AQ57" s="183">
        <f t="shared" si="109"/>
        <v>47</v>
      </c>
      <c r="AR57" s="183">
        <f t="shared" si="109"/>
        <v>0</v>
      </c>
      <c r="AS57" s="183">
        <f t="shared" si="109"/>
        <v>0</v>
      </c>
      <c r="AT57" s="183">
        <f t="shared" si="109"/>
        <v>46</v>
      </c>
      <c r="AU57" s="183">
        <f t="shared" si="109"/>
        <v>1</v>
      </c>
      <c r="AV57" s="183">
        <f t="shared" si="109"/>
        <v>0</v>
      </c>
      <c r="AW57" s="220">
        <f>SUM(AW10:AW56)</f>
        <v>107</v>
      </c>
      <c r="AX57" s="220">
        <f>SUM(AX10:AX56)</f>
        <v>102</v>
      </c>
      <c r="AY57" s="222">
        <f>AX57/AW57</f>
        <v>0.95327102803738317</v>
      </c>
      <c r="AZ57" s="216"/>
      <c r="BA57" s="216">
        <f>SUM(BA10:BA56)</f>
        <v>5</v>
      </c>
      <c r="BB57" s="220"/>
      <c r="BC57" s="220">
        <f>SUM(BC10:BC56)</f>
        <v>252</v>
      </c>
      <c r="BD57" s="220">
        <f>SUM(BD10:BD56)</f>
        <v>234</v>
      </c>
      <c r="BE57" s="222">
        <f>BD57/BC57</f>
        <v>0.9285714285714286</v>
      </c>
      <c r="BF57" s="216"/>
      <c r="BG57" s="216">
        <f>SUM(BG10:BG56)</f>
        <v>4</v>
      </c>
      <c r="BH57" s="220"/>
      <c r="BI57" s="220">
        <f>SUM(BI10:BI56)</f>
        <v>43</v>
      </c>
      <c r="BJ57" s="220">
        <f>SUM(BJ10:BJ56)</f>
        <v>41</v>
      </c>
      <c r="BK57" s="222">
        <f>BJ57/BI57</f>
        <v>0.95348837209302328</v>
      </c>
      <c r="BL57" s="224"/>
      <c r="BM57" s="216">
        <f>SUM(BM10:BM56)</f>
        <v>1</v>
      </c>
      <c r="BN57" s="218"/>
      <c r="BO57" s="220">
        <f>SUM(BO10:BO56)</f>
        <v>14</v>
      </c>
      <c r="BP57" s="220">
        <f>SUM(BP10:BP56)</f>
        <v>8</v>
      </c>
      <c r="BQ57" s="222">
        <f>BP57/BO57</f>
        <v>0.5714285714285714</v>
      </c>
      <c r="BR57" s="216"/>
      <c r="BS57" s="216">
        <f>SUM(BS10:BS56)</f>
        <v>0</v>
      </c>
      <c r="BT57" s="218"/>
      <c r="BU57" s="233">
        <f>SUM(BU10:BU56)</f>
        <v>28</v>
      </c>
      <c r="BV57" s="233">
        <f>SUM(BV10:BV56)</f>
        <v>26</v>
      </c>
      <c r="BW57" s="235">
        <f>BV57/BU57</f>
        <v>0.9285714285714286</v>
      </c>
      <c r="BX57" s="228"/>
      <c r="BY57" s="228">
        <f>SUM(BY10:BY56)</f>
        <v>1</v>
      </c>
      <c r="BZ57" s="218"/>
      <c r="CA57" s="220">
        <f>SUM(CA10:CA56)</f>
        <v>24</v>
      </c>
      <c r="CB57" s="220">
        <f>SUM(CB10:CB56)</f>
        <v>23</v>
      </c>
      <c r="CC57" s="222">
        <f>CB57/CA57</f>
        <v>0.95833333333333337</v>
      </c>
      <c r="CD57" s="216"/>
      <c r="CE57" s="216">
        <f>SUM(CE10:CE56)</f>
        <v>0</v>
      </c>
      <c r="CF57" s="218"/>
      <c r="CG57" s="218">
        <f>SUM(CG10:CG56)</f>
        <v>55</v>
      </c>
      <c r="CH57" s="218">
        <f>SUM(CH10:CH56)</f>
        <v>51</v>
      </c>
      <c r="CI57" s="226">
        <f>CH57/CG57</f>
        <v>0.92727272727272725</v>
      </c>
      <c r="CJ57" s="224"/>
      <c r="CK57" s="216">
        <f>SUM(CK10:CK56)</f>
        <v>0</v>
      </c>
      <c r="CL57" s="237"/>
      <c r="CM57" s="218">
        <f>SUM(CM10:CM56)</f>
        <v>51</v>
      </c>
      <c r="CN57" s="218">
        <f>SUM(CN10:CN56)</f>
        <v>27</v>
      </c>
      <c r="CO57" s="226">
        <f>CN57/CM57</f>
        <v>0.52941176470588236</v>
      </c>
      <c r="CP57" s="224"/>
      <c r="CQ57" s="216">
        <f>SUM(CQ10:CQ56)</f>
        <v>22</v>
      </c>
      <c r="CR57" s="218"/>
      <c r="CS57" s="218">
        <f>SUM(CS10:CS56)</f>
        <v>42</v>
      </c>
      <c r="CT57" s="218">
        <f>SUM(CT10:CT56)</f>
        <v>42</v>
      </c>
      <c r="CU57" s="226">
        <f>CT57/CS57</f>
        <v>1</v>
      </c>
      <c r="CV57" s="224"/>
      <c r="CW57" s="224">
        <f>SUM(CW10:CW56)</f>
        <v>0</v>
      </c>
      <c r="CX57" s="218"/>
      <c r="CY57" s="218">
        <f>SUM(CY10:CY56)</f>
        <v>79</v>
      </c>
      <c r="CZ57" s="218">
        <f>SUM(CZ10:CZ56)</f>
        <v>24</v>
      </c>
      <c r="DA57" s="226">
        <f>CZ57/CY57</f>
        <v>0.30379746835443039</v>
      </c>
      <c r="DB57" s="224"/>
      <c r="DC57" s="216">
        <f>SUM(DC10:DC56)</f>
        <v>51</v>
      </c>
      <c r="DD57" s="218"/>
      <c r="DE57" s="220">
        <f>SUM(DE10:DE56)</f>
        <v>503</v>
      </c>
      <c r="DF57" s="220">
        <f>SUM(DF10:DF56)</f>
        <v>444</v>
      </c>
      <c r="DG57" s="222">
        <f>DF57/DE57</f>
        <v>0.88270377733598404</v>
      </c>
      <c r="DH57" s="216"/>
      <c r="DI57" s="216">
        <f>SUM(DI10:DI56)</f>
        <v>16</v>
      </c>
      <c r="DJ57" s="218"/>
      <c r="DK57" s="220">
        <f>SUM(DK10:DK56)</f>
        <v>6159</v>
      </c>
      <c r="DL57" s="220">
        <f>SUM(DL10:DL56)</f>
        <v>4048</v>
      </c>
      <c r="DM57" s="222">
        <f>DL57/DK57</f>
        <v>0.65724955349894465</v>
      </c>
      <c r="DN57" s="224"/>
      <c r="DO57" s="216">
        <f>SUM(DO10:DO56)</f>
        <v>0</v>
      </c>
      <c r="DP57" s="218"/>
      <c r="DQ57" s="220">
        <f>SUM(DQ10:DQ56)</f>
        <v>97</v>
      </c>
      <c r="DR57" s="220">
        <f>SUM(DR10:DR56)</f>
        <v>82</v>
      </c>
      <c r="DS57" s="222">
        <f>DR57/DQ57</f>
        <v>0.84536082474226804</v>
      </c>
      <c r="DT57" s="216"/>
      <c r="DU57" s="216">
        <f>SUM(DU10:DU56)</f>
        <v>3</v>
      </c>
      <c r="DV57" s="218"/>
      <c r="DW57" s="218">
        <f>SUM(DW10:DW56)</f>
        <v>10</v>
      </c>
      <c r="DX57" s="218">
        <f>SUM(DX10:DX56)</f>
        <v>9</v>
      </c>
      <c r="DY57" s="226">
        <f>DX57/DW57</f>
        <v>0.9</v>
      </c>
      <c r="DZ57" s="224"/>
      <c r="EA57" s="216">
        <f>SUM(EA10:EA56)</f>
        <v>0</v>
      </c>
      <c r="EB57" s="218"/>
      <c r="EC57" s="233">
        <f>SUM(EC10:EC56)</f>
        <v>62</v>
      </c>
      <c r="ED57" s="233">
        <f>SUM(ED10:ED56)</f>
        <v>8</v>
      </c>
      <c r="EE57" s="235">
        <f>ED57/EC57</f>
        <v>0.12903225806451613</v>
      </c>
      <c r="EF57" s="228"/>
      <c r="EG57" s="228">
        <f>SUM(EG10:EG56)</f>
        <v>59</v>
      </c>
      <c r="EH57" s="218"/>
      <c r="EI57" s="220">
        <f>SUM(EI10:EI56)</f>
        <v>291</v>
      </c>
      <c r="EJ57" s="220">
        <f>SUM(EJ10:EJ56)</f>
        <v>144</v>
      </c>
      <c r="EK57" s="222">
        <f>EJ57/EI57</f>
        <v>0.49484536082474229</v>
      </c>
      <c r="EL57" s="216"/>
      <c r="EM57" s="216">
        <f>SUM(EM10:EM56)</f>
        <v>156</v>
      </c>
      <c r="EN57" s="220"/>
      <c r="EO57" s="220">
        <f>SUM(EO10:EO56)</f>
        <v>3</v>
      </c>
      <c r="EP57" s="220">
        <f>SUM(EP10:EP56)</f>
        <v>3</v>
      </c>
      <c r="EQ57" s="222">
        <v>0</v>
      </c>
      <c r="ER57" s="224"/>
      <c r="ES57" s="216">
        <f>SUM(ES10:ES56)</f>
        <v>0</v>
      </c>
      <c r="ET57" s="218"/>
      <c r="EU57" s="220">
        <f>SUM(EU10:EU56)</f>
        <v>104</v>
      </c>
      <c r="EV57" s="220">
        <f>SUM(EV10:EV56)</f>
        <v>96</v>
      </c>
      <c r="EW57" s="222">
        <f>EV57/EU57</f>
        <v>0.92307692307692313</v>
      </c>
      <c r="EX57" s="216"/>
      <c r="EY57" s="216">
        <f>SUM(EY10:EY56)</f>
        <v>6</v>
      </c>
      <c r="EZ57" s="218"/>
      <c r="FA57" s="220">
        <f>SUM(FA10:FA56)</f>
        <v>198</v>
      </c>
      <c r="FB57" s="220">
        <f>SUM(FB10:FB56)</f>
        <v>145</v>
      </c>
      <c r="FC57" s="222">
        <f>FB57/FA57</f>
        <v>0.73232323232323238</v>
      </c>
      <c r="FD57" s="224"/>
      <c r="FE57" s="216">
        <f>SUM(FE10:FE56)</f>
        <v>58</v>
      </c>
      <c r="FF57" s="218"/>
      <c r="FG57" s="220">
        <f>SUM(FG10:FG56)</f>
        <v>2</v>
      </c>
      <c r="FH57" s="220">
        <f>SUM(FH10:FH56)</f>
        <v>2</v>
      </c>
      <c r="FI57" s="222">
        <f>FH57/FG57</f>
        <v>1</v>
      </c>
      <c r="FJ57" s="224"/>
      <c r="FK57" s="216">
        <f>SUM(FK10:FK56)</f>
        <v>0</v>
      </c>
      <c r="FL57" s="218"/>
      <c r="FM57" s="220">
        <f>SUM(FM10:FM56)</f>
        <v>3</v>
      </c>
      <c r="FN57" s="220">
        <f>SUM(FN10:FN56)</f>
        <v>3</v>
      </c>
      <c r="FO57" s="226">
        <f>FN57/FM57</f>
        <v>1</v>
      </c>
      <c r="FP57" s="224"/>
      <c r="FQ57" s="216">
        <f>SUM(FQ10:FQ56)</f>
        <v>0</v>
      </c>
      <c r="FR57" s="218"/>
      <c r="FS57" s="220">
        <f>SUM(FS5:FS56)</f>
        <v>204</v>
      </c>
      <c r="FT57" s="220">
        <f>SUM(FT10:FT56)</f>
        <v>147</v>
      </c>
      <c r="FU57" s="222">
        <f>FT57/FS57</f>
        <v>0.72058823529411764</v>
      </c>
      <c r="FV57" s="224"/>
      <c r="FW57" s="216">
        <f>SUM(FW10:FW56)</f>
        <v>53</v>
      </c>
      <c r="FX57" s="218"/>
      <c r="FY57" s="220">
        <f>SUM(FY10:FY56)</f>
        <v>10</v>
      </c>
      <c r="FZ57" s="220">
        <f>SUM(FZ10:FZ56)</f>
        <v>10</v>
      </c>
      <c r="GA57" s="222">
        <f>FZ57/FY57</f>
        <v>1</v>
      </c>
      <c r="GB57" s="224"/>
      <c r="GC57" s="216">
        <f>SUM(GC10:GC56)</f>
        <v>0</v>
      </c>
      <c r="GD57" s="218"/>
      <c r="GE57" s="185">
        <f>COUNTIF(GE10:GE56,"実施済")</f>
        <v>47</v>
      </c>
      <c r="GF57" s="185">
        <f>COUNTIF(GF10:GF56,"委託有")</f>
        <v>37</v>
      </c>
      <c r="GG57" s="216">
        <f>COUNTIF(GG10:GG56,"○")</f>
        <v>47</v>
      </c>
      <c r="GH57" s="216">
        <f>COUNTIF(GH10:GH56,"○")</f>
        <v>37</v>
      </c>
      <c r="GI57" s="216">
        <f>COUNTIF(GI10:GI56,"○")</f>
        <v>43</v>
      </c>
      <c r="GJ57" s="216">
        <f>COUNTIF(GJ10:GJ56,"○")</f>
        <v>37</v>
      </c>
      <c r="GK57" s="216"/>
      <c r="GL57" s="216">
        <f t="shared" ref="GL57:GS57" si="110">COUNTIF(GL10:GL56,"○")</f>
        <v>47</v>
      </c>
      <c r="GM57" s="216">
        <f t="shared" si="110"/>
        <v>46</v>
      </c>
      <c r="GN57" s="216">
        <f t="shared" si="110"/>
        <v>30</v>
      </c>
      <c r="GO57" s="216">
        <f t="shared" si="110"/>
        <v>18</v>
      </c>
      <c r="GP57" s="216">
        <f>COUNTIF(GP10:GP56,"○")</f>
        <v>25</v>
      </c>
      <c r="GQ57" s="216">
        <f>COUNTIF(GQ10:GQ56,"○")</f>
        <v>24</v>
      </c>
      <c r="GR57" s="186">
        <f t="shared" si="110"/>
        <v>29</v>
      </c>
      <c r="GS57" s="186">
        <f t="shared" si="110"/>
        <v>0</v>
      </c>
      <c r="GT57" s="183">
        <f>COUNTIF(GT10:GT56,"○")</f>
        <v>47</v>
      </c>
      <c r="GU57" s="183">
        <f>COUNTIF(GU10:GU56,"○")</f>
        <v>0</v>
      </c>
      <c r="GV57" s="183"/>
      <c r="GW57" s="187">
        <f>COUNTIF(GW10:GW56,"○")+COUNTIF(GW10:GW56,"○※")</f>
        <v>46</v>
      </c>
      <c r="GX57" s="187">
        <f>COUNTIF(GX10:GX56,"○")</f>
        <v>1</v>
      </c>
      <c r="GY57" s="183"/>
      <c r="GZ57" s="188">
        <f>COUNTIF(GZ10:GZ56,"○")</f>
        <v>36</v>
      </c>
      <c r="HA57" s="188"/>
      <c r="HB57" s="188"/>
      <c r="HC57" s="188"/>
      <c r="HD57" s="188"/>
      <c r="HE57" s="188"/>
      <c r="HF57" s="188"/>
      <c r="HG57" s="188">
        <f t="shared" ref="HG57:IF57" si="111">COUNTIF(HG10:HG56,"○")</f>
        <v>47</v>
      </c>
      <c r="HH57" s="188"/>
      <c r="HI57" s="188"/>
      <c r="HJ57" s="188"/>
      <c r="HK57" s="188"/>
      <c r="HL57" s="188"/>
      <c r="HM57" s="188"/>
      <c r="HN57" s="188">
        <f t="shared" si="111"/>
        <v>37</v>
      </c>
      <c r="HO57" s="188"/>
      <c r="HP57" s="188"/>
      <c r="HQ57" s="188"/>
      <c r="HR57" s="188"/>
      <c r="HS57" s="188"/>
      <c r="HT57" s="188"/>
      <c r="HU57" s="188">
        <f t="shared" si="111"/>
        <v>33</v>
      </c>
      <c r="HV57" s="188">
        <f t="shared" si="111"/>
        <v>1</v>
      </c>
      <c r="HW57" s="188"/>
      <c r="HX57" s="188"/>
      <c r="HY57" s="188"/>
      <c r="HZ57" s="188">
        <f t="shared" si="111"/>
        <v>42</v>
      </c>
      <c r="IA57" s="188">
        <f t="shared" si="111"/>
        <v>2</v>
      </c>
      <c r="IB57" s="188"/>
      <c r="IC57" s="188"/>
      <c r="ID57" s="188"/>
      <c r="IE57" s="188">
        <f t="shared" si="111"/>
        <v>27</v>
      </c>
      <c r="IF57" s="188">
        <f t="shared" si="111"/>
        <v>7</v>
      </c>
      <c r="IG57" s="188"/>
      <c r="IH57" s="188"/>
      <c r="II57" s="188"/>
      <c r="IJ57" s="144">
        <f t="shared" ref="IJ57" si="112">COUNTIF(IJ10:IJ56,"○")</f>
        <v>47</v>
      </c>
    </row>
    <row r="58" spans="1:244" s="49" customFormat="1" ht="32.549999999999997" customHeight="1">
      <c r="A58" s="248"/>
      <c r="B58" s="249"/>
      <c r="C58" s="230">
        <f>C57/(C57+D57)</f>
        <v>1</v>
      </c>
      <c r="D58" s="231"/>
      <c r="E58" s="232"/>
      <c r="F58" s="230">
        <f>F57/(F57+G57)</f>
        <v>1</v>
      </c>
      <c r="G58" s="231"/>
      <c r="H58" s="232"/>
      <c r="I58" s="230">
        <f>I57/(I57+J57)</f>
        <v>1</v>
      </c>
      <c r="J58" s="231"/>
      <c r="K58" s="232"/>
      <c r="L58" s="230">
        <f>L57/(L57+M57)</f>
        <v>0.9285714285714286</v>
      </c>
      <c r="M58" s="231"/>
      <c r="N58" s="232"/>
      <c r="O58" s="230">
        <f>O57/(O57+P57)</f>
        <v>0.91304347826086951</v>
      </c>
      <c r="P58" s="231"/>
      <c r="Q58" s="232"/>
      <c r="R58" s="230">
        <f>R57/(R57+S57)</f>
        <v>0.97826086956521741</v>
      </c>
      <c r="S58" s="231"/>
      <c r="T58" s="232"/>
      <c r="U58" s="230">
        <f>U57/(U57+V57)</f>
        <v>1</v>
      </c>
      <c r="V58" s="231"/>
      <c r="W58" s="232"/>
      <c r="X58" s="230">
        <f>AA57/(AA57+AD57)</f>
        <v>0.41860465116279072</v>
      </c>
      <c r="Y58" s="231"/>
      <c r="Z58" s="231"/>
      <c r="AA58" s="232"/>
      <c r="AB58" s="189"/>
      <c r="AC58" s="189"/>
      <c r="AD58" s="189"/>
      <c r="AE58" s="189"/>
      <c r="AF58" s="189"/>
      <c r="AG58" s="189"/>
      <c r="AH58" s="230">
        <f>AH57/(AH57+AI57)</f>
        <v>1</v>
      </c>
      <c r="AI58" s="231"/>
      <c r="AJ58" s="232"/>
      <c r="AK58" s="230">
        <f>AK57/(AK57+AL57)</f>
        <v>1</v>
      </c>
      <c r="AL58" s="231"/>
      <c r="AM58" s="232"/>
      <c r="AN58" s="230">
        <f>AN57/(AN57+AO57)</f>
        <v>1</v>
      </c>
      <c r="AO58" s="231"/>
      <c r="AP58" s="232"/>
      <c r="AQ58" s="230">
        <f>AQ57/(AQ57+AR57)</f>
        <v>1</v>
      </c>
      <c r="AR58" s="231"/>
      <c r="AS58" s="232"/>
      <c r="AT58" s="230">
        <f>AT57/(AT57+AU57)</f>
        <v>0.97872340425531912</v>
      </c>
      <c r="AU58" s="231"/>
      <c r="AV58" s="232"/>
      <c r="AW58" s="221"/>
      <c r="AX58" s="221"/>
      <c r="AY58" s="223"/>
      <c r="AZ58" s="217"/>
      <c r="BA58" s="217"/>
      <c r="BB58" s="221"/>
      <c r="BC58" s="221"/>
      <c r="BD58" s="221"/>
      <c r="BE58" s="223"/>
      <c r="BF58" s="217"/>
      <c r="BG58" s="217"/>
      <c r="BH58" s="221"/>
      <c r="BI58" s="221"/>
      <c r="BJ58" s="221"/>
      <c r="BK58" s="223"/>
      <c r="BL58" s="225"/>
      <c r="BM58" s="217"/>
      <c r="BN58" s="219"/>
      <c r="BO58" s="221"/>
      <c r="BP58" s="221"/>
      <c r="BQ58" s="223"/>
      <c r="BR58" s="217"/>
      <c r="BS58" s="217"/>
      <c r="BT58" s="219"/>
      <c r="BU58" s="234"/>
      <c r="BV58" s="234"/>
      <c r="BW58" s="236"/>
      <c r="BX58" s="229"/>
      <c r="BY58" s="229"/>
      <c r="BZ58" s="219"/>
      <c r="CA58" s="221"/>
      <c r="CB58" s="221"/>
      <c r="CC58" s="223"/>
      <c r="CD58" s="217"/>
      <c r="CE58" s="217"/>
      <c r="CF58" s="219"/>
      <c r="CG58" s="219"/>
      <c r="CH58" s="219"/>
      <c r="CI58" s="227"/>
      <c r="CJ58" s="225"/>
      <c r="CK58" s="217"/>
      <c r="CL58" s="238"/>
      <c r="CM58" s="219"/>
      <c r="CN58" s="219"/>
      <c r="CO58" s="227"/>
      <c r="CP58" s="225"/>
      <c r="CQ58" s="217"/>
      <c r="CR58" s="219"/>
      <c r="CS58" s="219"/>
      <c r="CT58" s="219"/>
      <c r="CU58" s="227"/>
      <c r="CV58" s="225"/>
      <c r="CW58" s="225"/>
      <c r="CX58" s="219"/>
      <c r="CY58" s="219"/>
      <c r="CZ58" s="219"/>
      <c r="DA58" s="227"/>
      <c r="DB58" s="225"/>
      <c r="DC58" s="217"/>
      <c r="DD58" s="219"/>
      <c r="DE58" s="221"/>
      <c r="DF58" s="221"/>
      <c r="DG58" s="223"/>
      <c r="DH58" s="217"/>
      <c r="DI58" s="217"/>
      <c r="DJ58" s="219"/>
      <c r="DK58" s="221"/>
      <c r="DL58" s="221"/>
      <c r="DM58" s="223"/>
      <c r="DN58" s="225"/>
      <c r="DO58" s="217"/>
      <c r="DP58" s="219"/>
      <c r="DQ58" s="221"/>
      <c r="DR58" s="221"/>
      <c r="DS58" s="223"/>
      <c r="DT58" s="217"/>
      <c r="DU58" s="217"/>
      <c r="DV58" s="219"/>
      <c r="DW58" s="219"/>
      <c r="DX58" s="219"/>
      <c r="DY58" s="227"/>
      <c r="DZ58" s="225"/>
      <c r="EA58" s="217"/>
      <c r="EB58" s="219"/>
      <c r="EC58" s="234"/>
      <c r="ED58" s="234"/>
      <c r="EE58" s="236"/>
      <c r="EF58" s="229"/>
      <c r="EG58" s="229"/>
      <c r="EH58" s="219"/>
      <c r="EI58" s="221"/>
      <c r="EJ58" s="221"/>
      <c r="EK58" s="223"/>
      <c r="EL58" s="217"/>
      <c r="EM58" s="217"/>
      <c r="EN58" s="221"/>
      <c r="EO58" s="221"/>
      <c r="EP58" s="221"/>
      <c r="EQ58" s="223"/>
      <c r="ER58" s="225"/>
      <c r="ES58" s="217"/>
      <c r="ET58" s="219"/>
      <c r="EU58" s="221"/>
      <c r="EV58" s="221"/>
      <c r="EW58" s="223"/>
      <c r="EX58" s="217"/>
      <c r="EY58" s="217"/>
      <c r="EZ58" s="219"/>
      <c r="FA58" s="221"/>
      <c r="FB58" s="221"/>
      <c r="FC58" s="223"/>
      <c r="FD58" s="225"/>
      <c r="FE58" s="217"/>
      <c r="FF58" s="219"/>
      <c r="FG58" s="221"/>
      <c r="FH58" s="221"/>
      <c r="FI58" s="223"/>
      <c r="FJ58" s="225"/>
      <c r="FK58" s="217"/>
      <c r="FL58" s="219"/>
      <c r="FM58" s="221"/>
      <c r="FN58" s="221"/>
      <c r="FO58" s="227"/>
      <c r="FP58" s="225"/>
      <c r="FQ58" s="217"/>
      <c r="FR58" s="219"/>
      <c r="FS58" s="221"/>
      <c r="FT58" s="221"/>
      <c r="FU58" s="223"/>
      <c r="FV58" s="225"/>
      <c r="FW58" s="217"/>
      <c r="FX58" s="219"/>
      <c r="FY58" s="221"/>
      <c r="FZ58" s="221"/>
      <c r="GA58" s="223"/>
      <c r="GB58" s="225"/>
      <c r="GC58" s="217"/>
      <c r="GD58" s="219"/>
      <c r="GE58" s="189">
        <f>GE57/47</f>
        <v>1</v>
      </c>
      <c r="GF58" s="189">
        <f>GF57/47</f>
        <v>0.78723404255319152</v>
      </c>
      <c r="GG58" s="217"/>
      <c r="GH58" s="217"/>
      <c r="GI58" s="217"/>
      <c r="GJ58" s="217"/>
      <c r="GK58" s="217"/>
      <c r="GL58" s="217"/>
      <c r="GM58" s="217"/>
      <c r="GN58" s="217"/>
      <c r="GO58" s="217"/>
      <c r="GP58" s="217"/>
      <c r="GQ58" s="217"/>
      <c r="GR58" s="190">
        <f>GR57/47</f>
        <v>0.61702127659574468</v>
      </c>
      <c r="GS58" s="190">
        <f>GS57/47</f>
        <v>0</v>
      </c>
      <c r="GT58" s="189">
        <f>GT57/47</f>
        <v>1</v>
      </c>
      <c r="GU58" s="189">
        <f>COUNTIF(GU10:GU10,"○")/47</f>
        <v>0</v>
      </c>
      <c r="GV58" s="189"/>
      <c r="GW58" s="189">
        <f>GW57/47</f>
        <v>0.97872340425531912</v>
      </c>
      <c r="GX58" s="189">
        <f>COUNTIF(GX10:GX10,"○")/47</f>
        <v>0</v>
      </c>
      <c r="GY58" s="189"/>
      <c r="GZ58" s="101"/>
      <c r="HA58" s="101"/>
      <c r="HB58" s="101"/>
      <c r="HC58" s="101"/>
      <c r="HD58" s="101"/>
      <c r="HE58" s="101"/>
      <c r="HF58" s="101"/>
      <c r="HG58" s="101"/>
      <c r="HH58" s="101"/>
      <c r="HI58" s="101"/>
      <c r="HJ58" s="101"/>
      <c r="HK58" s="101"/>
      <c r="HL58" s="101"/>
      <c r="HM58" s="101"/>
      <c r="HN58" s="101"/>
      <c r="HO58" s="101"/>
      <c r="HP58" s="101"/>
      <c r="HQ58" s="101"/>
      <c r="HR58" s="101"/>
      <c r="HS58" s="101"/>
      <c r="HT58" s="101"/>
      <c r="HU58" s="101"/>
      <c r="HV58" s="101"/>
      <c r="HW58" s="101"/>
      <c r="HX58" s="101"/>
      <c r="HY58" s="101"/>
      <c r="HZ58" s="101"/>
      <c r="IA58" s="101"/>
      <c r="IB58" s="101"/>
      <c r="IC58" s="101"/>
      <c r="ID58" s="101"/>
      <c r="IE58" s="101"/>
      <c r="IF58" s="101"/>
      <c r="IG58" s="101"/>
      <c r="IH58" s="101"/>
      <c r="II58" s="101"/>
    </row>
    <row r="59" spans="1:244" ht="32.549999999999997" customHeight="1">
      <c r="B59" s="50"/>
      <c r="C59" s="50"/>
      <c r="F59" s="50"/>
      <c r="I59" s="50"/>
      <c r="L59" s="50"/>
      <c r="O59" s="50"/>
      <c r="P59" s="49"/>
      <c r="R59" s="50"/>
      <c r="S59" s="49"/>
      <c r="U59" s="50"/>
      <c r="V59" s="49"/>
      <c r="X59" s="50"/>
      <c r="Y59" s="50"/>
      <c r="Z59" s="50"/>
      <c r="AA59" s="50"/>
      <c r="AB59" s="50"/>
      <c r="AC59" s="50"/>
      <c r="AD59" s="50"/>
      <c r="AE59" s="50"/>
      <c r="AH59" s="50"/>
      <c r="AI59" s="49"/>
      <c r="AK59" s="50"/>
      <c r="AL59" s="49"/>
      <c r="AN59" s="50"/>
      <c r="AO59" s="49"/>
      <c r="AP59" s="6"/>
      <c r="AQ59" s="50"/>
      <c r="AR59" s="49"/>
      <c r="AT59" s="50"/>
      <c r="AU59" s="49"/>
      <c r="AW59" s="50"/>
      <c r="AX59" s="50"/>
      <c r="AY59" s="71"/>
      <c r="BA59" s="50"/>
      <c r="BC59" s="50"/>
      <c r="BD59" s="50"/>
      <c r="BE59" s="71"/>
      <c r="BG59" s="50"/>
      <c r="BI59" s="50"/>
      <c r="BJ59" s="50"/>
      <c r="BK59" s="71"/>
      <c r="BM59" s="50"/>
      <c r="BO59" s="50"/>
      <c r="BP59" s="50"/>
      <c r="BQ59" s="49"/>
      <c r="BS59" s="50"/>
      <c r="BU59" s="50"/>
      <c r="BV59" s="50"/>
      <c r="BW59" s="71"/>
      <c r="BY59" s="50"/>
      <c r="CA59" s="50"/>
      <c r="CB59" s="50"/>
      <c r="CC59" s="72"/>
      <c r="CE59" s="50"/>
      <c r="CG59" s="50"/>
      <c r="CH59" s="50"/>
      <c r="CI59" s="71"/>
      <c r="CK59" s="50"/>
      <c r="CM59" s="50"/>
      <c r="CN59" s="50"/>
      <c r="CO59" s="71"/>
      <c r="CQ59" s="50"/>
      <c r="CS59" s="50"/>
      <c r="CT59" s="50"/>
      <c r="CU59" s="71"/>
      <c r="CW59" s="50"/>
      <c r="CY59" s="50"/>
      <c r="CZ59" s="50"/>
      <c r="DA59" s="71"/>
      <c r="DC59" s="50"/>
      <c r="DE59" s="50"/>
      <c r="DF59" s="50"/>
      <c r="DG59" s="71"/>
      <c r="DI59" s="50"/>
      <c r="DK59" s="50"/>
      <c r="DL59" s="50"/>
      <c r="DM59" s="71"/>
      <c r="DO59" s="50"/>
      <c r="DQ59" s="50"/>
      <c r="DR59" s="50"/>
      <c r="DS59" s="71"/>
      <c r="DU59" s="73"/>
      <c r="DW59" s="50"/>
      <c r="DX59" s="50"/>
      <c r="DY59" s="71"/>
      <c r="EA59" s="50"/>
      <c r="EC59" s="50"/>
      <c r="ED59" s="50"/>
      <c r="EE59" s="71"/>
      <c r="EG59" s="50"/>
      <c r="EI59" s="50"/>
      <c r="EJ59" s="50"/>
      <c r="EK59" s="71"/>
      <c r="EM59" s="50"/>
      <c r="EO59" s="50"/>
      <c r="EP59" s="50"/>
      <c r="EQ59" s="71"/>
      <c r="ES59" s="50"/>
      <c r="EU59" s="50"/>
      <c r="EV59" s="50"/>
      <c r="EW59" s="71"/>
      <c r="EY59" s="50"/>
      <c r="FA59" s="50"/>
      <c r="FB59" s="50"/>
      <c r="FC59" s="71"/>
      <c r="FE59" s="50"/>
      <c r="FG59" s="50"/>
      <c r="FH59" s="50"/>
      <c r="FI59" s="49"/>
      <c r="FK59" s="50"/>
      <c r="FM59" s="50"/>
      <c r="FN59" s="50"/>
      <c r="FO59" s="71"/>
      <c r="FQ59" s="50"/>
      <c r="FS59" s="50"/>
      <c r="FT59" s="50"/>
      <c r="FU59" s="71"/>
      <c r="FW59" s="50"/>
      <c r="FY59" s="50"/>
      <c r="FZ59" s="50"/>
      <c r="GA59" s="71"/>
      <c r="GC59" s="50"/>
      <c r="GG59" s="50"/>
      <c r="GH59" s="50"/>
      <c r="GI59" s="50"/>
      <c r="GJ59" s="50"/>
      <c r="GL59" s="50"/>
      <c r="GM59" s="50"/>
      <c r="GN59" s="50"/>
      <c r="GO59" s="50"/>
      <c r="GP59" s="50"/>
      <c r="GQ59" s="50"/>
      <c r="GR59" s="50"/>
      <c r="GS59" s="50"/>
      <c r="GT59" s="50"/>
      <c r="GU59" s="50"/>
      <c r="GW59" s="50"/>
      <c r="GX59" s="50"/>
    </row>
    <row r="60" spans="1:244">
      <c r="B60" s="50"/>
      <c r="C60" s="50"/>
      <c r="F60" s="50"/>
      <c r="I60" s="50"/>
      <c r="L60" s="50"/>
      <c r="O60" s="50"/>
      <c r="P60" s="49"/>
      <c r="R60" s="50"/>
      <c r="S60" s="49"/>
      <c r="U60" s="50"/>
      <c r="V60" s="49"/>
      <c r="X60" s="50"/>
      <c r="Y60" s="50"/>
      <c r="Z60" s="50"/>
      <c r="AA60" s="50"/>
      <c r="AB60" s="50"/>
      <c r="AC60" s="50"/>
      <c r="AD60" s="50"/>
      <c r="AE60" s="50"/>
      <c r="AH60" s="50"/>
      <c r="AI60" s="49"/>
      <c r="AK60" s="50"/>
      <c r="AL60" s="49"/>
      <c r="AN60" s="50"/>
      <c r="AO60" s="49"/>
      <c r="AQ60" s="50"/>
      <c r="AR60" s="49"/>
      <c r="AT60" s="50"/>
      <c r="AU60" s="49"/>
      <c r="AW60" s="50"/>
      <c r="AX60" s="50"/>
      <c r="AY60" s="71"/>
      <c r="BA60" s="50"/>
      <c r="BC60" s="50"/>
      <c r="BD60" s="50"/>
      <c r="BE60" s="71"/>
      <c r="BG60" s="50"/>
      <c r="BI60" s="50"/>
      <c r="BJ60" s="50"/>
      <c r="BK60" s="71"/>
      <c r="BM60" s="50"/>
      <c r="BO60" s="50"/>
      <c r="BP60" s="50"/>
      <c r="BQ60" s="49"/>
      <c r="BS60" s="50"/>
      <c r="BU60" s="50"/>
      <c r="BV60" s="50"/>
      <c r="BW60" s="71"/>
      <c r="BY60" s="50"/>
      <c r="CA60" s="50"/>
      <c r="CB60" s="50"/>
      <c r="CC60" s="72"/>
      <c r="CE60" s="50"/>
      <c r="CG60" s="50"/>
      <c r="CH60" s="50"/>
      <c r="CI60" s="71"/>
      <c r="CK60" s="50"/>
      <c r="CM60" s="50"/>
      <c r="CN60" s="50"/>
      <c r="CO60" s="71"/>
      <c r="CQ60" s="50"/>
      <c r="CS60" s="50"/>
      <c r="CT60" s="50"/>
      <c r="CU60" s="71"/>
      <c r="CW60" s="50"/>
      <c r="CY60" s="50"/>
      <c r="CZ60" s="50"/>
      <c r="DA60" s="71"/>
      <c r="DC60" s="50"/>
      <c r="DE60" s="50"/>
      <c r="DF60" s="50"/>
      <c r="DG60" s="71"/>
      <c r="DI60" s="50"/>
      <c r="DK60" s="50"/>
      <c r="DL60" s="50"/>
      <c r="DM60" s="71"/>
      <c r="DO60" s="50"/>
      <c r="DQ60" s="50"/>
      <c r="DR60" s="50"/>
      <c r="DS60" s="71"/>
      <c r="DU60" s="73"/>
      <c r="DW60" s="50"/>
      <c r="DX60" s="50"/>
      <c r="DY60" s="71"/>
      <c r="EA60" s="50"/>
      <c r="EC60" s="50"/>
      <c r="ED60" s="50"/>
      <c r="EE60" s="71"/>
      <c r="EG60" s="50"/>
      <c r="EI60" s="50"/>
      <c r="EJ60" s="50"/>
      <c r="EK60" s="71"/>
      <c r="EM60" s="50"/>
      <c r="EO60" s="50"/>
      <c r="EP60" s="50"/>
      <c r="EQ60" s="71"/>
      <c r="ES60" s="50"/>
      <c r="EU60" s="50"/>
      <c r="EV60" s="50"/>
      <c r="EW60" s="71"/>
      <c r="EY60" s="50"/>
      <c r="FA60" s="50"/>
      <c r="FB60" s="50"/>
      <c r="FC60" s="71"/>
      <c r="FE60" s="50"/>
      <c r="FG60" s="50"/>
      <c r="FH60" s="50"/>
      <c r="FI60" s="49"/>
      <c r="FK60" s="50"/>
      <c r="FM60" s="50"/>
      <c r="FN60" s="50"/>
      <c r="FO60" s="71"/>
      <c r="FQ60" s="50"/>
      <c r="FS60" s="50"/>
      <c r="FT60" s="50"/>
      <c r="FU60" s="71"/>
      <c r="FW60" s="50"/>
      <c r="FY60" s="50"/>
      <c r="FZ60" s="50"/>
      <c r="GA60" s="71"/>
      <c r="GC60" s="50"/>
      <c r="GG60" s="50"/>
      <c r="GH60" s="50"/>
      <c r="GI60" s="50"/>
      <c r="GJ60" s="50"/>
      <c r="GL60" s="50"/>
      <c r="GM60" s="50"/>
      <c r="GN60" s="50"/>
      <c r="GO60" s="50"/>
      <c r="GP60" s="50"/>
      <c r="GQ60" s="50"/>
      <c r="GR60" s="50"/>
      <c r="GS60" s="50"/>
      <c r="GT60" s="50"/>
      <c r="GU60" s="50"/>
      <c r="GW60" s="50"/>
      <c r="GX60" s="50"/>
    </row>
    <row r="61" spans="1:244" s="74" customFormat="1">
      <c r="A61" s="74">
        <v>1</v>
      </c>
      <c r="B61" s="74">
        <v>2</v>
      </c>
      <c r="C61" s="74">
        <v>3</v>
      </c>
      <c r="D61" s="74">
        <v>4</v>
      </c>
      <c r="E61" s="74">
        <v>5</v>
      </c>
      <c r="F61" s="74">
        <v>6</v>
      </c>
      <c r="G61" s="74">
        <v>7</v>
      </c>
      <c r="H61" s="74">
        <v>8</v>
      </c>
      <c r="I61" s="74">
        <v>9</v>
      </c>
      <c r="J61" s="74">
        <v>10</v>
      </c>
      <c r="K61" s="74">
        <v>11</v>
      </c>
      <c r="L61" s="74">
        <v>12</v>
      </c>
      <c r="M61" s="74">
        <v>13</v>
      </c>
      <c r="N61" s="74">
        <v>14</v>
      </c>
      <c r="O61" s="74">
        <v>15</v>
      </c>
      <c r="P61" s="74">
        <v>16</v>
      </c>
      <c r="Q61" s="74">
        <v>17</v>
      </c>
      <c r="R61" s="74">
        <v>18</v>
      </c>
      <c r="S61" s="74">
        <v>19</v>
      </c>
      <c r="T61" s="74">
        <v>20</v>
      </c>
      <c r="U61" s="74">
        <v>21</v>
      </c>
      <c r="V61" s="74">
        <v>22</v>
      </c>
      <c r="W61" s="74">
        <v>23</v>
      </c>
      <c r="X61" s="74">
        <v>24</v>
      </c>
      <c r="Y61" s="74">
        <v>25</v>
      </c>
      <c r="Z61" s="74">
        <v>26</v>
      </c>
      <c r="AA61" s="74">
        <v>27</v>
      </c>
      <c r="AB61" s="74">
        <v>28</v>
      </c>
      <c r="AC61" s="74">
        <v>29</v>
      </c>
      <c r="AD61" s="74">
        <v>30</v>
      </c>
      <c r="AE61" s="74">
        <v>31</v>
      </c>
      <c r="AF61" s="74">
        <v>32</v>
      </c>
      <c r="AG61" s="74">
        <v>33</v>
      </c>
      <c r="AH61" s="74">
        <v>34</v>
      </c>
      <c r="AI61" s="74">
        <v>35</v>
      </c>
      <c r="AJ61" s="74">
        <v>36</v>
      </c>
      <c r="AK61" s="74">
        <v>37</v>
      </c>
      <c r="AL61" s="74">
        <v>38</v>
      </c>
      <c r="AM61" s="74">
        <v>39</v>
      </c>
      <c r="AN61" s="74">
        <v>40</v>
      </c>
      <c r="AO61" s="74">
        <v>41</v>
      </c>
      <c r="AP61" s="74">
        <v>42</v>
      </c>
      <c r="AQ61" s="74">
        <v>43</v>
      </c>
      <c r="AR61" s="74">
        <v>44</v>
      </c>
      <c r="AS61" s="74">
        <v>45</v>
      </c>
      <c r="AT61" s="74">
        <v>46</v>
      </c>
      <c r="AU61" s="74">
        <v>47</v>
      </c>
      <c r="AV61" s="74">
        <v>48</v>
      </c>
      <c r="AW61" s="74">
        <v>49</v>
      </c>
      <c r="AX61" s="74">
        <v>50</v>
      </c>
      <c r="AY61" s="74">
        <v>51</v>
      </c>
      <c r="AZ61" s="74">
        <v>52</v>
      </c>
      <c r="BA61" s="74">
        <v>53</v>
      </c>
      <c r="BB61" s="74">
        <v>54</v>
      </c>
      <c r="BC61" s="74">
        <v>55</v>
      </c>
      <c r="BD61" s="74">
        <v>56</v>
      </c>
      <c r="BE61" s="74">
        <v>57</v>
      </c>
      <c r="BF61" s="74">
        <v>58</v>
      </c>
      <c r="BG61" s="74">
        <v>59</v>
      </c>
      <c r="BH61" s="74">
        <v>60</v>
      </c>
      <c r="BI61" s="74">
        <v>61</v>
      </c>
      <c r="BJ61" s="74">
        <v>62</v>
      </c>
      <c r="BK61" s="74">
        <v>63</v>
      </c>
      <c r="BL61" s="74">
        <v>64</v>
      </c>
      <c r="BM61" s="74">
        <v>65</v>
      </c>
      <c r="BN61" s="74">
        <v>66</v>
      </c>
      <c r="BO61" s="74">
        <v>67</v>
      </c>
      <c r="BP61" s="74">
        <v>68</v>
      </c>
      <c r="BQ61" s="74">
        <v>69</v>
      </c>
      <c r="BR61" s="74">
        <v>70</v>
      </c>
      <c r="BS61" s="74">
        <v>71</v>
      </c>
      <c r="BT61" s="74">
        <v>72</v>
      </c>
      <c r="BU61" s="74">
        <v>73</v>
      </c>
      <c r="BV61" s="74">
        <v>74</v>
      </c>
      <c r="BW61" s="74">
        <v>75</v>
      </c>
      <c r="BX61" s="74">
        <v>76</v>
      </c>
      <c r="BY61" s="74">
        <v>77</v>
      </c>
      <c r="BZ61" s="74">
        <v>78</v>
      </c>
      <c r="CA61" s="74">
        <v>79</v>
      </c>
      <c r="CB61" s="74">
        <v>80</v>
      </c>
      <c r="CC61" s="74">
        <v>81</v>
      </c>
      <c r="CD61" s="74">
        <v>82</v>
      </c>
      <c r="CE61" s="74">
        <v>83</v>
      </c>
      <c r="CF61" s="74">
        <v>84</v>
      </c>
      <c r="CG61" s="74">
        <v>85</v>
      </c>
      <c r="CH61" s="74">
        <v>86</v>
      </c>
      <c r="CI61" s="74">
        <v>87</v>
      </c>
      <c r="CJ61" s="74">
        <v>88</v>
      </c>
      <c r="CK61" s="74">
        <v>89</v>
      </c>
      <c r="CL61" s="74">
        <v>90</v>
      </c>
      <c r="CM61" s="74">
        <v>91</v>
      </c>
      <c r="CN61" s="74">
        <v>92</v>
      </c>
      <c r="CO61" s="74">
        <v>93</v>
      </c>
      <c r="CP61" s="74">
        <v>94</v>
      </c>
      <c r="CQ61" s="74">
        <v>95</v>
      </c>
      <c r="CR61" s="74">
        <v>96</v>
      </c>
      <c r="CS61" s="74">
        <v>97</v>
      </c>
      <c r="CT61" s="74">
        <v>98</v>
      </c>
      <c r="CU61" s="74">
        <v>99</v>
      </c>
      <c r="CV61" s="74">
        <v>100</v>
      </c>
      <c r="CW61" s="74">
        <v>101</v>
      </c>
      <c r="CX61" s="74">
        <v>102</v>
      </c>
      <c r="CY61" s="74">
        <v>103</v>
      </c>
      <c r="CZ61" s="74">
        <v>104</v>
      </c>
      <c r="DA61" s="74">
        <v>105</v>
      </c>
      <c r="DB61" s="74">
        <v>106</v>
      </c>
      <c r="DC61" s="74">
        <v>107</v>
      </c>
      <c r="DD61" s="74">
        <v>108</v>
      </c>
      <c r="DE61" s="74">
        <v>109</v>
      </c>
      <c r="DF61" s="74">
        <v>110</v>
      </c>
      <c r="DG61" s="74">
        <v>111</v>
      </c>
      <c r="DH61" s="74">
        <v>112</v>
      </c>
      <c r="DI61" s="74">
        <v>113</v>
      </c>
      <c r="DJ61" s="74">
        <v>114</v>
      </c>
      <c r="DK61" s="74">
        <v>115</v>
      </c>
      <c r="DL61" s="74">
        <v>116</v>
      </c>
      <c r="DM61" s="74">
        <v>117</v>
      </c>
      <c r="DN61" s="74">
        <v>118</v>
      </c>
      <c r="DO61" s="74">
        <v>119</v>
      </c>
      <c r="DP61" s="74">
        <v>120</v>
      </c>
      <c r="DQ61" s="74">
        <v>121</v>
      </c>
      <c r="DR61" s="74">
        <v>122</v>
      </c>
      <c r="DS61" s="74">
        <v>123</v>
      </c>
      <c r="DT61" s="74">
        <v>124</v>
      </c>
      <c r="DU61" s="75">
        <v>125</v>
      </c>
      <c r="DV61" s="74">
        <v>126</v>
      </c>
      <c r="DW61" s="74">
        <v>127</v>
      </c>
      <c r="DX61" s="74">
        <v>128</v>
      </c>
      <c r="DY61" s="74">
        <v>129</v>
      </c>
      <c r="DZ61" s="74">
        <v>130</v>
      </c>
      <c r="EA61" s="74">
        <v>131</v>
      </c>
      <c r="EB61" s="74">
        <v>132</v>
      </c>
      <c r="EC61" s="74">
        <v>133</v>
      </c>
      <c r="ED61" s="74">
        <v>134</v>
      </c>
      <c r="EE61" s="74">
        <v>135</v>
      </c>
      <c r="EF61" s="74">
        <v>136</v>
      </c>
      <c r="EG61" s="74">
        <v>137</v>
      </c>
      <c r="EH61" s="74">
        <v>138</v>
      </c>
      <c r="EI61" s="74">
        <v>139</v>
      </c>
      <c r="EJ61" s="74">
        <v>140</v>
      </c>
      <c r="EK61" s="74">
        <v>141</v>
      </c>
      <c r="EL61" s="74">
        <v>142</v>
      </c>
      <c r="EM61" s="74">
        <v>143</v>
      </c>
      <c r="EN61" s="74">
        <v>144</v>
      </c>
      <c r="EO61" s="74">
        <v>145</v>
      </c>
      <c r="EP61" s="74">
        <v>146</v>
      </c>
      <c r="EQ61" s="74">
        <v>147</v>
      </c>
      <c r="ER61" s="74">
        <v>148</v>
      </c>
      <c r="ES61" s="74">
        <v>149</v>
      </c>
      <c r="ET61" s="74">
        <v>150</v>
      </c>
      <c r="EU61" s="74">
        <v>151</v>
      </c>
      <c r="EV61" s="74">
        <v>152</v>
      </c>
      <c r="EW61" s="74">
        <v>153</v>
      </c>
      <c r="EX61" s="74">
        <v>154</v>
      </c>
      <c r="EY61" s="74">
        <v>155</v>
      </c>
      <c r="EZ61" s="74">
        <v>156</v>
      </c>
      <c r="FA61" s="74">
        <v>157</v>
      </c>
      <c r="FB61" s="74">
        <v>158</v>
      </c>
      <c r="FC61" s="74">
        <v>159</v>
      </c>
      <c r="FD61" s="74">
        <v>160</v>
      </c>
      <c r="FE61" s="74">
        <v>161</v>
      </c>
      <c r="FF61" s="74">
        <v>162</v>
      </c>
      <c r="FG61" s="74">
        <v>163</v>
      </c>
      <c r="FH61" s="74">
        <v>164</v>
      </c>
      <c r="FI61" s="74">
        <v>165</v>
      </c>
      <c r="FJ61" s="74">
        <v>166</v>
      </c>
      <c r="FK61" s="74">
        <v>167</v>
      </c>
      <c r="FL61" s="74">
        <v>168</v>
      </c>
      <c r="FM61" s="74">
        <v>169</v>
      </c>
      <c r="FN61" s="74">
        <v>170</v>
      </c>
      <c r="FO61" s="74">
        <v>171</v>
      </c>
      <c r="FP61" s="74">
        <v>172</v>
      </c>
      <c r="FQ61" s="74">
        <v>173</v>
      </c>
      <c r="FR61" s="74">
        <v>174</v>
      </c>
      <c r="FS61" s="74">
        <v>175</v>
      </c>
      <c r="FT61" s="74">
        <v>176</v>
      </c>
      <c r="FU61" s="74">
        <v>177</v>
      </c>
      <c r="FV61" s="74">
        <v>178</v>
      </c>
      <c r="FW61" s="74">
        <v>179</v>
      </c>
      <c r="FX61" s="74">
        <v>180</v>
      </c>
      <c r="FY61" s="74">
        <v>181</v>
      </c>
      <c r="FZ61" s="74">
        <v>182</v>
      </c>
      <c r="GA61" s="74">
        <v>183</v>
      </c>
      <c r="GB61" s="74">
        <v>184</v>
      </c>
      <c r="GC61" s="74">
        <v>185</v>
      </c>
      <c r="GD61" s="74">
        <v>186</v>
      </c>
      <c r="GE61" s="74">
        <v>187</v>
      </c>
      <c r="GF61" s="74">
        <v>188</v>
      </c>
      <c r="GG61" s="74">
        <v>189</v>
      </c>
      <c r="GH61" s="74">
        <v>190</v>
      </c>
      <c r="GI61" s="74">
        <v>191</v>
      </c>
      <c r="GJ61" s="74">
        <v>192</v>
      </c>
      <c r="GK61" s="74">
        <v>193</v>
      </c>
      <c r="GL61" s="74">
        <v>194</v>
      </c>
      <c r="GM61" s="74">
        <v>195</v>
      </c>
      <c r="GN61" s="74">
        <v>196</v>
      </c>
      <c r="GO61" s="74">
        <v>197</v>
      </c>
      <c r="GP61" s="74">
        <v>198</v>
      </c>
      <c r="GQ61" s="74">
        <v>199</v>
      </c>
      <c r="GR61" s="74">
        <v>200</v>
      </c>
      <c r="GS61" s="74">
        <v>201</v>
      </c>
      <c r="GT61" s="74">
        <v>217</v>
      </c>
      <c r="GU61" s="74">
        <v>218</v>
      </c>
      <c r="GV61" s="74">
        <v>219</v>
      </c>
      <c r="GW61" s="74">
        <v>220</v>
      </c>
      <c r="GX61" s="74">
        <v>221</v>
      </c>
      <c r="GY61" s="74">
        <v>222</v>
      </c>
    </row>
    <row r="70" spans="128:129">
      <c r="DY70" s="48"/>
    </row>
    <row r="73" spans="128:129">
      <c r="DX73" s="6"/>
      <c r="DY73" s="48"/>
    </row>
  </sheetData>
  <autoFilter ref="A9:IJ58" xr:uid="{1B926BD2-8F3E-4ABC-B17F-D69D4F384447}"/>
  <dataConsolidate link="1"/>
  <mergeCells count="422">
    <mergeCell ref="HF7:HF8"/>
    <mergeCell ref="HM7:HM8"/>
    <mergeCell ref="HT7:HT8"/>
    <mergeCell ref="HY7:HY8"/>
    <mergeCell ref="ID7:ID8"/>
    <mergeCell ref="II7:II8"/>
    <mergeCell ref="GZ2:II2"/>
    <mergeCell ref="GZ3:HT4"/>
    <mergeCell ref="HU3:II4"/>
    <mergeCell ref="GZ5:HF6"/>
    <mergeCell ref="HG5:HM6"/>
    <mergeCell ref="HN5:HT6"/>
    <mergeCell ref="HU5:HY6"/>
    <mergeCell ref="HZ5:ID6"/>
    <mergeCell ref="IE5:II6"/>
    <mergeCell ref="GW3:GY6"/>
    <mergeCell ref="X58:AA58"/>
    <mergeCell ref="GG3:GK5"/>
    <mergeCell ref="A2:A8"/>
    <mergeCell ref="B2:B8"/>
    <mergeCell ref="C2:AV2"/>
    <mergeCell ref="AW2:GD2"/>
    <mergeCell ref="R3:T4"/>
    <mergeCell ref="U3:W4"/>
    <mergeCell ref="BI3:BN4"/>
    <mergeCell ref="BO3:BT4"/>
    <mergeCell ref="BU3:BZ4"/>
    <mergeCell ref="C3:E4"/>
    <mergeCell ref="F3:H4"/>
    <mergeCell ref="I3:K4"/>
    <mergeCell ref="L3:N4"/>
    <mergeCell ref="O3:Q4"/>
    <mergeCell ref="AH3:AJ4"/>
    <mergeCell ref="AK3:AM4"/>
    <mergeCell ref="AN3:AP4"/>
    <mergeCell ref="GK6:GK8"/>
    <mergeCell ref="AQ3:AS4"/>
    <mergeCell ref="GE2:GQ2"/>
    <mergeCell ref="C5:C7"/>
    <mergeCell ref="D5:D8"/>
    <mergeCell ref="E5:E8"/>
    <mergeCell ref="F5:F7"/>
    <mergeCell ref="G5:G8"/>
    <mergeCell ref="GT2:GV2"/>
    <mergeCell ref="GW2:GY2"/>
    <mergeCell ref="GR2:GS2"/>
    <mergeCell ref="GR3:GS6"/>
    <mergeCell ref="H5:H8"/>
    <mergeCell ref="I5:I7"/>
    <mergeCell ref="J5:J8"/>
    <mergeCell ref="K5:K8"/>
    <mergeCell ref="L5:L7"/>
    <mergeCell ref="M5:M8"/>
    <mergeCell ref="GE3:GE8"/>
    <mergeCell ref="EU3:EZ4"/>
    <mergeCell ref="FA3:FF4"/>
    <mergeCell ref="FG3:FL4"/>
    <mergeCell ref="FM3:FR4"/>
    <mergeCell ref="GL6:GL8"/>
    <mergeCell ref="GR7:GR8"/>
    <mergeCell ref="GT3:GV6"/>
    <mergeCell ref="FS3:FX4"/>
    <mergeCell ref="FY3:GD4"/>
    <mergeCell ref="FC5:FC8"/>
    <mergeCell ref="FD5:FD8"/>
    <mergeCell ref="FE5:FE8"/>
    <mergeCell ref="CA3:CF4"/>
    <mergeCell ref="CG3:CL4"/>
    <mergeCell ref="CM3:CR4"/>
    <mergeCell ref="CS3:CX4"/>
    <mergeCell ref="CY3:DD4"/>
    <mergeCell ref="DE3:DJ4"/>
    <mergeCell ref="DK3:DP4"/>
    <mergeCell ref="DQ3:DV4"/>
    <mergeCell ref="DW3:EB4"/>
    <mergeCell ref="EC3:EH4"/>
    <mergeCell ref="EI3:EN4"/>
    <mergeCell ref="EO3:ET4"/>
    <mergeCell ref="CX5:CX8"/>
    <mergeCell ref="CY5:CY8"/>
    <mergeCell ref="CZ5:CZ8"/>
    <mergeCell ref="CC5:CC8"/>
    <mergeCell ref="CD5:CD8"/>
    <mergeCell ref="CE5:CE8"/>
    <mergeCell ref="CF5:CF8"/>
    <mergeCell ref="CG5:CG8"/>
    <mergeCell ref="CH5:CH8"/>
    <mergeCell ref="GF3:GF8"/>
    <mergeCell ref="GL3:GO5"/>
    <mergeCell ref="GP3:GP8"/>
    <mergeCell ref="GQ3:GQ8"/>
    <mergeCell ref="GI6:GI8"/>
    <mergeCell ref="GJ6:GJ8"/>
    <mergeCell ref="AT3:AV4"/>
    <mergeCell ref="AW3:BB4"/>
    <mergeCell ref="BC3:BH4"/>
    <mergeCell ref="BZ5:BZ8"/>
    <mergeCell ref="CA5:CA8"/>
    <mergeCell ref="CB5:CB8"/>
    <mergeCell ref="BE5:BE8"/>
    <mergeCell ref="BF5:BF8"/>
    <mergeCell ref="BG5:BG8"/>
    <mergeCell ref="BH5:BH8"/>
    <mergeCell ref="BI5:BI8"/>
    <mergeCell ref="BJ5:BJ8"/>
    <mergeCell ref="BK5:BK8"/>
    <mergeCell ref="BL5:BL8"/>
    <mergeCell ref="BM5:BM8"/>
    <mergeCell ref="BN5:BN8"/>
    <mergeCell ref="BO5:BO8"/>
    <mergeCell ref="BP5:BP8"/>
    <mergeCell ref="T5:T8"/>
    <mergeCell ref="U5:U7"/>
    <mergeCell ref="V5:V8"/>
    <mergeCell ref="W5:W8"/>
    <mergeCell ref="AN5:AN7"/>
    <mergeCell ref="AJ5:AJ8"/>
    <mergeCell ref="AH5:AH7"/>
    <mergeCell ref="AI5:AI8"/>
    <mergeCell ref="AK5:AK7"/>
    <mergeCell ref="R5:R7"/>
    <mergeCell ref="S5:S8"/>
    <mergeCell ref="N5:N8"/>
    <mergeCell ref="O5:O7"/>
    <mergeCell ref="P5:P8"/>
    <mergeCell ref="Q5:Q8"/>
    <mergeCell ref="BD5:BD8"/>
    <mergeCell ref="AS5:AS8"/>
    <mergeCell ref="AT5:AT7"/>
    <mergeCell ref="AU5:AU8"/>
    <mergeCell ref="AV5:AV8"/>
    <mergeCell ref="AW5:AW8"/>
    <mergeCell ref="AX5:AX8"/>
    <mergeCell ref="AL5:AL8"/>
    <mergeCell ref="AY5:AY8"/>
    <mergeCell ref="AZ5:AZ8"/>
    <mergeCell ref="BA5:BA8"/>
    <mergeCell ref="BB5:BB8"/>
    <mergeCell ref="BC5:BC8"/>
    <mergeCell ref="AO5:AO8"/>
    <mergeCell ref="AP5:AP8"/>
    <mergeCell ref="AQ5:AQ7"/>
    <mergeCell ref="AR5:AR8"/>
    <mergeCell ref="AM5:AM8"/>
    <mergeCell ref="BQ5:BQ8"/>
    <mergeCell ref="BR5:BR8"/>
    <mergeCell ref="BS5:BS8"/>
    <mergeCell ref="BT5:BT8"/>
    <mergeCell ref="BU5:BU8"/>
    <mergeCell ref="BV5:BV8"/>
    <mergeCell ref="BW5:BW8"/>
    <mergeCell ref="BX5:BX8"/>
    <mergeCell ref="BY5:BY8"/>
    <mergeCell ref="CI5:CI8"/>
    <mergeCell ref="CJ5:CJ8"/>
    <mergeCell ref="CK5:CK8"/>
    <mergeCell ref="CL5:CL8"/>
    <mergeCell ref="CM5:CM8"/>
    <mergeCell ref="CN5:CN8"/>
    <mergeCell ref="CO5:CO8"/>
    <mergeCell ref="CP5:CP8"/>
    <mergeCell ref="CQ5:CQ8"/>
    <mergeCell ref="CR5:CR8"/>
    <mergeCell ref="CS5:CS8"/>
    <mergeCell ref="CT5:CT8"/>
    <mergeCell ref="CU5:CU8"/>
    <mergeCell ref="CV5:CV8"/>
    <mergeCell ref="CW5:CW8"/>
    <mergeCell ref="DM5:DM8"/>
    <mergeCell ref="DN5:DN8"/>
    <mergeCell ref="DO5:DO8"/>
    <mergeCell ref="DP5:DP8"/>
    <mergeCell ref="DQ5:DQ8"/>
    <mergeCell ref="DA5:DA8"/>
    <mergeCell ref="DB5:DB8"/>
    <mergeCell ref="DC5:DC8"/>
    <mergeCell ref="DD5:DD8"/>
    <mergeCell ref="DE5:DE8"/>
    <mergeCell ref="DF5:DF8"/>
    <mergeCell ref="DG5:DG8"/>
    <mergeCell ref="DH5:DH8"/>
    <mergeCell ref="DI5:DI8"/>
    <mergeCell ref="DJ5:DJ8"/>
    <mergeCell ref="DK5:DK8"/>
    <mergeCell ref="DL5:DL8"/>
    <mergeCell ref="DR5:DR8"/>
    <mergeCell ref="EE5:EE8"/>
    <mergeCell ref="EF5:EF8"/>
    <mergeCell ref="EG5:EG8"/>
    <mergeCell ref="EH5:EH8"/>
    <mergeCell ref="EI5:EI8"/>
    <mergeCell ref="DT5:DT8"/>
    <mergeCell ref="DU5:DU8"/>
    <mergeCell ref="DV5:DV8"/>
    <mergeCell ref="DW5:DW8"/>
    <mergeCell ref="DX5:DX8"/>
    <mergeCell ref="DS5:DS8"/>
    <mergeCell ref="ET5:ET8"/>
    <mergeCell ref="EU5:EU8"/>
    <mergeCell ref="EV5:EV8"/>
    <mergeCell ref="EJ5:EJ8"/>
    <mergeCell ref="DY5:DY8"/>
    <mergeCell ref="DZ5:DZ8"/>
    <mergeCell ref="EA5:EA8"/>
    <mergeCell ref="EB5:EB8"/>
    <mergeCell ref="EC5:EC8"/>
    <mergeCell ref="ED5:ED8"/>
    <mergeCell ref="EK5:EK8"/>
    <mergeCell ref="EL5:EL8"/>
    <mergeCell ref="EM5:EM8"/>
    <mergeCell ref="EN5:EN8"/>
    <mergeCell ref="EO5:EO8"/>
    <mergeCell ref="EP5:EP8"/>
    <mergeCell ref="EQ5:EQ8"/>
    <mergeCell ref="ER5:ER8"/>
    <mergeCell ref="ES5:ES8"/>
    <mergeCell ref="GD5:GD8"/>
    <mergeCell ref="GG6:GG8"/>
    <mergeCell ref="GH6:GH8"/>
    <mergeCell ref="GM6:GM8"/>
    <mergeCell ref="GN6:GN8"/>
    <mergeCell ref="GO6:GO8"/>
    <mergeCell ref="GU7:GV7"/>
    <mergeCell ref="GX7:GY7"/>
    <mergeCell ref="A57:B58"/>
    <mergeCell ref="AW57:AW58"/>
    <mergeCell ref="AX57:AX58"/>
    <mergeCell ref="AY57:AY58"/>
    <mergeCell ref="AZ57:AZ58"/>
    <mergeCell ref="FQ5:FQ8"/>
    <mergeCell ref="FR5:FR8"/>
    <mergeCell ref="FS5:FS8"/>
    <mergeCell ref="FT5:FT8"/>
    <mergeCell ref="FI5:FI8"/>
    <mergeCell ref="FJ5:FJ8"/>
    <mergeCell ref="FK5:FK8"/>
    <mergeCell ref="FL5:FL8"/>
    <mergeCell ref="FM5:FM8"/>
    <mergeCell ref="FN5:FN8"/>
    <mergeCell ref="FF5:FF8"/>
    <mergeCell ref="FU5:FU8"/>
    <mergeCell ref="FV5:FV8"/>
    <mergeCell ref="FW5:FW8"/>
    <mergeCell ref="FX5:FX8"/>
    <mergeCell ref="FY5:FY8"/>
    <mergeCell ref="FZ5:FZ8"/>
    <mergeCell ref="GA5:GA8"/>
    <mergeCell ref="GB5:GB8"/>
    <mergeCell ref="GC5:GC8"/>
    <mergeCell ref="BA57:BA58"/>
    <mergeCell ref="BB57:BB58"/>
    <mergeCell ref="BC57:BC58"/>
    <mergeCell ref="BD57:BD58"/>
    <mergeCell ref="BE57:BE58"/>
    <mergeCell ref="BF57:BF58"/>
    <mergeCell ref="FO5:FO8"/>
    <mergeCell ref="FP5:FP8"/>
    <mergeCell ref="BG57:BG58"/>
    <mergeCell ref="BH57:BH58"/>
    <mergeCell ref="BI57:BI58"/>
    <mergeCell ref="BJ57:BJ58"/>
    <mergeCell ref="BK57:BK58"/>
    <mergeCell ref="BL57:BL58"/>
    <mergeCell ref="BS57:BS58"/>
    <mergeCell ref="BT57:BT58"/>
    <mergeCell ref="FG5:FG8"/>
    <mergeCell ref="FH5:FH8"/>
    <mergeCell ref="EW5:EW8"/>
    <mergeCell ref="EX5:EX8"/>
    <mergeCell ref="EY5:EY8"/>
    <mergeCell ref="EZ5:EZ8"/>
    <mergeCell ref="FA5:FA8"/>
    <mergeCell ref="FB5:FB8"/>
    <mergeCell ref="BM57:BM58"/>
    <mergeCell ref="BN57:BN58"/>
    <mergeCell ref="BO57:BO58"/>
    <mergeCell ref="BP57:BP58"/>
    <mergeCell ref="BQ57:BQ58"/>
    <mergeCell ref="BR57:BR58"/>
    <mergeCell ref="BY57:BY58"/>
    <mergeCell ref="BZ57:BZ58"/>
    <mergeCell ref="CA57:CA58"/>
    <mergeCell ref="DC57:DC58"/>
    <mergeCell ref="DD57:DD58"/>
    <mergeCell ref="DE57:DE58"/>
    <mergeCell ref="CH57:CH58"/>
    <mergeCell ref="CI57:CI58"/>
    <mergeCell ref="CJ57:CJ58"/>
    <mergeCell ref="BU57:BU58"/>
    <mergeCell ref="BV57:BV58"/>
    <mergeCell ref="BW57:BW58"/>
    <mergeCell ref="BX57:BX58"/>
    <mergeCell ref="CB57:CB58"/>
    <mergeCell ref="CC57:CC58"/>
    <mergeCell ref="CD57:CD58"/>
    <mergeCell ref="CE57:CE58"/>
    <mergeCell ref="CF57:CF58"/>
    <mergeCell ref="CG57:CG58"/>
    <mergeCell ref="DR57:DR58"/>
    <mergeCell ref="DS57:DS58"/>
    <mergeCell ref="DT57:DT58"/>
    <mergeCell ref="DF57:DF58"/>
    <mergeCell ref="DG57:DG58"/>
    <mergeCell ref="DH57:DH58"/>
    <mergeCell ref="CK57:CK58"/>
    <mergeCell ref="CL57:CL58"/>
    <mergeCell ref="CM57:CM58"/>
    <mergeCell ref="CN57:CN58"/>
    <mergeCell ref="CO57:CO58"/>
    <mergeCell ref="CP57:CP58"/>
    <mergeCell ref="CQ57:CQ58"/>
    <mergeCell ref="CR57:CR58"/>
    <mergeCell ref="CS57:CS58"/>
    <mergeCell ref="CT57:CT58"/>
    <mergeCell ref="CU57:CU58"/>
    <mergeCell ref="CV57:CV58"/>
    <mergeCell ref="CW57:CW58"/>
    <mergeCell ref="CX57:CX58"/>
    <mergeCell ref="CY57:CY58"/>
    <mergeCell ref="CZ57:CZ58"/>
    <mergeCell ref="DA57:DA58"/>
    <mergeCell ref="DB57:DB58"/>
    <mergeCell ref="C58:E58"/>
    <mergeCell ref="F58:H58"/>
    <mergeCell ref="I58:K58"/>
    <mergeCell ref="L58:N58"/>
    <mergeCell ref="O58:Q58"/>
    <mergeCell ref="GP57:GP58"/>
    <mergeCell ref="GQ57:GQ58"/>
    <mergeCell ref="FM57:FM58"/>
    <mergeCell ref="FN57:FN58"/>
    <mergeCell ref="FO57:FO58"/>
    <mergeCell ref="FP57:FP58"/>
    <mergeCell ref="FE57:FE58"/>
    <mergeCell ref="FF57:FF58"/>
    <mergeCell ref="FG57:FG58"/>
    <mergeCell ref="FH57:FH58"/>
    <mergeCell ref="FI57:FI58"/>
    <mergeCell ref="FJ57:FJ58"/>
    <mergeCell ref="ES57:ES58"/>
    <mergeCell ref="ET57:ET58"/>
    <mergeCell ref="EU57:EU58"/>
    <mergeCell ref="EV57:EV58"/>
    <mergeCell ref="GI57:GI58"/>
    <mergeCell ref="FW57:FW58"/>
    <mergeCell ref="FX57:FX58"/>
    <mergeCell ref="GK57:GK58"/>
    <mergeCell ref="GL57:GL58"/>
    <mergeCell ref="GM57:GM58"/>
    <mergeCell ref="GN57:GN58"/>
    <mergeCell ref="GO57:GO58"/>
    <mergeCell ref="FR57:FR58"/>
    <mergeCell ref="FS57:FS58"/>
    <mergeCell ref="FT57:FT58"/>
    <mergeCell ref="FU57:FU58"/>
    <mergeCell ref="FV57:FV58"/>
    <mergeCell ref="FY57:FY58"/>
    <mergeCell ref="GC57:GC58"/>
    <mergeCell ref="GD57:GD58"/>
    <mergeCell ref="GG57:GG58"/>
    <mergeCell ref="GH57:GH58"/>
    <mergeCell ref="FZ57:FZ58"/>
    <mergeCell ref="GA57:GA58"/>
    <mergeCell ref="GB57:GB58"/>
    <mergeCell ref="GJ57:GJ58"/>
    <mergeCell ref="R58:T58"/>
    <mergeCell ref="U58:W58"/>
    <mergeCell ref="AH58:AJ58"/>
    <mergeCell ref="AK58:AM58"/>
    <mergeCell ref="AN58:AP58"/>
    <mergeCell ref="AQ58:AS58"/>
    <mergeCell ref="AT58:AV58"/>
    <mergeCell ref="EW57:EW58"/>
    <mergeCell ref="EX57:EX58"/>
    <mergeCell ref="EA57:EA58"/>
    <mergeCell ref="EB57:EB58"/>
    <mergeCell ref="EC57:EC58"/>
    <mergeCell ref="ED57:ED58"/>
    <mergeCell ref="EE57:EE58"/>
    <mergeCell ref="EF57:EF58"/>
    <mergeCell ref="DI57:DI58"/>
    <mergeCell ref="DJ57:DJ58"/>
    <mergeCell ref="DK57:DK58"/>
    <mergeCell ref="DL57:DL58"/>
    <mergeCell ref="DM57:DM58"/>
    <mergeCell ref="DN57:DN58"/>
    <mergeCell ref="DO57:DO58"/>
    <mergeCell ref="DP57:DP58"/>
    <mergeCell ref="DQ57:DQ58"/>
    <mergeCell ref="EY57:EY58"/>
    <mergeCell ref="EZ57:EZ58"/>
    <mergeCell ref="FA57:FA58"/>
    <mergeCell ref="FB57:FB58"/>
    <mergeCell ref="FC57:FC58"/>
    <mergeCell ref="FD57:FD58"/>
    <mergeCell ref="EG57:EG58"/>
    <mergeCell ref="EH57:EH58"/>
    <mergeCell ref="EI57:EI58"/>
    <mergeCell ref="X3:AG4"/>
    <mergeCell ref="X5:AA7"/>
    <mergeCell ref="AB5:AC7"/>
    <mergeCell ref="AD5:AD8"/>
    <mergeCell ref="AF5:AF8"/>
    <mergeCell ref="AG5:AG8"/>
    <mergeCell ref="FK57:FK58"/>
    <mergeCell ref="FL57:FL58"/>
    <mergeCell ref="FQ57:FQ58"/>
    <mergeCell ref="EJ57:EJ58"/>
    <mergeCell ref="EK57:EK58"/>
    <mergeCell ref="EL57:EL58"/>
    <mergeCell ref="EM57:EM58"/>
    <mergeCell ref="EN57:EN58"/>
    <mergeCell ref="EO57:EO58"/>
    <mergeCell ref="EP57:EP58"/>
    <mergeCell ref="EQ57:EQ58"/>
    <mergeCell ref="ER57:ER58"/>
    <mergeCell ref="DU57:DU58"/>
    <mergeCell ref="DV57:DV58"/>
    <mergeCell ref="DW57:DW58"/>
    <mergeCell ref="DX57:DX58"/>
    <mergeCell ref="DY57:DY58"/>
    <mergeCell ref="DZ57:DZ58"/>
  </mergeCells>
  <phoneticPr fontId="4"/>
  <conditionalFormatting sqref="GS21">
    <cfRule type="duplicateValues" dxfId="154" priority="87"/>
  </conditionalFormatting>
  <conditionalFormatting sqref="GS27">
    <cfRule type="duplicateValues" dxfId="153" priority="88"/>
  </conditionalFormatting>
  <conditionalFormatting sqref="GR27">
    <cfRule type="duplicateValues" dxfId="152" priority="89"/>
  </conditionalFormatting>
  <conditionalFormatting sqref="GS10">
    <cfRule type="duplicateValues" dxfId="151" priority="85"/>
  </conditionalFormatting>
  <conditionalFormatting sqref="GR10">
    <cfRule type="duplicateValues" dxfId="150" priority="86"/>
  </conditionalFormatting>
  <conditionalFormatting sqref="GS11">
    <cfRule type="duplicateValues" dxfId="149" priority="83"/>
  </conditionalFormatting>
  <conditionalFormatting sqref="GR11">
    <cfRule type="duplicateValues" dxfId="148" priority="84"/>
  </conditionalFormatting>
  <conditionalFormatting sqref="GS12">
    <cfRule type="duplicateValues" dxfId="147" priority="81"/>
  </conditionalFormatting>
  <conditionalFormatting sqref="GR12">
    <cfRule type="duplicateValues" dxfId="146" priority="82"/>
  </conditionalFormatting>
  <conditionalFormatting sqref="GS13">
    <cfRule type="duplicateValues" dxfId="145" priority="79"/>
  </conditionalFormatting>
  <conditionalFormatting sqref="GR13">
    <cfRule type="duplicateValues" dxfId="144" priority="80"/>
  </conditionalFormatting>
  <conditionalFormatting sqref="GS14">
    <cfRule type="duplicateValues" dxfId="143" priority="77"/>
  </conditionalFormatting>
  <conditionalFormatting sqref="GR14">
    <cfRule type="duplicateValues" dxfId="142" priority="78"/>
  </conditionalFormatting>
  <conditionalFormatting sqref="GS15">
    <cfRule type="duplicateValues" dxfId="141" priority="75"/>
  </conditionalFormatting>
  <conditionalFormatting sqref="GR15">
    <cfRule type="duplicateValues" dxfId="140" priority="76"/>
  </conditionalFormatting>
  <conditionalFormatting sqref="GS16">
    <cfRule type="duplicateValues" dxfId="139" priority="73"/>
  </conditionalFormatting>
  <conditionalFormatting sqref="GR16">
    <cfRule type="duplicateValues" dxfId="138" priority="74"/>
  </conditionalFormatting>
  <conditionalFormatting sqref="GS17">
    <cfRule type="duplicateValues" dxfId="137" priority="71"/>
  </conditionalFormatting>
  <conditionalFormatting sqref="GR17">
    <cfRule type="duplicateValues" dxfId="136" priority="72"/>
  </conditionalFormatting>
  <conditionalFormatting sqref="GS18">
    <cfRule type="duplicateValues" dxfId="135" priority="69"/>
  </conditionalFormatting>
  <conditionalFormatting sqref="GR18">
    <cfRule type="duplicateValues" dxfId="134" priority="70"/>
  </conditionalFormatting>
  <conditionalFormatting sqref="GS19">
    <cfRule type="duplicateValues" dxfId="133" priority="67"/>
  </conditionalFormatting>
  <conditionalFormatting sqref="GR19">
    <cfRule type="duplicateValues" dxfId="132" priority="68"/>
  </conditionalFormatting>
  <conditionalFormatting sqref="GS20">
    <cfRule type="duplicateValues" dxfId="131" priority="65"/>
  </conditionalFormatting>
  <conditionalFormatting sqref="GS20">
    <cfRule type="duplicateValues" dxfId="130" priority="66"/>
  </conditionalFormatting>
  <conditionalFormatting sqref="GS22">
    <cfRule type="duplicateValues" dxfId="129" priority="64"/>
  </conditionalFormatting>
  <conditionalFormatting sqref="GS23">
    <cfRule type="duplicateValues" dxfId="128" priority="62"/>
  </conditionalFormatting>
  <conditionalFormatting sqref="GR23">
    <cfRule type="duplicateValues" dxfId="127" priority="63"/>
  </conditionalFormatting>
  <conditionalFormatting sqref="GS24">
    <cfRule type="duplicateValues" dxfId="126" priority="60"/>
  </conditionalFormatting>
  <conditionalFormatting sqref="GR24">
    <cfRule type="duplicateValues" dxfId="125" priority="61"/>
  </conditionalFormatting>
  <conditionalFormatting sqref="GS25">
    <cfRule type="duplicateValues" dxfId="124" priority="58"/>
  </conditionalFormatting>
  <conditionalFormatting sqref="GR25">
    <cfRule type="duplicateValues" dxfId="123" priority="59"/>
  </conditionalFormatting>
  <conditionalFormatting sqref="GS26">
    <cfRule type="duplicateValues" dxfId="122" priority="56"/>
  </conditionalFormatting>
  <conditionalFormatting sqref="GR26">
    <cfRule type="duplicateValues" dxfId="121" priority="57"/>
  </conditionalFormatting>
  <conditionalFormatting sqref="GS28">
    <cfRule type="duplicateValues" dxfId="120" priority="54"/>
  </conditionalFormatting>
  <conditionalFormatting sqref="GR28">
    <cfRule type="duplicateValues" dxfId="119" priority="55"/>
  </conditionalFormatting>
  <conditionalFormatting sqref="GS29">
    <cfRule type="duplicateValues" dxfId="118" priority="52"/>
  </conditionalFormatting>
  <conditionalFormatting sqref="GR29">
    <cfRule type="duplicateValues" dxfId="117" priority="53"/>
  </conditionalFormatting>
  <conditionalFormatting sqref="GS30">
    <cfRule type="duplicateValues" dxfId="116" priority="50"/>
  </conditionalFormatting>
  <conditionalFormatting sqref="GR30">
    <cfRule type="duplicateValues" dxfId="115" priority="51"/>
  </conditionalFormatting>
  <conditionalFormatting sqref="GS31">
    <cfRule type="duplicateValues" dxfId="114" priority="48"/>
  </conditionalFormatting>
  <conditionalFormatting sqref="GR31">
    <cfRule type="duplicateValues" dxfId="113" priority="49"/>
  </conditionalFormatting>
  <conditionalFormatting sqref="GR32">
    <cfRule type="duplicateValues" dxfId="112" priority="46"/>
  </conditionalFormatting>
  <conditionalFormatting sqref="GS32">
    <cfRule type="duplicateValues" dxfId="111" priority="47"/>
  </conditionalFormatting>
  <conditionalFormatting sqref="GR33">
    <cfRule type="duplicateValues" dxfId="110" priority="44"/>
  </conditionalFormatting>
  <conditionalFormatting sqref="GS33">
    <cfRule type="duplicateValues" dxfId="109" priority="45"/>
  </conditionalFormatting>
  <conditionalFormatting sqref="GS34">
    <cfRule type="duplicateValues" dxfId="108" priority="42"/>
  </conditionalFormatting>
  <conditionalFormatting sqref="GR34">
    <cfRule type="duplicateValues" dxfId="107" priority="43"/>
  </conditionalFormatting>
  <conditionalFormatting sqref="GS35">
    <cfRule type="duplicateValues" dxfId="106" priority="40"/>
  </conditionalFormatting>
  <conditionalFormatting sqref="GR35">
    <cfRule type="duplicateValues" dxfId="105" priority="41"/>
  </conditionalFormatting>
  <conditionalFormatting sqref="GS36">
    <cfRule type="duplicateValues" dxfId="104" priority="38"/>
  </conditionalFormatting>
  <conditionalFormatting sqref="GR36">
    <cfRule type="duplicateValues" dxfId="103" priority="39"/>
  </conditionalFormatting>
  <conditionalFormatting sqref="GS37">
    <cfRule type="duplicateValues" dxfId="102" priority="37"/>
  </conditionalFormatting>
  <conditionalFormatting sqref="GS38">
    <cfRule type="duplicateValues" dxfId="101" priority="35"/>
  </conditionalFormatting>
  <conditionalFormatting sqref="GR38">
    <cfRule type="duplicateValues" dxfId="100" priority="36"/>
  </conditionalFormatting>
  <conditionalFormatting sqref="GS39">
    <cfRule type="duplicateValues" dxfId="99" priority="33"/>
  </conditionalFormatting>
  <conditionalFormatting sqref="GR39">
    <cfRule type="duplicateValues" dxfId="98" priority="34"/>
  </conditionalFormatting>
  <conditionalFormatting sqref="GS40">
    <cfRule type="duplicateValues" dxfId="97" priority="31"/>
  </conditionalFormatting>
  <conditionalFormatting sqref="GR40">
    <cfRule type="duplicateValues" dxfId="96" priority="32"/>
  </conditionalFormatting>
  <conditionalFormatting sqref="GS41">
    <cfRule type="duplicateValues" dxfId="95" priority="29"/>
  </conditionalFormatting>
  <conditionalFormatting sqref="GR41">
    <cfRule type="duplicateValues" dxfId="94" priority="30"/>
  </conditionalFormatting>
  <conditionalFormatting sqref="GS42">
    <cfRule type="duplicateValues" dxfId="93" priority="27"/>
  </conditionalFormatting>
  <conditionalFormatting sqref="GR42">
    <cfRule type="duplicateValues" dxfId="92" priority="28"/>
  </conditionalFormatting>
  <conditionalFormatting sqref="GS43">
    <cfRule type="duplicateValues" dxfId="91" priority="25"/>
  </conditionalFormatting>
  <conditionalFormatting sqref="GR43">
    <cfRule type="duplicateValues" dxfId="90" priority="26"/>
  </conditionalFormatting>
  <conditionalFormatting sqref="GS44">
    <cfRule type="duplicateValues" dxfId="89" priority="23"/>
  </conditionalFormatting>
  <conditionalFormatting sqref="GR44">
    <cfRule type="duplicateValues" dxfId="88" priority="24"/>
  </conditionalFormatting>
  <conditionalFormatting sqref="GS45">
    <cfRule type="duplicateValues" dxfId="87" priority="21"/>
  </conditionalFormatting>
  <conditionalFormatting sqref="GR45">
    <cfRule type="duplicateValues" dxfId="86" priority="22"/>
  </conditionalFormatting>
  <conditionalFormatting sqref="GS46">
    <cfRule type="duplicateValues" dxfId="85" priority="19"/>
  </conditionalFormatting>
  <conditionalFormatting sqref="GR46">
    <cfRule type="duplicateValues" dxfId="84" priority="20"/>
  </conditionalFormatting>
  <conditionalFormatting sqref="GS47">
    <cfRule type="duplicateValues" dxfId="83" priority="17"/>
  </conditionalFormatting>
  <conditionalFormatting sqref="GR47">
    <cfRule type="duplicateValues" dxfId="82" priority="18"/>
  </conditionalFormatting>
  <conditionalFormatting sqref="GS48">
    <cfRule type="duplicateValues" dxfId="81" priority="15"/>
  </conditionalFormatting>
  <conditionalFormatting sqref="GR48">
    <cfRule type="duplicateValues" dxfId="80" priority="16"/>
  </conditionalFormatting>
  <conditionalFormatting sqref="GS49">
    <cfRule type="duplicateValues" dxfId="79" priority="13"/>
  </conditionalFormatting>
  <conditionalFormatting sqref="GR49">
    <cfRule type="duplicateValues" dxfId="78" priority="14"/>
  </conditionalFormatting>
  <conditionalFormatting sqref="GS50">
    <cfRule type="duplicateValues" dxfId="77" priority="11"/>
  </conditionalFormatting>
  <conditionalFormatting sqref="GR50">
    <cfRule type="duplicateValues" dxfId="76" priority="12"/>
  </conditionalFormatting>
  <conditionalFormatting sqref="GS51">
    <cfRule type="duplicateValues" dxfId="75" priority="9"/>
  </conditionalFormatting>
  <conditionalFormatting sqref="GR51">
    <cfRule type="duplicateValues" dxfId="74" priority="10"/>
  </conditionalFormatting>
  <conditionalFormatting sqref="GS52">
    <cfRule type="duplicateValues" dxfId="73" priority="7"/>
  </conditionalFormatting>
  <conditionalFormatting sqref="GR52">
    <cfRule type="duplicateValues" dxfId="72" priority="8"/>
  </conditionalFormatting>
  <conditionalFormatting sqref="GS53">
    <cfRule type="duplicateValues" dxfId="71" priority="5"/>
  </conditionalFormatting>
  <conditionalFormatting sqref="GR53">
    <cfRule type="duplicateValues" dxfId="70" priority="6"/>
  </conditionalFormatting>
  <conditionalFormatting sqref="GS54">
    <cfRule type="duplicateValues" dxfId="69" priority="3"/>
  </conditionalFormatting>
  <conditionalFormatting sqref="GR54">
    <cfRule type="duplicateValues" dxfId="68" priority="4"/>
  </conditionalFormatting>
  <conditionalFormatting sqref="GS55">
    <cfRule type="duplicateValues" dxfId="67" priority="1"/>
  </conditionalFormatting>
  <conditionalFormatting sqref="GR55">
    <cfRule type="duplicateValues" dxfId="66" priority="2"/>
  </conditionalFormatting>
  <dataValidations count="9">
    <dataValidation type="list" allowBlank="1" showInputMessage="1" showErrorMessage="1" sqref="GZ33:HE33 HZ33:IC33 HU33:HX33 HN33:HS33 HG33:HL33 O10:P45 L10:M45 I10:J45 AB10:AC45 AH10:AI45 AK10:AL45 AT10:AU45 AQ10:AR45 X10:Z45 AN10:AO45 F10:G45 C10:D45 U10:V45 GL10:GQ45 GG10:GJ45 HZ44 GZ44 HG44 HU44 R10:S45 IF33:IH33 I47:J56 L47:M56 GL47:GQ56 GG47:GJ56 O47:P56 R47:S56 U47:V56 C47:D56 F47:G56 AN47:AO56 X47:Z56 AQ47:AR56 AT47:AU56 AK47:AL56 AH47:AI56 AB47:AC56 GS10:GS56" xr:uid="{00000000-0002-0000-0000-000000000000}">
      <formula1>"○"</formula1>
    </dataValidation>
    <dataValidation type="list" allowBlank="1" showInputMessage="1" showErrorMessage="1" sqref="AE10:AE45 AE47:AE56" xr:uid="{00000000-0002-0000-0000-000001000000}">
      <formula1>"○,-"</formula1>
    </dataValidation>
    <dataValidation type="list" allowBlank="1" showInputMessage="1" showErrorMessage="1" sqref="GE10:GE45 GE47:GE56" xr:uid="{00000000-0002-0000-0000-000003000000}">
      <formula1>"実施済,実施予定,実施予定無し"</formula1>
    </dataValidation>
    <dataValidation type="list" allowBlank="1" showInputMessage="1" showErrorMessage="1" sqref="GF10:GF45 GF47:GF56" xr:uid="{00000000-0002-0000-0000-000004000000}">
      <formula1>"委託有,委託予定,委託予定無し"</formula1>
    </dataValidation>
    <dataValidation type="textLength" operator="lessThanOrEqual" showInputMessage="1" showErrorMessage="1" error="100文字までしか入力できません" sqref="EL29 BF38 BH38" xr:uid="{D8D1C0A1-579C-4AA8-9036-5F42DD221C51}">
      <formula1>100</formula1>
    </dataValidation>
    <dataValidation type="list" allowBlank="1" showInputMessage="1" showErrorMessage="1" sqref="GF46" xr:uid="{ABDE3D92-9BF9-40D2-BF22-5BE32BBBFB5F}">
      <formula1>"委託有,委託予定,委託予定無し"</formula1>
      <formula2>0</formula2>
    </dataValidation>
    <dataValidation type="list" allowBlank="1" showInputMessage="1" showErrorMessage="1" sqref="GE46" xr:uid="{42CF1B4B-D750-4227-8BDF-BCCF4EEE3742}">
      <formula1>"実施済,実施予定,実施予定無し"</formula1>
      <formula2>0</formula2>
    </dataValidation>
    <dataValidation type="list" allowBlank="1" showInputMessage="1" showErrorMessage="1" sqref="AE46" xr:uid="{AD636A26-EC7A-4518-8470-2991A319A012}">
      <formula1>"○,-"</formula1>
      <formula2>0</formula2>
    </dataValidation>
    <dataValidation type="list" allowBlank="1" showInputMessage="1" showErrorMessage="1" sqref="C46:D46 F46:G46 I46:J46 L46:M46 O46:P46 R46:S46 U46:V46 GG46:GJ46 GL46:GQ46 AH46:AI46 AK46:AL46 AN46:AO46 AQ46:AR46 AT46:AU46 X46:Z46 AB46:AC46" xr:uid="{F1130087-933A-4DA2-A954-7BC0591DCA48}">
      <formula1>"○"</formula1>
      <formula2>0</formula2>
    </dataValidation>
  </dataValidations>
  <pageMargins left="0.23622047244094491" right="0.23622047244094491" top="0.74803149606299213" bottom="0.74803149606299213" header="0.31496062992125984" footer="0.31496062992125984"/>
  <pageSetup paperSize="8" scale="24" fitToWidth="10" fitToHeight="0" orientation="landscape" r:id="rId1"/>
  <colBreaks count="6" manualBreakCount="6">
    <brk id="23" max="57" man="1"/>
    <brk id="78" max="57" man="1"/>
    <brk id="102" max="57" man="1"/>
    <brk id="126" max="57" man="1"/>
    <brk id="150" max="57" man="1"/>
    <brk id="174"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B765A-2CA1-4BBD-9934-C9D0CC7C6E50}">
  <sheetPr>
    <pageSetUpPr fitToPage="1"/>
  </sheetPr>
  <dimension ref="A2:EW126"/>
  <sheetViews>
    <sheetView tabSelected="1" view="pageBreakPreview" topLeftCell="A13" zoomScale="55" zoomScaleNormal="40" zoomScaleSheetLayoutView="55" zoomScalePageLayoutView="40" workbookViewId="0">
      <selection activeCell="L71" sqref="L71:N72"/>
    </sheetView>
  </sheetViews>
  <sheetFormatPr defaultColWidth="2.77734375" defaultRowHeight="12.6" customHeight="1"/>
  <cols>
    <col min="17" max="17" width="2.77734375" customWidth="1"/>
    <col min="21" max="35" width="3.44140625" customWidth="1"/>
    <col min="36" max="38" width="3.6640625" customWidth="1"/>
    <col min="39" max="72" width="2.5546875" customWidth="1"/>
    <col min="73" max="76" width="3.21875" customWidth="1"/>
    <col min="77" max="79" width="2.77734375" customWidth="1"/>
    <col min="91" max="91" width="2.77734375" customWidth="1"/>
    <col min="107" max="107" width="2.77734375" customWidth="1"/>
    <col min="115" max="115" width="2.77734375" customWidth="1"/>
  </cols>
  <sheetData>
    <row r="2" spans="3:144" ht="12.6" customHeight="1">
      <c r="C2" s="43"/>
      <c r="D2" s="42"/>
      <c r="E2" s="42"/>
      <c r="F2" s="41"/>
      <c r="S2" s="7"/>
      <c r="T2" s="7"/>
      <c r="U2" s="7"/>
      <c r="V2" s="7"/>
      <c r="X2" s="43"/>
      <c r="Y2" s="42"/>
      <c r="Z2" s="42"/>
      <c r="AA2" s="41"/>
      <c r="AN2" s="7"/>
      <c r="AO2" s="7"/>
      <c r="AP2" s="7"/>
      <c r="AQ2" s="7"/>
      <c r="AR2" s="7"/>
      <c r="AS2" s="7"/>
      <c r="AT2" s="7"/>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8"/>
      <c r="DF2" s="38"/>
      <c r="DG2" s="38"/>
      <c r="DH2" s="38"/>
      <c r="DI2" s="38"/>
      <c r="DJ2" s="38"/>
      <c r="DK2" s="38"/>
      <c r="DL2" s="38"/>
      <c r="DM2" s="38"/>
      <c r="DN2" s="38"/>
      <c r="DO2" s="38"/>
      <c r="DP2" s="38"/>
      <c r="DQ2" s="38"/>
      <c r="DR2" s="38"/>
      <c r="DS2" s="38"/>
      <c r="DT2" s="38"/>
      <c r="DU2" s="38"/>
      <c r="DV2" s="38"/>
      <c r="DW2" s="38"/>
      <c r="DX2" s="38"/>
      <c r="DY2" s="38"/>
      <c r="DZ2" s="9"/>
      <c r="EA2" s="9"/>
    </row>
    <row r="3" spans="3:144" ht="12.6" customHeight="1">
      <c r="C3" s="7"/>
      <c r="D3" s="7"/>
      <c r="E3" s="7"/>
      <c r="S3" s="7"/>
      <c r="T3" s="7"/>
      <c r="U3" s="7"/>
      <c r="V3" s="7"/>
      <c r="X3" s="7"/>
      <c r="Y3" s="7"/>
      <c r="Z3" s="7"/>
      <c r="AN3" s="7"/>
      <c r="AO3" s="7"/>
      <c r="AP3" s="7"/>
      <c r="AQ3" s="7"/>
      <c r="AR3" s="40"/>
      <c r="AS3" s="40"/>
      <c r="AT3" s="40"/>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8"/>
      <c r="DF3" s="38"/>
      <c r="DG3" s="38"/>
      <c r="DH3" s="38"/>
      <c r="DI3" s="38"/>
      <c r="DJ3" s="38"/>
      <c r="DK3" s="38"/>
      <c r="DL3" s="38"/>
      <c r="DM3" s="38"/>
      <c r="DN3" s="38"/>
      <c r="DO3" s="38"/>
      <c r="DP3" s="38"/>
      <c r="DQ3" s="38"/>
      <c r="DR3" s="38"/>
      <c r="DS3" s="38"/>
      <c r="DT3" s="38"/>
      <c r="DU3" s="38"/>
      <c r="DV3" s="38"/>
      <c r="DW3" s="38"/>
      <c r="DX3" s="38"/>
      <c r="DY3" s="38"/>
      <c r="DZ3" s="9"/>
      <c r="EA3" s="9"/>
    </row>
    <row r="4" spans="3:144" ht="12.6" customHeight="1">
      <c r="C4" s="7"/>
      <c r="D4" s="7"/>
      <c r="E4" s="7"/>
      <c r="H4" s="40"/>
      <c r="I4" s="40"/>
      <c r="J4" s="40"/>
      <c r="K4" s="40"/>
      <c r="L4" s="40"/>
      <c r="M4" s="40"/>
      <c r="N4" s="40"/>
      <c r="O4" s="40"/>
      <c r="P4" s="40"/>
      <c r="Q4" s="40"/>
      <c r="R4" s="40"/>
      <c r="S4" s="40"/>
      <c r="T4" s="40"/>
      <c r="U4" s="40"/>
      <c r="V4" s="40"/>
      <c r="X4" s="7"/>
      <c r="Y4" s="7"/>
      <c r="Z4" s="7"/>
      <c r="AC4" s="40"/>
      <c r="AD4" s="40"/>
      <c r="AE4" s="40"/>
      <c r="AF4" s="40"/>
      <c r="AG4" s="40"/>
      <c r="AH4" s="40"/>
      <c r="AI4" s="40"/>
      <c r="AJ4" s="40"/>
      <c r="AK4" s="40"/>
      <c r="AL4" s="40"/>
      <c r="AM4" s="40"/>
      <c r="AN4" s="40"/>
      <c r="AO4" s="40"/>
      <c r="AP4" s="40"/>
      <c r="AQ4" s="40"/>
      <c r="AR4" s="7"/>
      <c r="AS4" s="7"/>
      <c r="AT4" s="7"/>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8"/>
      <c r="DF4" s="38"/>
      <c r="DG4" s="38"/>
      <c r="DH4" s="38"/>
      <c r="DI4" s="38"/>
      <c r="DJ4" s="38"/>
      <c r="DK4" s="38"/>
      <c r="DL4" s="38"/>
      <c r="DM4" s="38"/>
      <c r="DN4" s="38"/>
      <c r="DO4" s="38"/>
      <c r="DP4" s="38"/>
      <c r="DQ4" s="38"/>
      <c r="DR4" s="38"/>
      <c r="DS4" s="38"/>
      <c r="DT4" s="38"/>
      <c r="DU4" s="38"/>
      <c r="DV4" s="38"/>
      <c r="DW4" s="38"/>
      <c r="DX4" s="38"/>
      <c r="DY4" s="38"/>
      <c r="DZ4" s="9"/>
      <c r="EA4" s="9"/>
    </row>
    <row r="5" spans="3:144" ht="12.6" customHeight="1">
      <c r="S5" s="7"/>
      <c r="T5" s="7"/>
      <c r="U5" s="7"/>
      <c r="V5" s="7"/>
      <c r="AN5" s="7"/>
      <c r="AO5" s="7"/>
      <c r="AP5" s="7"/>
      <c r="AQ5" s="7"/>
      <c r="AR5" s="36"/>
      <c r="AS5" s="36"/>
      <c r="AT5" s="36"/>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8"/>
      <c r="DF5" s="38"/>
      <c r="DG5" s="38"/>
      <c r="DH5" s="38"/>
      <c r="DI5" s="38"/>
      <c r="DJ5" s="38"/>
      <c r="DK5" s="38"/>
      <c r="DL5" s="38"/>
      <c r="DM5" s="38"/>
      <c r="DN5" s="38"/>
      <c r="DO5" s="38"/>
      <c r="DP5" s="38"/>
      <c r="DQ5" s="38"/>
      <c r="DR5" s="38"/>
      <c r="DS5" s="38"/>
      <c r="DT5" s="38"/>
      <c r="DU5" s="38"/>
      <c r="DV5" s="38"/>
      <c r="DW5" s="38"/>
      <c r="DX5" s="38"/>
      <c r="DY5" s="38"/>
      <c r="DZ5" s="9"/>
      <c r="EA5" s="9"/>
    </row>
    <row r="6" spans="3:144" ht="12.6" customHeight="1">
      <c r="AN6" s="36"/>
      <c r="AO6" s="36"/>
      <c r="AP6" s="36"/>
      <c r="AQ6" s="36"/>
      <c r="AR6" s="36"/>
      <c r="AS6" s="36"/>
      <c r="AT6" s="36"/>
      <c r="AU6" s="36"/>
      <c r="DE6" s="10"/>
      <c r="DF6" s="10"/>
      <c r="DG6" s="10"/>
      <c r="DH6" s="10"/>
      <c r="DI6" s="10"/>
      <c r="DJ6" s="10"/>
      <c r="DK6" s="10"/>
      <c r="DL6" s="10"/>
      <c r="DM6" s="10"/>
      <c r="DN6" s="10"/>
      <c r="DO6" s="10"/>
      <c r="DP6" s="10"/>
      <c r="DQ6" s="10"/>
      <c r="DR6" s="10"/>
      <c r="DS6" s="10"/>
      <c r="DT6" s="10"/>
      <c r="DU6" s="10"/>
      <c r="DV6" s="10"/>
      <c r="DW6" s="10"/>
      <c r="DX6" s="10"/>
      <c r="DY6" s="10"/>
      <c r="DZ6" s="10"/>
      <c r="EA6" s="10"/>
    </row>
    <row r="7" spans="3:144" ht="12.6" customHeight="1">
      <c r="AN7" s="36"/>
      <c r="AO7" s="36"/>
      <c r="AP7" s="36"/>
      <c r="AQ7" s="36"/>
      <c r="AR7" s="36"/>
      <c r="AS7" s="36"/>
      <c r="AT7" s="36"/>
      <c r="AU7" s="36"/>
    </row>
    <row r="8" spans="3:144" ht="12.6" customHeight="1">
      <c r="D8" s="431" t="s">
        <v>64</v>
      </c>
      <c r="E8" s="431"/>
      <c r="F8" s="431"/>
      <c r="G8" s="431"/>
      <c r="H8" s="431"/>
      <c r="I8" s="431"/>
      <c r="J8" s="431"/>
      <c r="K8" s="431"/>
      <c r="L8" s="431"/>
      <c r="M8" s="431"/>
      <c r="N8" s="431" t="s">
        <v>63</v>
      </c>
      <c r="O8" s="431"/>
      <c r="P8" s="431"/>
      <c r="Q8" s="431"/>
      <c r="R8" s="431"/>
      <c r="S8" s="431"/>
      <c r="T8" s="431"/>
      <c r="U8" s="431"/>
      <c r="V8" s="431"/>
      <c r="W8" s="431"/>
      <c r="X8" s="431"/>
      <c r="Y8" s="431"/>
      <c r="Z8" s="431"/>
      <c r="AA8" s="37"/>
      <c r="AB8" s="37"/>
      <c r="AC8" s="37"/>
      <c r="AD8" s="37"/>
      <c r="AE8" s="37"/>
      <c r="AF8" s="37"/>
      <c r="AG8" s="37"/>
      <c r="AH8" s="37"/>
      <c r="AI8" s="37"/>
      <c r="AJ8" s="37"/>
      <c r="AK8" s="37"/>
      <c r="AL8" s="37"/>
      <c r="AM8" s="37"/>
      <c r="AN8" s="37"/>
      <c r="AO8" s="37"/>
      <c r="AP8" s="37"/>
      <c r="AQ8" s="37"/>
      <c r="AU8" s="36"/>
      <c r="AX8" s="36"/>
      <c r="AY8" s="36"/>
      <c r="AZ8" s="36"/>
      <c r="BA8" s="36"/>
      <c r="BB8" s="36"/>
      <c r="BC8" s="36"/>
      <c r="BD8" s="36"/>
    </row>
    <row r="9" spans="3:144" ht="12.6" customHeight="1">
      <c r="D9" s="431"/>
      <c r="E9" s="431"/>
      <c r="F9" s="431"/>
      <c r="G9" s="431"/>
      <c r="H9" s="431"/>
      <c r="I9" s="431"/>
      <c r="J9" s="431"/>
      <c r="K9" s="431"/>
      <c r="L9" s="431"/>
      <c r="M9" s="431"/>
      <c r="N9" s="431"/>
      <c r="O9" s="431"/>
      <c r="P9" s="431"/>
      <c r="Q9" s="431"/>
      <c r="R9" s="431"/>
      <c r="S9" s="431"/>
      <c r="T9" s="431"/>
      <c r="U9" s="431"/>
      <c r="V9" s="431"/>
      <c r="W9" s="431"/>
      <c r="X9" s="431"/>
      <c r="Y9" s="431"/>
      <c r="Z9" s="431"/>
      <c r="AA9" s="37"/>
      <c r="AB9" s="37"/>
      <c r="AC9" s="37"/>
      <c r="AD9" s="37"/>
      <c r="AE9" s="37"/>
      <c r="AF9" s="37"/>
      <c r="AG9" s="37"/>
      <c r="AH9" s="37"/>
      <c r="AI9" s="37"/>
      <c r="AJ9" s="37"/>
      <c r="AK9" s="37"/>
      <c r="AL9" s="37"/>
      <c r="AM9" s="37"/>
      <c r="AN9" s="37"/>
      <c r="AO9" s="37"/>
      <c r="AP9" s="37"/>
      <c r="AQ9" s="37"/>
      <c r="AW9" s="36"/>
      <c r="AX9" s="36"/>
      <c r="AY9" s="36"/>
      <c r="AZ9" s="36"/>
      <c r="BA9" s="36"/>
      <c r="BB9" s="36"/>
      <c r="BC9" s="36"/>
      <c r="BD9" s="36"/>
    </row>
    <row r="10" spans="3:144" ht="12.6" customHeight="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37"/>
      <c r="AB10" s="37"/>
      <c r="AC10" s="37"/>
      <c r="AD10" s="37"/>
      <c r="AE10" s="37"/>
      <c r="AF10" s="37"/>
      <c r="AG10" s="37"/>
      <c r="AH10" s="37"/>
      <c r="AI10" s="37"/>
      <c r="AJ10" s="37"/>
      <c r="AK10" s="37"/>
      <c r="AL10" s="37"/>
      <c r="AM10" s="37"/>
      <c r="AN10" s="37"/>
      <c r="AO10" s="37"/>
      <c r="AP10" s="37"/>
      <c r="AQ10" s="37"/>
      <c r="AR10" s="36"/>
      <c r="AS10" s="36"/>
      <c r="AT10" s="36"/>
      <c r="AW10" s="36"/>
      <c r="AX10" s="36"/>
      <c r="AY10" s="36"/>
      <c r="AZ10" s="36"/>
      <c r="BA10" s="36"/>
      <c r="BB10" s="36"/>
      <c r="BC10" s="36"/>
      <c r="BD10" s="36"/>
    </row>
    <row r="11" spans="3:144" ht="12.6" customHeight="1">
      <c r="D11" s="432" t="s">
        <v>617</v>
      </c>
      <c r="E11" s="433"/>
      <c r="F11" s="433"/>
      <c r="G11" s="433"/>
      <c r="H11" s="433"/>
      <c r="I11" s="433"/>
      <c r="J11" s="433"/>
      <c r="K11" s="433"/>
      <c r="L11" s="433"/>
      <c r="M11" s="434"/>
      <c r="N11" s="431" t="str">
        <f>VLOOKUP($D$11,調査票①!$A$10:$GY$58,2,FALSE)</f>
        <v>北海道</v>
      </c>
      <c r="O11" s="431"/>
      <c r="P11" s="431"/>
      <c r="Q11" s="431"/>
      <c r="R11" s="431"/>
      <c r="S11" s="431"/>
      <c r="T11" s="431"/>
      <c r="U11" s="431"/>
      <c r="V11" s="431"/>
      <c r="W11" s="431"/>
      <c r="X11" s="431"/>
      <c r="Y11" s="431"/>
      <c r="Z11" s="431"/>
      <c r="AA11" s="37"/>
      <c r="AB11" s="37"/>
      <c r="AC11" s="37"/>
      <c r="AD11" s="37"/>
      <c r="AE11" s="37"/>
      <c r="AF11" s="37"/>
      <c r="AG11" s="37"/>
      <c r="AH11" s="37"/>
      <c r="AI11" s="37"/>
      <c r="AJ11" s="37"/>
      <c r="AK11" s="37"/>
      <c r="AL11" s="37"/>
      <c r="AM11" s="37"/>
      <c r="AN11" s="37"/>
      <c r="AO11" s="37"/>
      <c r="AP11" s="37"/>
      <c r="AQ11" s="37"/>
      <c r="AR11" s="36"/>
      <c r="AS11" s="36"/>
      <c r="AT11" s="36"/>
      <c r="AW11" s="36"/>
      <c r="AX11" s="36"/>
      <c r="AY11" s="36"/>
      <c r="AZ11" s="36"/>
      <c r="BA11" s="36"/>
      <c r="BB11" s="36"/>
      <c r="BC11" s="36"/>
      <c r="BD11" s="36"/>
    </row>
    <row r="12" spans="3:144" ht="12.6" customHeight="1">
      <c r="D12" s="435"/>
      <c r="E12" s="436"/>
      <c r="F12" s="436"/>
      <c r="G12" s="436"/>
      <c r="H12" s="436"/>
      <c r="I12" s="436"/>
      <c r="J12" s="436"/>
      <c r="K12" s="436"/>
      <c r="L12" s="436"/>
      <c r="M12" s="437"/>
      <c r="N12" s="431"/>
      <c r="O12" s="431"/>
      <c r="P12" s="431"/>
      <c r="Q12" s="431"/>
      <c r="R12" s="431"/>
      <c r="S12" s="431"/>
      <c r="T12" s="431"/>
      <c r="U12" s="431"/>
      <c r="V12" s="431"/>
      <c r="W12" s="431"/>
      <c r="X12" s="431"/>
      <c r="Y12" s="431"/>
      <c r="Z12" s="431"/>
      <c r="AA12" s="37"/>
      <c r="AB12" s="37"/>
      <c r="AC12" s="37"/>
      <c r="AD12" s="37"/>
      <c r="AE12" s="37"/>
      <c r="AF12" s="37"/>
      <c r="AG12" s="37"/>
      <c r="AH12" s="37"/>
      <c r="AI12" s="37"/>
      <c r="AJ12" s="37"/>
      <c r="AK12" s="37"/>
      <c r="AL12" s="37"/>
      <c r="AM12" s="37"/>
      <c r="AN12" s="37"/>
      <c r="AO12" s="37"/>
      <c r="AP12" s="37"/>
      <c r="AQ12" s="37"/>
      <c r="AR12" s="36"/>
      <c r="AS12" s="36"/>
      <c r="AT12" s="36"/>
      <c r="AW12" s="36"/>
      <c r="AX12" s="36"/>
      <c r="AY12" s="36"/>
      <c r="AZ12" s="36"/>
      <c r="BA12" s="36"/>
      <c r="BB12" s="36"/>
      <c r="BC12" s="36"/>
      <c r="BD12" s="36"/>
    </row>
    <row r="13" spans="3:144" ht="12.6" customHeight="1">
      <c r="D13" s="438"/>
      <c r="E13" s="439"/>
      <c r="F13" s="439"/>
      <c r="G13" s="439"/>
      <c r="H13" s="439"/>
      <c r="I13" s="439"/>
      <c r="J13" s="439"/>
      <c r="K13" s="439"/>
      <c r="L13" s="439"/>
      <c r="M13" s="440"/>
      <c r="N13" s="431"/>
      <c r="O13" s="431"/>
      <c r="P13" s="431"/>
      <c r="Q13" s="431"/>
      <c r="R13" s="431"/>
      <c r="S13" s="431"/>
      <c r="T13" s="431"/>
      <c r="U13" s="431"/>
      <c r="V13" s="431"/>
      <c r="W13" s="431"/>
      <c r="X13" s="431"/>
      <c r="Y13" s="431"/>
      <c r="Z13" s="431"/>
      <c r="AA13" s="37"/>
      <c r="AB13" s="37"/>
      <c r="AC13" s="37"/>
      <c r="AD13" s="37"/>
      <c r="AE13" s="37"/>
      <c r="AF13" s="37"/>
      <c r="AG13" s="37"/>
      <c r="AH13" s="37"/>
      <c r="AI13" s="37"/>
      <c r="AJ13" s="37"/>
      <c r="AK13" s="37"/>
      <c r="AL13" s="37"/>
      <c r="AM13" s="37"/>
      <c r="AN13" s="37"/>
      <c r="AO13" s="37"/>
      <c r="AP13" s="37"/>
      <c r="AQ13" s="37"/>
      <c r="AR13" s="36"/>
      <c r="AS13" s="36"/>
      <c r="AT13" s="36"/>
      <c r="AW13" s="36"/>
      <c r="AX13" s="36"/>
      <c r="AY13" s="36"/>
      <c r="AZ13" s="36"/>
      <c r="BA13" s="36"/>
      <c r="BB13" s="36"/>
      <c r="BC13" s="36"/>
      <c r="BD13" s="36"/>
    </row>
    <row r="16" spans="3:144" ht="12.6" customHeight="1">
      <c r="C16" s="10"/>
      <c r="D16" s="24"/>
      <c r="E16" s="24"/>
      <c r="F16" s="24"/>
      <c r="G16" s="24"/>
      <c r="H16" s="24"/>
      <c r="I16" s="24"/>
      <c r="J16" s="24"/>
      <c r="K16" s="24"/>
      <c r="L16" s="24"/>
      <c r="M16" s="24"/>
      <c r="N16" s="24"/>
      <c r="O16" s="24"/>
      <c r="P16" s="24"/>
      <c r="Q16" s="24"/>
      <c r="R16" s="24"/>
      <c r="S16" s="24"/>
      <c r="T16" s="24"/>
      <c r="U16" s="24"/>
      <c r="V16" s="24"/>
      <c r="W16" s="24"/>
      <c r="X16" s="24"/>
      <c r="Y16" s="24"/>
      <c r="Z16" s="24"/>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CC16" s="7"/>
      <c r="CD16" s="24"/>
      <c r="CE16" s="24"/>
      <c r="CF16" s="24"/>
      <c r="CG16" s="24"/>
      <c r="CH16" s="24"/>
      <c r="CI16" s="24"/>
      <c r="CJ16" s="24"/>
      <c r="CK16" s="24"/>
      <c r="CL16" s="24"/>
      <c r="CM16" s="24"/>
      <c r="CN16" s="24"/>
      <c r="CO16" s="24"/>
      <c r="CP16" s="24"/>
      <c r="CQ16" s="24"/>
      <c r="CR16" s="24"/>
      <c r="CS16" s="24"/>
      <c r="CT16" s="24"/>
      <c r="CU16" s="24"/>
      <c r="CV16" s="24"/>
      <c r="CW16" s="24"/>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row>
    <row r="17" spans="3:150" ht="12.6" customHeight="1">
      <c r="C17" s="28"/>
      <c r="D17" s="26"/>
      <c r="E17" s="26"/>
      <c r="F17" s="26"/>
      <c r="G17" s="26"/>
      <c r="H17" s="26"/>
      <c r="I17" s="26"/>
      <c r="J17" s="26"/>
      <c r="K17" s="26"/>
      <c r="L17" s="26"/>
      <c r="M17" s="26"/>
      <c r="N17" s="26"/>
      <c r="O17" s="29"/>
      <c r="P17" s="29"/>
      <c r="Q17" s="29"/>
      <c r="R17" s="29"/>
      <c r="S17" s="26"/>
      <c r="T17" s="26"/>
      <c r="U17" s="26"/>
      <c r="V17" s="26"/>
      <c r="W17" s="26"/>
      <c r="X17" s="26"/>
      <c r="Y17" s="26"/>
      <c r="Z17" s="26"/>
      <c r="AA17" s="26"/>
      <c r="AB17" s="26"/>
      <c r="AC17" s="26"/>
      <c r="AD17" s="26"/>
      <c r="AE17" s="26"/>
      <c r="AF17" s="26"/>
      <c r="AG17" s="26"/>
      <c r="AH17" s="26"/>
      <c r="AI17" s="26"/>
      <c r="AJ17" s="26"/>
      <c r="AK17" s="26"/>
      <c r="AL17" s="26"/>
      <c r="AM17" s="26"/>
      <c r="AN17" s="29"/>
      <c r="AO17" s="29"/>
      <c r="AP17" s="29"/>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9"/>
      <c r="BP17" s="29"/>
      <c r="BQ17" s="29"/>
      <c r="BR17" s="29"/>
      <c r="BS17" s="26"/>
      <c r="BT17" s="26"/>
      <c r="BU17" s="26"/>
      <c r="BV17" s="26"/>
      <c r="BW17" s="26"/>
      <c r="BX17" s="26"/>
      <c r="BY17" s="26"/>
      <c r="BZ17" s="25"/>
      <c r="CA17" s="9"/>
      <c r="CC17" s="28"/>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5"/>
    </row>
    <row r="18" spans="3:150" ht="12.6" customHeight="1">
      <c r="C18" s="15"/>
      <c r="D18" s="8"/>
      <c r="E18" s="8"/>
      <c r="F18" s="8"/>
      <c r="G18" s="8"/>
      <c r="H18" s="8"/>
      <c r="I18" s="8"/>
      <c r="J18" s="8"/>
      <c r="K18" s="8"/>
      <c r="L18" s="8"/>
      <c r="M18" s="8"/>
      <c r="N18" s="8"/>
      <c r="O18" s="21"/>
      <c r="P18" s="21"/>
      <c r="Q18" s="21"/>
      <c r="R18" s="21"/>
      <c r="S18" s="8"/>
      <c r="T18" s="8"/>
      <c r="U18" s="8"/>
      <c r="V18" s="8"/>
      <c r="W18" s="8"/>
      <c r="X18" s="8"/>
      <c r="Y18" s="8"/>
      <c r="Z18" s="8"/>
      <c r="AA18" s="8"/>
      <c r="AB18" s="8"/>
      <c r="AC18" s="8"/>
      <c r="AD18" s="8"/>
      <c r="AE18" s="8"/>
      <c r="AF18" s="8"/>
      <c r="AG18" s="8"/>
      <c r="AH18" s="8"/>
      <c r="AI18" s="8"/>
      <c r="AJ18" s="8"/>
      <c r="AK18" s="8"/>
      <c r="AL18" s="8"/>
      <c r="AM18" s="8"/>
      <c r="AN18" s="21"/>
      <c r="AO18" s="21"/>
      <c r="AP18" s="21"/>
      <c r="AQ18" s="8"/>
      <c r="AR18" s="8"/>
      <c r="AS18" s="8"/>
      <c r="AT18" s="8"/>
      <c r="AU18" s="8"/>
      <c r="AV18" s="8"/>
      <c r="AW18" s="8"/>
      <c r="AX18" s="8"/>
      <c r="AY18" s="8"/>
      <c r="AZ18" s="8"/>
      <c r="BA18" s="8"/>
      <c r="BB18" s="8"/>
      <c r="BC18" s="8"/>
      <c r="BD18" s="8"/>
      <c r="BE18" s="8"/>
      <c r="BF18" s="8"/>
      <c r="BG18" s="8"/>
      <c r="BH18" s="8"/>
      <c r="BI18" s="8"/>
      <c r="BJ18" s="8"/>
      <c r="BK18" s="8"/>
      <c r="BL18" s="8"/>
      <c r="BM18" s="8"/>
      <c r="BN18" s="8"/>
      <c r="BO18" s="21"/>
      <c r="BP18" s="21"/>
      <c r="BQ18" s="21"/>
      <c r="BR18" s="21"/>
      <c r="BS18" s="8"/>
      <c r="BT18" s="8"/>
      <c r="BU18" s="8"/>
      <c r="BV18" s="8"/>
      <c r="BW18" s="8"/>
      <c r="BX18" s="8"/>
      <c r="BY18" s="8"/>
      <c r="BZ18" s="18"/>
      <c r="CA18" s="9"/>
      <c r="CC18" s="15"/>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443" t="s">
        <v>144</v>
      </c>
      <c r="EK18" s="444"/>
      <c r="EL18" s="444"/>
      <c r="EM18" s="444"/>
      <c r="EN18" s="444"/>
      <c r="EO18" s="444"/>
      <c r="EP18" s="444"/>
      <c r="EQ18" s="444"/>
      <c r="ER18" s="8"/>
      <c r="ES18" s="8"/>
      <c r="ET18" s="18"/>
    </row>
    <row r="19" spans="3:150" ht="12.6" customHeight="1">
      <c r="C19" s="15"/>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445" t="s">
        <v>75</v>
      </c>
      <c r="BV19" s="445"/>
      <c r="BW19" s="445"/>
      <c r="BX19" s="445"/>
      <c r="BY19" s="8"/>
      <c r="BZ19" s="18"/>
      <c r="CA19" s="9"/>
      <c r="CC19" s="15"/>
      <c r="CD19" s="426" t="s">
        <v>27</v>
      </c>
      <c r="CE19" s="353"/>
      <c r="CF19" s="353"/>
      <c r="CG19" s="353"/>
      <c r="CH19" s="353"/>
      <c r="CI19" s="353"/>
      <c r="CJ19" s="353"/>
      <c r="CK19" s="353"/>
      <c r="CL19" s="353"/>
      <c r="CM19" s="354"/>
      <c r="CN19" s="446" t="s">
        <v>143</v>
      </c>
      <c r="CO19" s="447"/>
      <c r="CP19" s="447"/>
      <c r="CQ19" s="447"/>
      <c r="CR19" s="447"/>
      <c r="CS19" s="447"/>
      <c r="CT19" s="447"/>
      <c r="CU19" s="447"/>
      <c r="CV19" s="447"/>
      <c r="CW19" s="448"/>
      <c r="CX19" s="59"/>
      <c r="CY19" s="59"/>
      <c r="CZ19" s="59"/>
      <c r="DA19" s="59"/>
      <c r="DB19" s="59"/>
      <c r="DC19" s="352" t="s">
        <v>142</v>
      </c>
      <c r="DD19" s="353"/>
      <c r="DE19" s="353"/>
      <c r="DF19" s="353"/>
      <c r="DG19" s="353"/>
      <c r="DH19" s="353"/>
      <c r="DI19" s="353"/>
      <c r="DJ19" s="353"/>
      <c r="DK19" s="353"/>
      <c r="DL19" s="353"/>
      <c r="DM19" s="353"/>
      <c r="DN19" s="353"/>
      <c r="DO19" s="353"/>
      <c r="DP19" s="353"/>
      <c r="DQ19" s="353"/>
      <c r="DR19" s="353"/>
      <c r="DS19" s="452" t="s">
        <v>141</v>
      </c>
      <c r="DT19" s="452"/>
      <c r="DU19" s="452"/>
      <c r="DV19" s="452"/>
      <c r="DW19" s="452"/>
      <c r="DX19" s="452"/>
      <c r="DY19" s="452"/>
      <c r="DZ19" s="452"/>
      <c r="EA19" s="452"/>
      <c r="EB19" s="452"/>
      <c r="EC19" s="452"/>
      <c r="ED19" s="452"/>
      <c r="EE19" s="452"/>
      <c r="EF19" s="452"/>
      <c r="EG19" s="452"/>
      <c r="EH19" s="452"/>
      <c r="EI19" s="59"/>
      <c r="EJ19" s="453" t="s">
        <v>140</v>
      </c>
      <c r="EK19" s="454"/>
      <c r="EL19" s="454"/>
      <c r="EM19" s="454"/>
      <c r="EN19" s="454"/>
      <c r="EO19" s="454"/>
      <c r="EP19" s="454"/>
      <c r="EQ19" s="455"/>
      <c r="ER19" s="8"/>
      <c r="ES19" s="8"/>
      <c r="ET19" s="18"/>
    </row>
    <row r="20" spans="3:150" ht="18.600000000000001" customHeight="1">
      <c r="C20" s="15"/>
      <c r="D20" s="456"/>
      <c r="E20" s="457"/>
      <c r="F20" s="457"/>
      <c r="G20" s="457"/>
      <c r="H20" s="457"/>
      <c r="I20" s="457"/>
      <c r="J20" s="457"/>
      <c r="K20" s="457"/>
      <c r="L20" s="457"/>
      <c r="M20" s="458"/>
      <c r="N20" s="462" t="s">
        <v>139</v>
      </c>
      <c r="O20" s="463"/>
      <c r="P20" s="463"/>
      <c r="Q20" s="463"/>
      <c r="R20" s="446" t="s">
        <v>138</v>
      </c>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3"/>
      <c r="AZ20" s="353"/>
      <c r="BA20" s="353"/>
      <c r="BB20" s="353"/>
      <c r="BC20" s="353"/>
      <c r="BD20" s="353"/>
      <c r="BE20" s="353"/>
      <c r="BF20" s="353"/>
      <c r="BG20" s="353"/>
      <c r="BH20" s="353"/>
      <c r="BI20" s="353"/>
      <c r="BJ20" s="353"/>
      <c r="BK20" s="353"/>
      <c r="BL20" s="353"/>
      <c r="BM20" s="316"/>
      <c r="BN20" s="316"/>
      <c r="BO20" s="316"/>
      <c r="BP20" s="316"/>
      <c r="BQ20" s="316"/>
      <c r="BR20" s="316"/>
      <c r="BS20" s="316"/>
      <c r="BT20" s="317"/>
      <c r="BU20" s="464" t="s">
        <v>101</v>
      </c>
      <c r="BV20" s="464"/>
      <c r="BW20" s="464"/>
      <c r="BX20" s="464"/>
      <c r="BY20" s="15"/>
      <c r="BZ20" s="18"/>
      <c r="CA20" s="9"/>
      <c r="CB20" s="35"/>
      <c r="CC20" s="15"/>
      <c r="CD20" s="355"/>
      <c r="CE20" s="356"/>
      <c r="CF20" s="356"/>
      <c r="CG20" s="356"/>
      <c r="CH20" s="356"/>
      <c r="CI20" s="356"/>
      <c r="CJ20" s="356"/>
      <c r="CK20" s="356"/>
      <c r="CL20" s="356"/>
      <c r="CM20" s="357"/>
      <c r="CN20" s="449"/>
      <c r="CO20" s="450"/>
      <c r="CP20" s="450"/>
      <c r="CQ20" s="450"/>
      <c r="CR20" s="450"/>
      <c r="CS20" s="450"/>
      <c r="CT20" s="450"/>
      <c r="CU20" s="450"/>
      <c r="CV20" s="450"/>
      <c r="CW20" s="451"/>
      <c r="CX20" s="59"/>
      <c r="CY20" s="59"/>
      <c r="CZ20" s="59"/>
      <c r="DA20" s="59"/>
      <c r="DB20" s="59"/>
      <c r="DC20" s="355"/>
      <c r="DD20" s="356"/>
      <c r="DE20" s="356"/>
      <c r="DF20" s="356"/>
      <c r="DG20" s="356"/>
      <c r="DH20" s="356"/>
      <c r="DI20" s="356"/>
      <c r="DJ20" s="356"/>
      <c r="DK20" s="356"/>
      <c r="DL20" s="356"/>
      <c r="DM20" s="356"/>
      <c r="DN20" s="356"/>
      <c r="DO20" s="356"/>
      <c r="DP20" s="356"/>
      <c r="DQ20" s="356"/>
      <c r="DR20" s="356"/>
      <c r="DS20" s="452"/>
      <c r="DT20" s="452"/>
      <c r="DU20" s="452"/>
      <c r="DV20" s="452"/>
      <c r="DW20" s="452"/>
      <c r="DX20" s="452"/>
      <c r="DY20" s="452"/>
      <c r="DZ20" s="452"/>
      <c r="EA20" s="452"/>
      <c r="EB20" s="452"/>
      <c r="EC20" s="452"/>
      <c r="ED20" s="452"/>
      <c r="EE20" s="452"/>
      <c r="EF20" s="452"/>
      <c r="EG20" s="452"/>
      <c r="EH20" s="452"/>
      <c r="EI20" s="59"/>
      <c r="EJ20" s="364" t="s">
        <v>137</v>
      </c>
      <c r="EK20" s="365"/>
      <c r="EL20" s="365"/>
      <c r="EM20" s="366"/>
      <c r="EN20" s="364" t="s">
        <v>136</v>
      </c>
      <c r="EO20" s="365"/>
      <c r="EP20" s="365"/>
      <c r="EQ20" s="366"/>
      <c r="ER20" s="8"/>
      <c r="ES20" s="8"/>
      <c r="ET20" s="18"/>
    </row>
    <row r="21" spans="3:150" ht="18.600000000000001" customHeight="1">
      <c r="C21" s="15"/>
      <c r="D21" s="459"/>
      <c r="E21" s="460"/>
      <c r="F21" s="460"/>
      <c r="G21" s="460"/>
      <c r="H21" s="460"/>
      <c r="I21" s="460"/>
      <c r="J21" s="460"/>
      <c r="K21" s="460"/>
      <c r="L21" s="460"/>
      <c r="M21" s="461"/>
      <c r="N21" s="463"/>
      <c r="O21" s="463"/>
      <c r="P21" s="463"/>
      <c r="Q21" s="463"/>
      <c r="R21" s="355"/>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19"/>
      <c r="BN21" s="319"/>
      <c r="BO21" s="319"/>
      <c r="BP21" s="319"/>
      <c r="BQ21" s="319"/>
      <c r="BR21" s="319"/>
      <c r="BS21" s="319"/>
      <c r="BT21" s="320"/>
      <c r="BU21" s="464"/>
      <c r="BV21" s="464"/>
      <c r="BW21" s="464"/>
      <c r="BX21" s="464"/>
      <c r="BY21" s="15"/>
      <c r="BZ21" s="18"/>
      <c r="CA21" s="9"/>
      <c r="CB21" s="35"/>
      <c r="CC21" s="15"/>
      <c r="CD21" s="426" t="str">
        <f>VLOOKUP($D$11,調査票①!$A$10:$GY$57,187,FALSE)&amp;""</f>
        <v>実施済</v>
      </c>
      <c r="CE21" s="353"/>
      <c r="CF21" s="353"/>
      <c r="CG21" s="353"/>
      <c r="CH21" s="353"/>
      <c r="CI21" s="353"/>
      <c r="CJ21" s="353"/>
      <c r="CK21" s="353"/>
      <c r="CL21" s="353"/>
      <c r="CM21" s="354"/>
      <c r="CN21" s="426" t="str">
        <f>VLOOKUP($D$11,調査票①!$A$10:$GY$58,188,FALSE)&amp;""</f>
        <v>委託予定無し</v>
      </c>
      <c r="CO21" s="353"/>
      <c r="CP21" s="353"/>
      <c r="CQ21" s="353"/>
      <c r="CR21" s="353"/>
      <c r="CS21" s="353"/>
      <c r="CT21" s="353"/>
      <c r="CU21" s="353"/>
      <c r="CV21" s="353"/>
      <c r="CW21" s="354"/>
      <c r="CX21" s="59"/>
      <c r="CY21" s="59"/>
      <c r="CZ21" s="59"/>
      <c r="DA21" s="59"/>
      <c r="DB21" s="59"/>
      <c r="DC21" s="408" t="s">
        <v>135</v>
      </c>
      <c r="DD21" s="409"/>
      <c r="DE21" s="409"/>
      <c r="DF21" s="410"/>
      <c r="DG21" s="408" t="s">
        <v>134</v>
      </c>
      <c r="DH21" s="409"/>
      <c r="DI21" s="409"/>
      <c r="DJ21" s="410"/>
      <c r="DK21" s="441" t="s">
        <v>133</v>
      </c>
      <c r="DL21" s="316"/>
      <c r="DM21" s="316"/>
      <c r="DN21" s="317"/>
      <c r="DO21" s="408" t="s">
        <v>132</v>
      </c>
      <c r="DP21" s="409"/>
      <c r="DQ21" s="409"/>
      <c r="DR21" s="409"/>
      <c r="DS21" s="338" t="s">
        <v>131</v>
      </c>
      <c r="DT21" s="338"/>
      <c r="DU21" s="338"/>
      <c r="DV21" s="338"/>
      <c r="DW21" s="338" t="s">
        <v>130</v>
      </c>
      <c r="DX21" s="338"/>
      <c r="DY21" s="338"/>
      <c r="DZ21" s="338"/>
      <c r="EA21" s="338" t="s">
        <v>129</v>
      </c>
      <c r="EB21" s="338"/>
      <c r="EC21" s="338"/>
      <c r="ED21" s="338"/>
      <c r="EE21" s="338" t="s">
        <v>128</v>
      </c>
      <c r="EF21" s="338"/>
      <c r="EG21" s="338"/>
      <c r="EH21" s="338"/>
      <c r="EI21" s="59"/>
      <c r="EJ21" s="367"/>
      <c r="EK21" s="368"/>
      <c r="EL21" s="368"/>
      <c r="EM21" s="369"/>
      <c r="EN21" s="367"/>
      <c r="EO21" s="368"/>
      <c r="EP21" s="368"/>
      <c r="EQ21" s="369"/>
      <c r="ER21" s="8"/>
      <c r="ES21" s="8"/>
      <c r="ET21" s="18"/>
    </row>
    <row r="22" spans="3:150" ht="18.600000000000001" customHeight="1">
      <c r="C22" s="15"/>
      <c r="D22" s="352" t="s">
        <v>127</v>
      </c>
      <c r="E22" s="353"/>
      <c r="F22" s="353"/>
      <c r="G22" s="353"/>
      <c r="H22" s="353"/>
      <c r="I22" s="353"/>
      <c r="J22" s="353"/>
      <c r="K22" s="353"/>
      <c r="L22" s="353"/>
      <c r="M22" s="354"/>
      <c r="N22" s="306" t="str">
        <f>VLOOKUP($D$11,調査票①!$A$10:$GY$58,4,FALSE)&amp;""</f>
        <v/>
      </c>
      <c r="O22" s="306"/>
      <c r="P22" s="306"/>
      <c r="Q22" s="306"/>
      <c r="R22" s="358" t="str">
        <f>VLOOKUP($D$11,調査票①!$A$10:$GY$58,5,FALSE)&amp;""</f>
        <v>　</v>
      </c>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c r="BK22" s="359"/>
      <c r="BL22" s="359"/>
      <c r="BM22" s="389"/>
      <c r="BN22" s="389"/>
      <c r="BO22" s="389"/>
      <c r="BP22" s="389"/>
      <c r="BQ22" s="389"/>
      <c r="BR22" s="389"/>
      <c r="BS22" s="389"/>
      <c r="BT22" s="390"/>
      <c r="BU22" s="364">
        <f>調査票①!C58</f>
        <v>1</v>
      </c>
      <c r="BV22" s="365"/>
      <c r="BW22" s="365"/>
      <c r="BX22" s="366"/>
      <c r="BY22" s="15"/>
      <c r="BZ22" s="18"/>
      <c r="CA22" s="9"/>
      <c r="CC22" s="15"/>
      <c r="CD22" s="355"/>
      <c r="CE22" s="356"/>
      <c r="CF22" s="356"/>
      <c r="CG22" s="356"/>
      <c r="CH22" s="356"/>
      <c r="CI22" s="356"/>
      <c r="CJ22" s="356"/>
      <c r="CK22" s="356"/>
      <c r="CL22" s="356"/>
      <c r="CM22" s="357"/>
      <c r="CN22" s="355"/>
      <c r="CO22" s="356"/>
      <c r="CP22" s="356"/>
      <c r="CQ22" s="356"/>
      <c r="CR22" s="356"/>
      <c r="CS22" s="356"/>
      <c r="CT22" s="356"/>
      <c r="CU22" s="356"/>
      <c r="CV22" s="356"/>
      <c r="CW22" s="357"/>
      <c r="CX22" s="59"/>
      <c r="CY22" s="59"/>
      <c r="CZ22" s="59"/>
      <c r="DA22" s="59"/>
      <c r="DB22" s="59"/>
      <c r="DC22" s="411"/>
      <c r="DD22" s="412"/>
      <c r="DE22" s="412"/>
      <c r="DF22" s="413"/>
      <c r="DG22" s="411"/>
      <c r="DH22" s="412"/>
      <c r="DI22" s="412"/>
      <c r="DJ22" s="413"/>
      <c r="DK22" s="318"/>
      <c r="DL22" s="319"/>
      <c r="DM22" s="319"/>
      <c r="DN22" s="320"/>
      <c r="DO22" s="411"/>
      <c r="DP22" s="412"/>
      <c r="DQ22" s="412"/>
      <c r="DR22" s="412"/>
      <c r="DS22" s="338"/>
      <c r="DT22" s="338"/>
      <c r="DU22" s="338"/>
      <c r="DV22" s="338"/>
      <c r="DW22" s="338"/>
      <c r="DX22" s="338"/>
      <c r="DY22" s="338"/>
      <c r="DZ22" s="338"/>
      <c r="EA22" s="338"/>
      <c r="EB22" s="338"/>
      <c r="EC22" s="338"/>
      <c r="ED22" s="338"/>
      <c r="EE22" s="338"/>
      <c r="EF22" s="338"/>
      <c r="EG22" s="338"/>
      <c r="EH22" s="338"/>
      <c r="EI22" s="59"/>
      <c r="EJ22" s="364">
        <f>調査票①!GE58</f>
        <v>1</v>
      </c>
      <c r="EK22" s="365"/>
      <c r="EL22" s="365"/>
      <c r="EM22" s="366"/>
      <c r="EN22" s="364">
        <f>調査票①!GF58</f>
        <v>0.78723404255319152</v>
      </c>
      <c r="EO22" s="365"/>
      <c r="EP22" s="365"/>
      <c r="EQ22" s="366"/>
      <c r="ER22" s="8"/>
      <c r="ES22" s="8"/>
      <c r="ET22" s="18"/>
    </row>
    <row r="23" spans="3:150" ht="18.600000000000001" customHeight="1">
      <c r="C23" s="15"/>
      <c r="D23" s="355"/>
      <c r="E23" s="356"/>
      <c r="F23" s="356"/>
      <c r="G23" s="356"/>
      <c r="H23" s="356"/>
      <c r="I23" s="356"/>
      <c r="J23" s="356"/>
      <c r="K23" s="356"/>
      <c r="L23" s="356"/>
      <c r="M23" s="357"/>
      <c r="N23" s="306"/>
      <c r="O23" s="306"/>
      <c r="P23" s="306"/>
      <c r="Q23" s="306"/>
      <c r="R23" s="361"/>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91"/>
      <c r="BN23" s="391"/>
      <c r="BO23" s="391"/>
      <c r="BP23" s="391"/>
      <c r="BQ23" s="391"/>
      <c r="BR23" s="391"/>
      <c r="BS23" s="391"/>
      <c r="BT23" s="392"/>
      <c r="BU23" s="367"/>
      <c r="BV23" s="368"/>
      <c r="BW23" s="368"/>
      <c r="BX23" s="369"/>
      <c r="BY23" s="15"/>
      <c r="BZ23" s="18"/>
      <c r="CA23" s="9"/>
      <c r="CC23" s="15"/>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426" t="str">
        <f>VLOOKUP($D$11,調査票①!$A$10:$GY$58,189,FALSE)&amp;""</f>
        <v>○</v>
      </c>
      <c r="DD23" s="353"/>
      <c r="DE23" s="353"/>
      <c r="DF23" s="354"/>
      <c r="DG23" s="426" t="str">
        <f>VLOOKUP($D$11,調査票①!$A$10:$GY$58,190,FALSE)&amp;""</f>
        <v>○</v>
      </c>
      <c r="DH23" s="353"/>
      <c r="DI23" s="353"/>
      <c r="DJ23" s="354"/>
      <c r="DK23" s="426" t="str">
        <f>VLOOKUP($D$11,調査票①!$A$10:$GY$58,191,FALSE)&amp;""</f>
        <v>○</v>
      </c>
      <c r="DL23" s="353"/>
      <c r="DM23" s="353"/>
      <c r="DN23" s="354"/>
      <c r="DO23" s="426" t="str">
        <f>VLOOKUP($D$11,調査票①!$A$10:$GY$58,192,FALSE)&amp;""</f>
        <v>○</v>
      </c>
      <c r="DP23" s="353"/>
      <c r="DQ23" s="353"/>
      <c r="DR23" s="354"/>
      <c r="DS23" s="426" t="str">
        <f>VLOOKUP($D$11,調査票①!$A$10:$GY$58,194,FALSE)&amp;""</f>
        <v>○</v>
      </c>
      <c r="DT23" s="353"/>
      <c r="DU23" s="353"/>
      <c r="DV23" s="354"/>
      <c r="DW23" s="426" t="str">
        <f>VLOOKUP($D$11,調査票①!$A$10:$GY$58,195,FALSE)&amp;""</f>
        <v>○</v>
      </c>
      <c r="DX23" s="353"/>
      <c r="DY23" s="353"/>
      <c r="DZ23" s="354"/>
      <c r="EA23" s="426" t="str">
        <f>VLOOKUP($D$11,調査票①!$A$10:$GY$58,196,FALSE)&amp;""</f>
        <v>○</v>
      </c>
      <c r="EB23" s="353"/>
      <c r="EC23" s="353"/>
      <c r="ED23" s="354"/>
      <c r="EE23" s="426" t="str">
        <f>VLOOKUP($D$11,調査票①!$A$10:$GY$58,197,FALSE)&amp;""</f>
        <v>○</v>
      </c>
      <c r="EF23" s="353"/>
      <c r="EG23" s="353"/>
      <c r="EH23" s="354"/>
      <c r="EI23" s="59"/>
      <c r="EJ23" s="367"/>
      <c r="EK23" s="368"/>
      <c r="EL23" s="368"/>
      <c r="EM23" s="369"/>
      <c r="EN23" s="367"/>
      <c r="EO23" s="368"/>
      <c r="EP23" s="368"/>
      <c r="EQ23" s="369"/>
      <c r="ER23" s="8"/>
      <c r="ES23" s="8"/>
      <c r="ET23" s="18"/>
    </row>
    <row r="24" spans="3:150" ht="18.600000000000001" customHeight="1">
      <c r="C24" s="15"/>
      <c r="D24" s="352" t="s">
        <v>126</v>
      </c>
      <c r="E24" s="353"/>
      <c r="F24" s="353"/>
      <c r="G24" s="353"/>
      <c r="H24" s="353"/>
      <c r="I24" s="353"/>
      <c r="J24" s="353"/>
      <c r="K24" s="353"/>
      <c r="L24" s="353"/>
      <c r="M24" s="354"/>
      <c r="N24" s="306" t="str">
        <f>VLOOKUP($D$11,調査票①!$A$10:$GY$58,7,FALSE)&amp;""</f>
        <v>　</v>
      </c>
      <c r="O24" s="306"/>
      <c r="P24" s="306"/>
      <c r="Q24" s="306"/>
      <c r="R24" s="358" t="str">
        <f>VLOOKUP($D$11,調査票①!$A$10:$GY$58,8,FALSE)&amp;""</f>
        <v>　</v>
      </c>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359"/>
      <c r="BK24" s="359"/>
      <c r="BL24" s="359"/>
      <c r="BM24" s="389"/>
      <c r="BN24" s="389"/>
      <c r="BO24" s="389"/>
      <c r="BP24" s="389"/>
      <c r="BQ24" s="389"/>
      <c r="BR24" s="389"/>
      <c r="BS24" s="389"/>
      <c r="BT24" s="390"/>
      <c r="BU24" s="364">
        <f>調査票①!F58</f>
        <v>1</v>
      </c>
      <c r="BV24" s="365"/>
      <c r="BW24" s="365"/>
      <c r="BX24" s="366"/>
      <c r="BY24" s="15"/>
      <c r="BZ24" s="18"/>
      <c r="CA24" s="9"/>
      <c r="CC24" s="15"/>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355"/>
      <c r="DD24" s="356"/>
      <c r="DE24" s="356"/>
      <c r="DF24" s="357"/>
      <c r="DG24" s="355"/>
      <c r="DH24" s="356"/>
      <c r="DI24" s="356"/>
      <c r="DJ24" s="357"/>
      <c r="DK24" s="355"/>
      <c r="DL24" s="356"/>
      <c r="DM24" s="356"/>
      <c r="DN24" s="357"/>
      <c r="DO24" s="355"/>
      <c r="DP24" s="356"/>
      <c r="DQ24" s="356"/>
      <c r="DR24" s="357"/>
      <c r="DS24" s="355"/>
      <c r="DT24" s="356"/>
      <c r="DU24" s="356"/>
      <c r="DV24" s="357"/>
      <c r="DW24" s="355"/>
      <c r="DX24" s="356"/>
      <c r="DY24" s="356"/>
      <c r="DZ24" s="357"/>
      <c r="EA24" s="355"/>
      <c r="EB24" s="356"/>
      <c r="EC24" s="356"/>
      <c r="ED24" s="357"/>
      <c r="EE24" s="355"/>
      <c r="EF24" s="356"/>
      <c r="EG24" s="356"/>
      <c r="EH24" s="357"/>
      <c r="EI24" s="59"/>
      <c r="EJ24" s="59"/>
      <c r="EK24" s="59"/>
      <c r="EL24" s="59"/>
      <c r="EM24" s="59"/>
      <c r="EN24" s="59"/>
      <c r="EO24" s="59"/>
      <c r="EP24" s="59"/>
      <c r="EQ24" s="59"/>
      <c r="ER24" s="8"/>
      <c r="ES24" s="8"/>
      <c r="ET24" s="18"/>
    </row>
    <row r="25" spans="3:150" ht="18.600000000000001" customHeight="1">
      <c r="C25" s="15"/>
      <c r="D25" s="355"/>
      <c r="E25" s="356"/>
      <c r="F25" s="356"/>
      <c r="G25" s="356"/>
      <c r="H25" s="356"/>
      <c r="I25" s="356"/>
      <c r="J25" s="356"/>
      <c r="K25" s="356"/>
      <c r="L25" s="356"/>
      <c r="M25" s="357"/>
      <c r="N25" s="306"/>
      <c r="O25" s="306"/>
      <c r="P25" s="306"/>
      <c r="Q25" s="306"/>
      <c r="R25" s="361"/>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91"/>
      <c r="BN25" s="391"/>
      <c r="BO25" s="391"/>
      <c r="BP25" s="391"/>
      <c r="BQ25" s="391"/>
      <c r="BR25" s="391"/>
      <c r="BS25" s="391"/>
      <c r="BT25" s="392"/>
      <c r="BU25" s="367"/>
      <c r="BV25" s="368"/>
      <c r="BW25" s="368"/>
      <c r="BX25" s="369"/>
      <c r="BY25" s="15"/>
      <c r="BZ25" s="18"/>
      <c r="CA25" s="9"/>
      <c r="CB25" s="7"/>
      <c r="CC25" s="15"/>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8"/>
      <c r="ES25" s="8"/>
      <c r="ET25" s="18"/>
    </row>
    <row r="26" spans="3:150" ht="18.600000000000001" customHeight="1">
      <c r="C26" s="15"/>
      <c r="D26" s="352" t="s">
        <v>125</v>
      </c>
      <c r="E26" s="353"/>
      <c r="F26" s="353"/>
      <c r="G26" s="353"/>
      <c r="H26" s="353"/>
      <c r="I26" s="353"/>
      <c r="J26" s="353"/>
      <c r="K26" s="353"/>
      <c r="L26" s="353"/>
      <c r="M26" s="354"/>
      <c r="N26" s="306" t="str">
        <f>VLOOKUP($D$11,調査票①!$A$10:$GY$58,10,FALSE)&amp;""</f>
        <v>　</v>
      </c>
      <c r="O26" s="306"/>
      <c r="P26" s="306"/>
      <c r="Q26" s="306"/>
      <c r="R26" s="358" t="str">
        <f>VLOOKUP($D$11,調査票①!$A$10:$GY$58,11,FALSE)&amp;""</f>
        <v>　</v>
      </c>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359"/>
      <c r="BF26" s="359"/>
      <c r="BG26" s="359"/>
      <c r="BH26" s="359"/>
      <c r="BI26" s="359"/>
      <c r="BJ26" s="359"/>
      <c r="BK26" s="359"/>
      <c r="BL26" s="359"/>
      <c r="BM26" s="389"/>
      <c r="BN26" s="389"/>
      <c r="BO26" s="389"/>
      <c r="BP26" s="389"/>
      <c r="BQ26" s="389"/>
      <c r="BR26" s="389"/>
      <c r="BS26" s="389"/>
      <c r="BT26" s="390"/>
      <c r="BU26" s="364">
        <f>調査票①!I58</f>
        <v>1</v>
      </c>
      <c r="BV26" s="365"/>
      <c r="BW26" s="365"/>
      <c r="BX26" s="366"/>
      <c r="BY26" s="15"/>
      <c r="BZ26" s="18"/>
      <c r="CA26" s="9"/>
      <c r="CC26" s="15"/>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8"/>
      <c r="ES26" s="8"/>
      <c r="ET26" s="18"/>
    </row>
    <row r="27" spans="3:150" ht="18.600000000000001" customHeight="1">
      <c r="C27" s="15"/>
      <c r="D27" s="355"/>
      <c r="E27" s="356"/>
      <c r="F27" s="356"/>
      <c r="G27" s="356"/>
      <c r="H27" s="356"/>
      <c r="I27" s="356"/>
      <c r="J27" s="356"/>
      <c r="K27" s="356"/>
      <c r="L27" s="356"/>
      <c r="M27" s="357"/>
      <c r="N27" s="306"/>
      <c r="O27" s="306"/>
      <c r="P27" s="306"/>
      <c r="Q27" s="306"/>
      <c r="R27" s="361"/>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91"/>
      <c r="BN27" s="391"/>
      <c r="BO27" s="391"/>
      <c r="BP27" s="391"/>
      <c r="BQ27" s="391"/>
      <c r="BR27" s="391"/>
      <c r="BS27" s="391"/>
      <c r="BT27" s="392"/>
      <c r="BU27" s="367"/>
      <c r="BV27" s="368"/>
      <c r="BW27" s="368"/>
      <c r="BX27" s="369"/>
      <c r="BY27" s="15"/>
      <c r="BZ27" s="18"/>
      <c r="CA27" s="9"/>
      <c r="CC27" s="15"/>
      <c r="CD27" s="59"/>
      <c r="CE27" s="59"/>
      <c r="CF27" s="59"/>
      <c r="CG27" s="59"/>
      <c r="CH27" s="59"/>
      <c r="CI27" s="59"/>
      <c r="CJ27" s="59"/>
      <c r="CK27" s="59"/>
      <c r="CL27" s="59"/>
      <c r="CM27" s="59"/>
      <c r="CN27" s="59"/>
      <c r="CO27" s="59"/>
      <c r="CP27" s="59"/>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59"/>
      <c r="EN27" s="59"/>
      <c r="EO27" s="59"/>
      <c r="EP27" s="59"/>
      <c r="EQ27" s="59"/>
      <c r="ER27" s="8"/>
      <c r="ES27" s="8"/>
      <c r="ET27" s="18"/>
    </row>
    <row r="28" spans="3:150" ht="18.600000000000001" customHeight="1">
      <c r="C28" s="15"/>
      <c r="D28" s="352" t="s">
        <v>123</v>
      </c>
      <c r="E28" s="353"/>
      <c r="F28" s="353"/>
      <c r="G28" s="353"/>
      <c r="H28" s="353"/>
      <c r="I28" s="353"/>
      <c r="J28" s="353"/>
      <c r="K28" s="353"/>
      <c r="L28" s="353"/>
      <c r="M28" s="354"/>
      <c r="N28" s="306" t="str">
        <f>VLOOKUP($D$11,調査票①!$A$10:$GY$58,13,FALSE)&amp;""</f>
        <v>　</v>
      </c>
      <c r="O28" s="306"/>
      <c r="P28" s="306"/>
      <c r="Q28" s="306"/>
      <c r="R28" s="358" t="str">
        <f>VLOOKUP($D$11,調査票①!$A$10:$GY$58,14,FALSE)&amp;""</f>
        <v>　</v>
      </c>
      <c r="S28" s="359"/>
      <c r="T28" s="359"/>
      <c r="U28" s="359"/>
      <c r="V28" s="359"/>
      <c r="W28" s="359"/>
      <c r="X28" s="359"/>
      <c r="Y28" s="359"/>
      <c r="Z28" s="359"/>
      <c r="AA28" s="359"/>
      <c r="AB28" s="359"/>
      <c r="AC28" s="359"/>
      <c r="AD28" s="359"/>
      <c r="AE28" s="359"/>
      <c r="AF28" s="359"/>
      <c r="AG28" s="359"/>
      <c r="AH28" s="359"/>
      <c r="AI28" s="359"/>
      <c r="AJ28" s="359"/>
      <c r="AK28" s="359"/>
      <c r="AL28" s="359"/>
      <c r="AM28" s="359"/>
      <c r="AN28" s="359"/>
      <c r="AO28" s="359"/>
      <c r="AP28" s="359"/>
      <c r="AQ28" s="359"/>
      <c r="AR28" s="359"/>
      <c r="AS28" s="359"/>
      <c r="AT28" s="359"/>
      <c r="AU28" s="359"/>
      <c r="AV28" s="359"/>
      <c r="AW28" s="359"/>
      <c r="AX28" s="359"/>
      <c r="AY28" s="359"/>
      <c r="AZ28" s="359"/>
      <c r="BA28" s="359"/>
      <c r="BB28" s="359"/>
      <c r="BC28" s="359"/>
      <c r="BD28" s="359"/>
      <c r="BE28" s="359"/>
      <c r="BF28" s="359"/>
      <c r="BG28" s="359"/>
      <c r="BH28" s="359"/>
      <c r="BI28" s="359"/>
      <c r="BJ28" s="359"/>
      <c r="BK28" s="359"/>
      <c r="BL28" s="359"/>
      <c r="BM28" s="389"/>
      <c r="BN28" s="389"/>
      <c r="BO28" s="389"/>
      <c r="BP28" s="389"/>
      <c r="BQ28" s="389"/>
      <c r="BR28" s="389"/>
      <c r="BS28" s="389"/>
      <c r="BT28" s="390"/>
      <c r="BU28" s="364">
        <f>調査票①!L58</f>
        <v>0.9285714285714286</v>
      </c>
      <c r="BV28" s="365"/>
      <c r="BW28" s="365"/>
      <c r="BX28" s="366"/>
      <c r="BY28" s="15"/>
      <c r="BZ28" s="18"/>
      <c r="CA28" s="9"/>
      <c r="CC28" s="15"/>
      <c r="CD28" s="59"/>
      <c r="CE28" s="59"/>
      <c r="CF28" s="59"/>
      <c r="CG28" s="59"/>
      <c r="CH28" s="59"/>
      <c r="CI28" s="59"/>
      <c r="CJ28" s="59"/>
      <c r="CK28" s="59"/>
      <c r="CL28" s="59"/>
      <c r="CM28" s="59"/>
      <c r="CN28" s="442" t="s">
        <v>124</v>
      </c>
      <c r="CO28" s="442"/>
      <c r="CP28" s="442"/>
      <c r="CQ28" s="442"/>
      <c r="CR28" s="442"/>
      <c r="CS28" s="442"/>
      <c r="CT28" s="442"/>
      <c r="CU28" s="442"/>
      <c r="CV28" s="442"/>
      <c r="CW28" s="442"/>
      <c r="CX28" s="442"/>
      <c r="CY28" s="442"/>
      <c r="CZ28" s="442"/>
      <c r="DA28" s="442"/>
      <c r="DB28" s="442"/>
      <c r="DC28" s="442"/>
      <c r="DD28" s="442"/>
      <c r="DE28" s="442"/>
      <c r="DF28" s="442"/>
      <c r="DG28" s="442"/>
      <c r="DH28" s="442"/>
      <c r="DI28" s="442"/>
      <c r="DJ28" s="442"/>
      <c r="DK28" s="442"/>
      <c r="DL28" s="442"/>
      <c r="DM28" s="442"/>
      <c r="DN28" s="442"/>
      <c r="DO28" s="442"/>
      <c r="DP28" s="442"/>
      <c r="DQ28" s="442"/>
      <c r="DR28" s="442"/>
      <c r="DS28" s="442"/>
      <c r="DT28" s="442"/>
      <c r="DU28" s="442"/>
      <c r="DV28" s="442"/>
      <c r="DW28" s="442"/>
      <c r="DX28" s="442"/>
      <c r="DY28" s="442"/>
      <c r="DZ28" s="442"/>
      <c r="EA28" s="442"/>
      <c r="EB28" s="442"/>
      <c r="EC28" s="442"/>
      <c r="ED28" s="442"/>
      <c r="EE28" s="442"/>
      <c r="EF28" s="442"/>
      <c r="EG28" s="442"/>
      <c r="EH28" s="442"/>
      <c r="EI28" s="442"/>
      <c r="EJ28" s="442"/>
      <c r="EK28" s="442"/>
      <c r="EL28" s="442"/>
      <c r="EM28" s="442"/>
      <c r="EN28" s="442"/>
      <c r="EO28" s="442"/>
      <c r="EP28" s="442"/>
      <c r="EQ28" s="442"/>
      <c r="ER28" s="8"/>
      <c r="ES28" s="8"/>
      <c r="ET28" s="18"/>
    </row>
    <row r="29" spans="3:150" ht="18.600000000000001" customHeight="1">
      <c r="C29" s="15"/>
      <c r="D29" s="355"/>
      <c r="E29" s="356"/>
      <c r="F29" s="356"/>
      <c r="G29" s="356"/>
      <c r="H29" s="356"/>
      <c r="I29" s="356"/>
      <c r="J29" s="356"/>
      <c r="K29" s="356"/>
      <c r="L29" s="356"/>
      <c r="M29" s="357"/>
      <c r="N29" s="306"/>
      <c r="O29" s="306"/>
      <c r="P29" s="306"/>
      <c r="Q29" s="306"/>
      <c r="R29" s="361"/>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91"/>
      <c r="BN29" s="391"/>
      <c r="BO29" s="391"/>
      <c r="BP29" s="391"/>
      <c r="BQ29" s="391"/>
      <c r="BR29" s="391"/>
      <c r="BS29" s="391"/>
      <c r="BT29" s="392"/>
      <c r="BU29" s="367"/>
      <c r="BV29" s="368"/>
      <c r="BW29" s="368"/>
      <c r="BX29" s="369"/>
      <c r="BY29" s="15"/>
      <c r="BZ29" s="18"/>
      <c r="CA29" s="9"/>
      <c r="CC29" s="15"/>
      <c r="CD29" s="59"/>
      <c r="CE29" s="59"/>
      <c r="CF29" s="59"/>
      <c r="CG29" s="59"/>
      <c r="CH29" s="59"/>
      <c r="CI29" s="59"/>
      <c r="CJ29" s="59"/>
      <c r="CK29" s="59"/>
      <c r="CL29" s="59"/>
      <c r="CM29" s="59"/>
      <c r="CN29" s="442"/>
      <c r="CO29" s="442"/>
      <c r="CP29" s="442"/>
      <c r="CQ29" s="442"/>
      <c r="CR29" s="442"/>
      <c r="CS29" s="442"/>
      <c r="CT29" s="442"/>
      <c r="CU29" s="442"/>
      <c r="CV29" s="442"/>
      <c r="CW29" s="442"/>
      <c r="CX29" s="442"/>
      <c r="CY29" s="442"/>
      <c r="CZ29" s="442"/>
      <c r="DA29" s="442"/>
      <c r="DB29" s="442"/>
      <c r="DC29" s="442"/>
      <c r="DD29" s="442"/>
      <c r="DE29" s="442"/>
      <c r="DF29" s="442"/>
      <c r="DG29" s="442"/>
      <c r="DH29" s="442"/>
      <c r="DI29" s="442"/>
      <c r="DJ29" s="442"/>
      <c r="DK29" s="442"/>
      <c r="DL29" s="442"/>
      <c r="DM29" s="442"/>
      <c r="DN29" s="442"/>
      <c r="DO29" s="442"/>
      <c r="DP29" s="442"/>
      <c r="DQ29" s="442"/>
      <c r="DR29" s="442"/>
      <c r="DS29" s="442"/>
      <c r="DT29" s="442"/>
      <c r="DU29" s="442"/>
      <c r="DV29" s="442"/>
      <c r="DW29" s="442"/>
      <c r="DX29" s="442"/>
      <c r="DY29" s="442"/>
      <c r="DZ29" s="442"/>
      <c r="EA29" s="442"/>
      <c r="EB29" s="442"/>
      <c r="EC29" s="442"/>
      <c r="ED29" s="442"/>
      <c r="EE29" s="442"/>
      <c r="EF29" s="442"/>
      <c r="EG29" s="442"/>
      <c r="EH29" s="442"/>
      <c r="EI29" s="442"/>
      <c r="EJ29" s="442"/>
      <c r="EK29" s="442"/>
      <c r="EL29" s="442"/>
      <c r="EM29" s="442"/>
      <c r="EN29" s="442"/>
      <c r="EO29" s="442"/>
      <c r="EP29" s="442"/>
      <c r="EQ29" s="442"/>
      <c r="ER29" s="8"/>
      <c r="ES29" s="8"/>
      <c r="ET29" s="18"/>
    </row>
    <row r="30" spans="3:150" ht="18.600000000000001" customHeight="1">
      <c r="C30" s="15"/>
      <c r="D30" s="352" t="s">
        <v>122</v>
      </c>
      <c r="E30" s="353"/>
      <c r="F30" s="353"/>
      <c r="G30" s="353"/>
      <c r="H30" s="353"/>
      <c r="I30" s="353"/>
      <c r="J30" s="353"/>
      <c r="K30" s="353"/>
      <c r="L30" s="353"/>
      <c r="M30" s="354"/>
      <c r="N30" s="306" t="str">
        <f>VLOOKUP($D$11,調査票①!$A$10:$GY$58,16,FALSE)&amp;""</f>
        <v>　</v>
      </c>
      <c r="O30" s="306"/>
      <c r="P30" s="306"/>
      <c r="Q30" s="306"/>
      <c r="R30" s="358" t="str">
        <f>VLOOKUP($D$11,調査票①!$A$10:$GY$58,17,FALSE)&amp;""</f>
        <v>　</v>
      </c>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359"/>
      <c r="AR30" s="359"/>
      <c r="AS30" s="359"/>
      <c r="AT30" s="359"/>
      <c r="AU30" s="359"/>
      <c r="AV30" s="359"/>
      <c r="AW30" s="359"/>
      <c r="AX30" s="359"/>
      <c r="AY30" s="359"/>
      <c r="AZ30" s="359"/>
      <c r="BA30" s="359"/>
      <c r="BB30" s="359"/>
      <c r="BC30" s="359"/>
      <c r="BD30" s="359"/>
      <c r="BE30" s="359"/>
      <c r="BF30" s="359"/>
      <c r="BG30" s="359"/>
      <c r="BH30" s="359"/>
      <c r="BI30" s="359"/>
      <c r="BJ30" s="359"/>
      <c r="BK30" s="359"/>
      <c r="BL30" s="359"/>
      <c r="BM30" s="389"/>
      <c r="BN30" s="389"/>
      <c r="BO30" s="389"/>
      <c r="BP30" s="389"/>
      <c r="BQ30" s="389"/>
      <c r="BR30" s="389"/>
      <c r="BS30" s="389"/>
      <c r="BT30" s="390"/>
      <c r="BU30" s="364">
        <f>調査票①!O58</f>
        <v>0.91304347826086951</v>
      </c>
      <c r="BV30" s="365"/>
      <c r="BW30" s="365"/>
      <c r="BX30" s="366"/>
      <c r="BY30" s="15"/>
      <c r="BZ30" s="18"/>
      <c r="CA30" s="9"/>
      <c r="CC30" s="15"/>
      <c r="CD30" s="59"/>
      <c r="CE30" s="59"/>
      <c r="CF30" s="59"/>
      <c r="CG30" s="59"/>
      <c r="CH30" s="59"/>
      <c r="CI30" s="59"/>
      <c r="CJ30" s="59"/>
      <c r="CK30" s="59"/>
      <c r="CL30" s="59"/>
      <c r="CM30" s="59"/>
      <c r="CN30" s="405" t="str">
        <f>VLOOKUP($D$11,調査票①!$A$10:$GY$58,193,FALSE)&amp;""</f>
        <v>　</v>
      </c>
      <c r="CO30" s="405"/>
      <c r="CP30" s="405"/>
      <c r="CQ30" s="405"/>
      <c r="CR30" s="405"/>
      <c r="CS30" s="405"/>
      <c r="CT30" s="405"/>
      <c r="CU30" s="405"/>
      <c r="CV30" s="405"/>
      <c r="CW30" s="405"/>
      <c r="CX30" s="405"/>
      <c r="CY30" s="405"/>
      <c r="CZ30" s="405"/>
      <c r="DA30" s="405"/>
      <c r="DB30" s="405"/>
      <c r="DC30" s="405"/>
      <c r="DD30" s="405"/>
      <c r="DE30" s="405"/>
      <c r="DF30" s="405"/>
      <c r="DG30" s="405"/>
      <c r="DH30" s="405"/>
      <c r="DI30" s="405"/>
      <c r="DJ30" s="405"/>
      <c r="DK30" s="405"/>
      <c r="DL30" s="405"/>
      <c r="DM30" s="405"/>
      <c r="DN30" s="405"/>
      <c r="DO30" s="405"/>
      <c r="DP30" s="405"/>
      <c r="DQ30" s="405"/>
      <c r="DR30" s="405"/>
      <c r="DS30" s="405"/>
      <c r="DT30" s="405"/>
      <c r="DU30" s="405"/>
      <c r="DV30" s="405"/>
      <c r="DW30" s="405"/>
      <c r="DX30" s="405"/>
      <c r="DY30" s="405"/>
      <c r="DZ30" s="405"/>
      <c r="EA30" s="405"/>
      <c r="EB30" s="405"/>
      <c r="EC30" s="405"/>
      <c r="ED30" s="405"/>
      <c r="EE30" s="405"/>
      <c r="EF30" s="405"/>
      <c r="EG30" s="405"/>
      <c r="EH30" s="405"/>
      <c r="EI30" s="405"/>
      <c r="EJ30" s="405"/>
      <c r="EK30" s="405"/>
      <c r="EL30" s="405"/>
      <c r="EM30" s="405"/>
      <c r="EN30" s="405"/>
      <c r="EO30" s="405"/>
      <c r="EP30" s="405"/>
      <c r="EQ30" s="405"/>
      <c r="ER30" s="8"/>
      <c r="ES30" s="8"/>
      <c r="ET30" s="18"/>
    </row>
    <row r="31" spans="3:150" ht="18.600000000000001" customHeight="1">
      <c r="C31" s="15"/>
      <c r="D31" s="355"/>
      <c r="E31" s="356"/>
      <c r="F31" s="356"/>
      <c r="G31" s="356"/>
      <c r="H31" s="356"/>
      <c r="I31" s="356"/>
      <c r="J31" s="356"/>
      <c r="K31" s="356"/>
      <c r="L31" s="356"/>
      <c r="M31" s="357"/>
      <c r="N31" s="306"/>
      <c r="O31" s="306"/>
      <c r="P31" s="306"/>
      <c r="Q31" s="306"/>
      <c r="R31" s="361"/>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91"/>
      <c r="BN31" s="391"/>
      <c r="BO31" s="391"/>
      <c r="BP31" s="391"/>
      <c r="BQ31" s="391"/>
      <c r="BR31" s="391"/>
      <c r="BS31" s="391"/>
      <c r="BT31" s="392"/>
      <c r="BU31" s="367"/>
      <c r="BV31" s="368"/>
      <c r="BW31" s="368"/>
      <c r="BX31" s="369"/>
      <c r="BY31" s="15"/>
      <c r="BZ31" s="18"/>
      <c r="CA31" s="9"/>
      <c r="CC31" s="15"/>
      <c r="CD31" s="59"/>
      <c r="CE31" s="59"/>
      <c r="CF31" s="59"/>
      <c r="CG31" s="59"/>
      <c r="CH31" s="59"/>
      <c r="CI31" s="59"/>
      <c r="CJ31" s="59"/>
      <c r="CK31" s="59"/>
      <c r="CL31" s="59"/>
      <c r="CM31" s="59"/>
      <c r="CN31" s="405"/>
      <c r="CO31" s="405"/>
      <c r="CP31" s="405"/>
      <c r="CQ31" s="405"/>
      <c r="CR31" s="405"/>
      <c r="CS31" s="405"/>
      <c r="CT31" s="405"/>
      <c r="CU31" s="405"/>
      <c r="CV31" s="405"/>
      <c r="CW31" s="405"/>
      <c r="CX31" s="405"/>
      <c r="CY31" s="405"/>
      <c r="CZ31" s="405"/>
      <c r="DA31" s="405"/>
      <c r="DB31" s="405"/>
      <c r="DC31" s="405"/>
      <c r="DD31" s="405"/>
      <c r="DE31" s="405"/>
      <c r="DF31" s="405"/>
      <c r="DG31" s="405"/>
      <c r="DH31" s="405"/>
      <c r="DI31" s="405"/>
      <c r="DJ31" s="405"/>
      <c r="DK31" s="405"/>
      <c r="DL31" s="405"/>
      <c r="DM31" s="405"/>
      <c r="DN31" s="405"/>
      <c r="DO31" s="405"/>
      <c r="DP31" s="405"/>
      <c r="DQ31" s="405"/>
      <c r="DR31" s="405"/>
      <c r="DS31" s="405"/>
      <c r="DT31" s="405"/>
      <c r="DU31" s="405"/>
      <c r="DV31" s="405"/>
      <c r="DW31" s="405"/>
      <c r="DX31" s="405"/>
      <c r="DY31" s="405"/>
      <c r="DZ31" s="405"/>
      <c r="EA31" s="405"/>
      <c r="EB31" s="405"/>
      <c r="EC31" s="405"/>
      <c r="ED31" s="405"/>
      <c r="EE31" s="405"/>
      <c r="EF31" s="405"/>
      <c r="EG31" s="405"/>
      <c r="EH31" s="405"/>
      <c r="EI31" s="405"/>
      <c r="EJ31" s="405"/>
      <c r="EK31" s="405"/>
      <c r="EL31" s="405"/>
      <c r="EM31" s="405"/>
      <c r="EN31" s="405"/>
      <c r="EO31" s="405"/>
      <c r="EP31" s="405"/>
      <c r="EQ31" s="405"/>
      <c r="ER31" s="8"/>
      <c r="ES31" s="8"/>
      <c r="ET31" s="18"/>
    </row>
    <row r="32" spans="3:150" ht="18.600000000000001" customHeight="1">
      <c r="C32" s="15"/>
      <c r="D32" s="393" t="s">
        <v>121</v>
      </c>
      <c r="E32" s="394"/>
      <c r="F32" s="394"/>
      <c r="G32" s="394"/>
      <c r="H32" s="394"/>
      <c r="I32" s="394"/>
      <c r="J32" s="394"/>
      <c r="K32" s="394"/>
      <c r="L32" s="394"/>
      <c r="M32" s="395"/>
      <c r="N32" s="306" t="str">
        <f>VLOOKUP($D$11,調査票①!$A$10:$GY$58,19,FALSE)&amp;""</f>
        <v>　</v>
      </c>
      <c r="O32" s="306"/>
      <c r="P32" s="306"/>
      <c r="Q32" s="306"/>
      <c r="R32" s="332" t="str">
        <f>VLOOKUP($D$11,調査票①!$A$10:$GY$58,20,FALSE)&amp;""</f>
        <v>　</v>
      </c>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99"/>
      <c r="BN32" s="399"/>
      <c r="BO32" s="399"/>
      <c r="BP32" s="399"/>
      <c r="BQ32" s="399"/>
      <c r="BR32" s="399"/>
      <c r="BS32" s="399"/>
      <c r="BT32" s="400"/>
      <c r="BU32" s="364">
        <f>調査票①!R58</f>
        <v>0.97826086956521741</v>
      </c>
      <c r="BV32" s="365"/>
      <c r="BW32" s="365"/>
      <c r="BX32" s="366"/>
      <c r="BY32" s="15"/>
      <c r="BZ32" s="18"/>
      <c r="CA32" s="9"/>
      <c r="CC32" s="15"/>
      <c r="CD32" s="59"/>
      <c r="CE32" s="59"/>
      <c r="CF32" s="59"/>
      <c r="CG32" s="59"/>
      <c r="CH32" s="59"/>
      <c r="CI32" s="59"/>
      <c r="CJ32" s="59"/>
      <c r="CK32" s="59"/>
      <c r="CL32" s="59"/>
      <c r="CM32" s="59"/>
      <c r="CN32" s="405"/>
      <c r="CO32" s="405"/>
      <c r="CP32" s="405"/>
      <c r="CQ32" s="405"/>
      <c r="CR32" s="405"/>
      <c r="CS32" s="405"/>
      <c r="CT32" s="405"/>
      <c r="CU32" s="405"/>
      <c r="CV32" s="405"/>
      <c r="CW32" s="405"/>
      <c r="CX32" s="405"/>
      <c r="CY32" s="405"/>
      <c r="CZ32" s="405"/>
      <c r="DA32" s="405"/>
      <c r="DB32" s="405"/>
      <c r="DC32" s="405"/>
      <c r="DD32" s="405"/>
      <c r="DE32" s="405"/>
      <c r="DF32" s="405"/>
      <c r="DG32" s="405"/>
      <c r="DH32" s="405"/>
      <c r="DI32" s="405"/>
      <c r="DJ32" s="405"/>
      <c r="DK32" s="405"/>
      <c r="DL32" s="405"/>
      <c r="DM32" s="405"/>
      <c r="DN32" s="405"/>
      <c r="DO32" s="405"/>
      <c r="DP32" s="405"/>
      <c r="DQ32" s="405"/>
      <c r="DR32" s="405"/>
      <c r="DS32" s="405"/>
      <c r="DT32" s="405"/>
      <c r="DU32" s="405"/>
      <c r="DV32" s="405"/>
      <c r="DW32" s="405"/>
      <c r="DX32" s="405"/>
      <c r="DY32" s="405"/>
      <c r="DZ32" s="405"/>
      <c r="EA32" s="405"/>
      <c r="EB32" s="405"/>
      <c r="EC32" s="405"/>
      <c r="ED32" s="405"/>
      <c r="EE32" s="405"/>
      <c r="EF32" s="405"/>
      <c r="EG32" s="405"/>
      <c r="EH32" s="405"/>
      <c r="EI32" s="405"/>
      <c r="EJ32" s="405"/>
      <c r="EK32" s="405"/>
      <c r="EL32" s="405"/>
      <c r="EM32" s="405"/>
      <c r="EN32" s="405"/>
      <c r="EO32" s="405"/>
      <c r="EP32" s="405"/>
      <c r="EQ32" s="405"/>
      <c r="ER32" s="8"/>
      <c r="ES32" s="8"/>
      <c r="ET32" s="18"/>
    </row>
    <row r="33" spans="3:150" ht="18.600000000000001" customHeight="1">
      <c r="C33" s="15"/>
      <c r="D33" s="396"/>
      <c r="E33" s="397"/>
      <c r="F33" s="397"/>
      <c r="G33" s="397"/>
      <c r="H33" s="397"/>
      <c r="I33" s="397"/>
      <c r="J33" s="397"/>
      <c r="K33" s="397"/>
      <c r="L33" s="397"/>
      <c r="M33" s="398"/>
      <c r="N33" s="306"/>
      <c r="O33" s="306"/>
      <c r="P33" s="306"/>
      <c r="Q33" s="306"/>
      <c r="R33" s="335"/>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c r="BI33" s="336"/>
      <c r="BJ33" s="336"/>
      <c r="BK33" s="336"/>
      <c r="BL33" s="336"/>
      <c r="BM33" s="401"/>
      <c r="BN33" s="401"/>
      <c r="BO33" s="401"/>
      <c r="BP33" s="401"/>
      <c r="BQ33" s="401"/>
      <c r="BR33" s="401"/>
      <c r="BS33" s="401"/>
      <c r="BT33" s="402"/>
      <c r="BU33" s="367"/>
      <c r="BV33" s="368"/>
      <c r="BW33" s="368"/>
      <c r="BX33" s="369"/>
      <c r="BY33" s="15"/>
      <c r="BZ33" s="18"/>
      <c r="CA33" s="9"/>
      <c r="CC33" s="15"/>
      <c r="CD33" s="59"/>
      <c r="CE33" s="59"/>
      <c r="CF33" s="59"/>
      <c r="CG33" s="59"/>
      <c r="CH33" s="59"/>
      <c r="CI33" s="59"/>
      <c r="CJ33" s="59"/>
      <c r="CK33" s="59"/>
      <c r="CL33" s="59"/>
      <c r="CM33" s="59"/>
      <c r="CN33" s="405"/>
      <c r="CO33" s="405"/>
      <c r="CP33" s="405"/>
      <c r="CQ33" s="405"/>
      <c r="CR33" s="405"/>
      <c r="CS33" s="405"/>
      <c r="CT33" s="405"/>
      <c r="CU33" s="405"/>
      <c r="CV33" s="405"/>
      <c r="CW33" s="405"/>
      <c r="CX33" s="405"/>
      <c r="CY33" s="405"/>
      <c r="CZ33" s="405"/>
      <c r="DA33" s="405"/>
      <c r="DB33" s="405"/>
      <c r="DC33" s="405"/>
      <c r="DD33" s="405"/>
      <c r="DE33" s="405"/>
      <c r="DF33" s="405"/>
      <c r="DG33" s="405"/>
      <c r="DH33" s="405"/>
      <c r="DI33" s="405"/>
      <c r="DJ33" s="405"/>
      <c r="DK33" s="405"/>
      <c r="DL33" s="405"/>
      <c r="DM33" s="405"/>
      <c r="DN33" s="405"/>
      <c r="DO33" s="405"/>
      <c r="DP33" s="405"/>
      <c r="DQ33" s="405"/>
      <c r="DR33" s="405"/>
      <c r="DS33" s="405"/>
      <c r="DT33" s="405"/>
      <c r="DU33" s="405"/>
      <c r="DV33" s="405"/>
      <c r="DW33" s="405"/>
      <c r="DX33" s="405"/>
      <c r="DY33" s="405"/>
      <c r="DZ33" s="405"/>
      <c r="EA33" s="405"/>
      <c r="EB33" s="405"/>
      <c r="EC33" s="405"/>
      <c r="ED33" s="405"/>
      <c r="EE33" s="405"/>
      <c r="EF33" s="405"/>
      <c r="EG33" s="405"/>
      <c r="EH33" s="405"/>
      <c r="EI33" s="405"/>
      <c r="EJ33" s="405"/>
      <c r="EK33" s="405"/>
      <c r="EL33" s="405"/>
      <c r="EM33" s="405"/>
      <c r="EN33" s="405"/>
      <c r="EO33" s="405"/>
      <c r="EP33" s="405"/>
      <c r="EQ33" s="405"/>
      <c r="ER33" s="8"/>
      <c r="ES33" s="8"/>
      <c r="ET33" s="18"/>
    </row>
    <row r="34" spans="3:150" ht="18.600000000000001" customHeight="1">
      <c r="C34" s="15"/>
      <c r="D34" s="393" t="s">
        <v>120</v>
      </c>
      <c r="E34" s="394"/>
      <c r="F34" s="394"/>
      <c r="G34" s="394"/>
      <c r="H34" s="394"/>
      <c r="I34" s="394"/>
      <c r="J34" s="394"/>
      <c r="K34" s="394"/>
      <c r="L34" s="394"/>
      <c r="M34" s="395"/>
      <c r="N34" s="306" t="str">
        <f>VLOOKUP($D$11,調査票①!$A$10:$GY$58,22,FALSE)&amp;""</f>
        <v>　</v>
      </c>
      <c r="O34" s="306"/>
      <c r="P34" s="306"/>
      <c r="Q34" s="306"/>
      <c r="R34" s="358" t="str">
        <f>VLOOKUP($D$11,調査票①!$A$10:$GY$58,23,FALSE)&amp;""</f>
        <v>　</v>
      </c>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59"/>
      <c r="BC34" s="359"/>
      <c r="BD34" s="359"/>
      <c r="BE34" s="359"/>
      <c r="BF34" s="359"/>
      <c r="BG34" s="359"/>
      <c r="BH34" s="359"/>
      <c r="BI34" s="359"/>
      <c r="BJ34" s="359"/>
      <c r="BK34" s="359"/>
      <c r="BL34" s="359"/>
      <c r="BM34" s="389"/>
      <c r="BN34" s="389"/>
      <c r="BO34" s="389"/>
      <c r="BP34" s="389"/>
      <c r="BQ34" s="389"/>
      <c r="BR34" s="389"/>
      <c r="BS34" s="389"/>
      <c r="BT34" s="390"/>
      <c r="BU34" s="364">
        <f>調査票①!U58</f>
        <v>1</v>
      </c>
      <c r="BV34" s="365"/>
      <c r="BW34" s="365"/>
      <c r="BX34" s="366"/>
      <c r="BY34" s="8"/>
      <c r="BZ34" s="18"/>
      <c r="CA34" s="9"/>
      <c r="CC34" s="15"/>
      <c r="CD34" s="59"/>
      <c r="CE34" s="59"/>
      <c r="CF34" s="59"/>
      <c r="CG34" s="59"/>
      <c r="CH34" s="59"/>
      <c r="CI34" s="59"/>
      <c r="CJ34" s="59"/>
      <c r="CK34" s="59"/>
      <c r="CL34" s="59"/>
      <c r="CM34" s="59"/>
      <c r="CN34" s="405"/>
      <c r="CO34" s="405"/>
      <c r="CP34" s="405"/>
      <c r="CQ34" s="405"/>
      <c r="CR34" s="405"/>
      <c r="CS34" s="405"/>
      <c r="CT34" s="405"/>
      <c r="CU34" s="405"/>
      <c r="CV34" s="405"/>
      <c r="CW34" s="405"/>
      <c r="CX34" s="405"/>
      <c r="CY34" s="405"/>
      <c r="CZ34" s="405"/>
      <c r="DA34" s="405"/>
      <c r="DB34" s="405"/>
      <c r="DC34" s="405"/>
      <c r="DD34" s="405"/>
      <c r="DE34" s="405"/>
      <c r="DF34" s="405"/>
      <c r="DG34" s="405"/>
      <c r="DH34" s="405"/>
      <c r="DI34" s="405"/>
      <c r="DJ34" s="405"/>
      <c r="DK34" s="405"/>
      <c r="DL34" s="405"/>
      <c r="DM34" s="405"/>
      <c r="DN34" s="405"/>
      <c r="DO34" s="405"/>
      <c r="DP34" s="405"/>
      <c r="DQ34" s="405"/>
      <c r="DR34" s="405"/>
      <c r="DS34" s="405"/>
      <c r="DT34" s="405"/>
      <c r="DU34" s="405"/>
      <c r="DV34" s="405"/>
      <c r="DW34" s="405"/>
      <c r="DX34" s="405"/>
      <c r="DY34" s="405"/>
      <c r="DZ34" s="405"/>
      <c r="EA34" s="405"/>
      <c r="EB34" s="405"/>
      <c r="EC34" s="405"/>
      <c r="ED34" s="405"/>
      <c r="EE34" s="405"/>
      <c r="EF34" s="405"/>
      <c r="EG34" s="405"/>
      <c r="EH34" s="405"/>
      <c r="EI34" s="405"/>
      <c r="EJ34" s="405"/>
      <c r="EK34" s="405"/>
      <c r="EL34" s="405"/>
      <c r="EM34" s="405"/>
      <c r="EN34" s="405"/>
      <c r="EO34" s="405"/>
      <c r="EP34" s="405"/>
      <c r="EQ34" s="405"/>
      <c r="ER34" s="8"/>
      <c r="ES34" s="8"/>
      <c r="ET34" s="18"/>
    </row>
    <row r="35" spans="3:150" ht="18.600000000000001" customHeight="1">
      <c r="C35" s="15"/>
      <c r="D35" s="396"/>
      <c r="E35" s="397"/>
      <c r="F35" s="397"/>
      <c r="G35" s="397"/>
      <c r="H35" s="397"/>
      <c r="I35" s="397"/>
      <c r="J35" s="397"/>
      <c r="K35" s="397"/>
      <c r="L35" s="397"/>
      <c r="M35" s="398"/>
      <c r="N35" s="306"/>
      <c r="O35" s="306"/>
      <c r="P35" s="306"/>
      <c r="Q35" s="306"/>
      <c r="R35" s="361"/>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91"/>
      <c r="BN35" s="391"/>
      <c r="BO35" s="391"/>
      <c r="BP35" s="391"/>
      <c r="BQ35" s="391"/>
      <c r="BR35" s="391"/>
      <c r="BS35" s="391"/>
      <c r="BT35" s="392"/>
      <c r="BU35" s="367"/>
      <c r="BV35" s="368"/>
      <c r="BW35" s="368"/>
      <c r="BX35" s="369"/>
      <c r="BY35" s="8"/>
      <c r="BZ35" s="18"/>
      <c r="CA35" s="9"/>
      <c r="CC35" s="15"/>
      <c r="CD35" s="59"/>
      <c r="CE35" s="59"/>
      <c r="CF35" s="59"/>
      <c r="CG35" s="59"/>
      <c r="CH35" s="59"/>
      <c r="CI35" s="59"/>
      <c r="CJ35" s="59"/>
      <c r="CK35" s="59"/>
      <c r="CL35" s="59"/>
      <c r="CM35" s="59"/>
      <c r="CN35" s="405"/>
      <c r="CO35" s="405"/>
      <c r="CP35" s="405"/>
      <c r="CQ35" s="405"/>
      <c r="CR35" s="405"/>
      <c r="CS35" s="405"/>
      <c r="CT35" s="405"/>
      <c r="CU35" s="405"/>
      <c r="CV35" s="405"/>
      <c r="CW35" s="405"/>
      <c r="CX35" s="405"/>
      <c r="CY35" s="405"/>
      <c r="CZ35" s="405"/>
      <c r="DA35" s="405"/>
      <c r="DB35" s="405"/>
      <c r="DC35" s="405"/>
      <c r="DD35" s="405"/>
      <c r="DE35" s="405"/>
      <c r="DF35" s="405"/>
      <c r="DG35" s="405"/>
      <c r="DH35" s="405"/>
      <c r="DI35" s="405"/>
      <c r="DJ35" s="405"/>
      <c r="DK35" s="405"/>
      <c r="DL35" s="405"/>
      <c r="DM35" s="405"/>
      <c r="DN35" s="405"/>
      <c r="DO35" s="405"/>
      <c r="DP35" s="405"/>
      <c r="DQ35" s="405"/>
      <c r="DR35" s="405"/>
      <c r="DS35" s="405"/>
      <c r="DT35" s="405"/>
      <c r="DU35" s="405"/>
      <c r="DV35" s="405"/>
      <c r="DW35" s="405"/>
      <c r="DX35" s="405"/>
      <c r="DY35" s="405"/>
      <c r="DZ35" s="405"/>
      <c r="EA35" s="405"/>
      <c r="EB35" s="405"/>
      <c r="EC35" s="405"/>
      <c r="ED35" s="405"/>
      <c r="EE35" s="405"/>
      <c r="EF35" s="405"/>
      <c r="EG35" s="405"/>
      <c r="EH35" s="405"/>
      <c r="EI35" s="405"/>
      <c r="EJ35" s="405"/>
      <c r="EK35" s="405"/>
      <c r="EL35" s="405"/>
      <c r="EM35" s="405"/>
      <c r="EN35" s="405"/>
      <c r="EO35" s="405"/>
      <c r="EP35" s="405"/>
      <c r="EQ35" s="405"/>
      <c r="ER35" s="8"/>
      <c r="ES35" s="8"/>
      <c r="ET35" s="18"/>
    </row>
    <row r="36" spans="3:150" ht="18.600000000000001" customHeight="1">
      <c r="C36" s="15"/>
      <c r="D36" s="393" t="s">
        <v>119</v>
      </c>
      <c r="E36" s="394"/>
      <c r="F36" s="394"/>
      <c r="G36" s="394"/>
      <c r="H36" s="394"/>
      <c r="I36" s="394"/>
      <c r="J36" s="394"/>
      <c r="K36" s="394"/>
      <c r="L36" s="394"/>
      <c r="M36" s="395"/>
      <c r="N36" s="352" t="str">
        <f>VLOOKUP($D$11,調査票①!$A$10:$GY$58,30,FALSE)&amp;""</f>
        <v/>
      </c>
      <c r="O36" s="353"/>
      <c r="P36" s="353"/>
      <c r="Q36" s="354"/>
      <c r="R36" s="358" t="str">
        <f>VLOOKUP($D$11,調査票①!$A$10:$GY$58,32,FALSE)&amp;""</f>
        <v/>
      </c>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60"/>
      <c r="BU36" s="364">
        <f>調査票①!X58</f>
        <v>0.41860465116279072</v>
      </c>
      <c r="BV36" s="365"/>
      <c r="BW36" s="365"/>
      <c r="BX36" s="366"/>
      <c r="BY36" s="8"/>
      <c r="BZ36" s="18"/>
      <c r="CA36" s="9"/>
      <c r="CC36" s="15"/>
      <c r="CD36" s="59"/>
      <c r="CE36" s="59"/>
      <c r="CF36" s="59"/>
      <c r="CG36" s="61"/>
      <c r="CH36" s="61"/>
      <c r="CI36" s="61"/>
      <c r="CJ36" s="61"/>
      <c r="CK36" s="61"/>
      <c r="CL36" s="61"/>
      <c r="CM36" s="61"/>
      <c r="CN36" s="61"/>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8"/>
      <c r="ES36" s="8"/>
      <c r="ET36" s="18"/>
    </row>
    <row r="37" spans="3:150" ht="18.600000000000001" customHeight="1">
      <c r="C37" s="15"/>
      <c r="D37" s="396"/>
      <c r="E37" s="397"/>
      <c r="F37" s="397"/>
      <c r="G37" s="397"/>
      <c r="H37" s="397"/>
      <c r="I37" s="397"/>
      <c r="J37" s="397"/>
      <c r="K37" s="397"/>
      <c r="L37" s="397"/>
      <c r="M37" s="398"/>
      <c r="N37" s="355"/>
      <c r="O37" s="356"/>
      <c r="P37" s="356"/>
      <c r="Q37" s="357"/>
      <c r="R37" s="361"/>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c r="BO37" s="362"/>
      <c r="BP37" s="362"/>
      <c r="BQ37" s="362"/>
      <c r="BR37" s="362"/>
      <c r="BS37" s="362"/>
      <c r="BT37" s="363"/>
      <c r="BU37" s="367"/>
      <c r="BV37" s="368"/>
      <c r="BW37" s="368"/>
      <c r="BX37" s="369"/>
      <c r="BY37" s="8"/>
      <c r="BZ37" s="18"/>
      <c r="CA37" s="9"/>
      <c r="CC37" s="15"/>
      <c r="CD37" s="59"/>
      <c r="CE37" s="62" t="s">
        <v>118</v>
      </c>
      <c r="CF37" s="63"/>
      <c r="CG37" s="63"/>
      <c r="CH37" s="63"/>
      <c r="CI37" s="63"/>
      <c r="CJ37" s="63"/>
      <c r="CK37" s="63"/>
      <c r="CL37" s="63"/>
      <c r="CM37" s="63"/>
      <c r="CN37" s="63"/>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61"/>
      <c r="EE37" s="61"/>
      <c r="EF37" s="61"/>
      <c r="EG37" s="61"/>
      <c r="EH37" s="59"/>
      <c r="EI37" s="59"/>
      <c r="EJ37" s="59"/>
      <c r="EK37" s="59"/>
      <c r="EL37" s="59"/>
      <c r="EM37" s="59"/>
      <c r="EN37" s="59"/>
      <c r="EO37" s="59"/>
      <c r="EP37" s="59"/>
      <c r="EQ37" s="59"/>
      <c r="ER37" s="8"/>
      <c r="ES37" s="8"/>
      <c r="ET37" s="18"/>
    </row>
    <row r="38" spans="3:150" ht="18.600000000000001" customHeight="1">
      <c r="C38" s="15"/>
      <c r="D38" s="393" t="s">
        <v>117</v>
      </c>
      <c r="E38" s="394"/>
      <c r="F38" s="394"/>
      <c r="G38" s="394"/>
      <c r="H38" s="394"/>
      <c r="I38" s="394"/>
      <c r="J38" s="394"/>
      <c r="K38" s="394"/>
      <c r="L38" s="394"/>
      <c r="M38" s="395"/>
      <c r="N38" s="352" t="str">
        <f>VLOOKUP($D$11,調査票①!$A$10:$GY$58,35,FALSE)&amp;""</f>
        <v>　</v>
      </c>
      <c r="O38" s="353"/>
      <c r="P38" s="353"/>
      <c r="Q38" s="354"/>
      <c r="R38" s="358" t="str">
        <f>VLOOKUP($D$11,調査票①!$A$10:$GY$58,36,FALSE)&amp;""</f>
        <v>　</v>
      </c>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60"/>
      <c r="BU38" s="364">
        <f>調査票①!AH58</f>
        <v>1</v>
      </c>
      <c r="BV38" s="365"/>
      <c r="BW38" s="365"/>
      <c r="BX38" s="366"/>
      <c r="BY38" s="8"/>
      <c r="BZ38" s="18"/>
      <c r="CA38" s="9"/>
      <c r="CC38" s="15"/>
      <c r="CD38" s="59"/>
      <c r="CE38" s="427" t="s">
        <v>116</v>
      </c>
      <c r="CF38" s="427"/>
      <c r="CG38" s="427"/>
      <c r="CH38" s="427"/>
      <c r="CI38" s="427"/>
      <c r="CJ38" s="427"/>
      <c r="CK38" s="427"/>
      <c r="CL38" s="427"/>
      <c r="CM38" s="427"/>
      <c r="CN38" s="428" t="str">
        <f>VLOOKUP($D$11,調査票①!$A$10:$GY$58,198,FALSE)&amp;""</f>
        <v>○</v>
      </c>
      <c r="CO38" s="428"/>
      <c r="CP38" s="428"/>
      <c r="CQ38" s="428"/>
      <c r="CR38" s="428"/>
      <c r="CS38" s="428"/>
      <c r="CT38" s="428"/>
      <c r="CU38" s="428"/>
      <c r="CV38" s="428"/>
      <c r="CW38" s="428"/>
      <c r="CX38" s="59"/>
      <c r="CY38" s="59"/>
      <c r="CZ38" s="59"/>
      <c r="DA38" s="59"/>
      <c r="DB38" s="59"/>
      <c r="DC38" s="429" t="s">
        <v>115</v>
      </c>
      <c r="DD38" s="429"/>
      <c r="DE38" s="429"/>
      <c r="DF38" s="429"/>
      <c r="DG38" s="429"/>
      <c r="DH38" s="429"/>
      <c r="DI38" s="429"/>
      <c r="DJ38" s="429"/>
      <c r="DK38" s="429"/>
      <c r="DL38" s="430" t="str">
        <f>VLOOKUP($D$11,調査票①!$A$10:$GY$58,199,FALSE)&amp;""</f>
        <v>○</v>
      </c>
      <c r="DM38" s="430"/>
      <c r="DN38" s="430"/>
      <c r="DO38" s="430"/>
      <c r="DP38" s="430"/>
      <c r="DQ38" s="430"/>
      <c r="DR38" s="430"/>
      <c r="DS38" s="430"/>
      <c r="DT38" s="430"/>
      <c r="DU38" s="430"/>
      <c r="DV38" s="59"/>
      <c r="DW38" s="59"/>
      <c r="DX38" s="59"/>
      <c r="DY38" s="59"/>
      <c r="DZ38" s="59"/>
      <c r="EA38" s="59"/>
      <c r="EB38" s="59"/>
      <c r="EC38" s="59"/>
      <c r="ED38" s="61"/>
      <c r="EE38" s="61"/>
      <c r="EF38" s="61"/>
      <c r="EG38" s="61"/>
      <c r="EH38" s="59"/>
      <c r="EI38" s="59"/>
      <c r="EJ38" s="59"/>
      <c r="EK38" s="59"/>
      <c r="EL38" s="59"/>
      <c r="EM38" s="59"/>
      <c r="EN38" s="59"/>
      <c r="EO38" s="59"/>
      <c r="EP38" s="59"/>
      <c r="EQ38" s="59"/>
      <c r="ER38" s="8"/>
      <c r="ES38" s="8"/>
      <c r="ET38" s="18"/>
    </row>
    <row r="39" spans="3:150" ht="18.600000000000001" customHeight="1">
      <c r="C39" s="15"/>
      <c r="D39" s="396"/>
      <c r="E39" s="397"/>
      <c r="F39" s="397"/>
      <c r="G39" s="397"/>
      <c r="H39" s="397"/>
      <c r="I39" s="397"/>
      <c r="J39" s="397"/>
      <c r="K39" s="397"/>
      <c r="L39" s="397"/>
      <c r="M39" s="398"/>
      <c r="N39" s="355"/>
      <c r="O39" s="356"/>
      <c r="P39" s="356"/>
      <c r="Q39" s="357"/>
      <c r="R39" s="361"/>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3"/>
      <c r="BU39" s="367"/>
      <c r="BV39" s="368"/>
      <c r="BW39" s="368"/>
      <c r="BX39" s="369"/>
      <c r="BY39" s="8"/>
      <c r="BZ39" s="18"/>
      <c r="CA39" s="9"/>
      <c r="CC39" s="15"/>
      <c r="CD39" s="59"/>
      <c r="CE39" s="427"/>
      <c r="CF39" s="427"/>
      <c r="CG39" s="427"/>
      <c r="CH39" s="427"/>
      <c r="CI39" s="427"/>
      <c r="CJ39" s="427"/>
      <c r="CK39" s="427"/>
      <c r="CL39" s="427"/>
      <c r="CM39" s="427"/>
      <c r="CN39" s="428"/>
      <c r="CO39" s="428"/>
      <c r="CP39" s="428"/>
      <c r="CQ39" s="428"/>
      <c r="CR39" s="428"/>
      <c r="CS39" s="428"/>
      <c r="CT39" s="428"/>
      <c r="CU39" s="428"/>
      <c r="CV39" s="428"/>
      <c r="CW39" s="428"/>
      <c r="CX39" s="59"/>
      <c r="CY39" s="59"/>
      <c r="CZ39" s="59"/>
      <c r="DA39" s="59"/>
      <c r="DB39" s="59"/>
      <c r="DC39" s="429"/>
      <c r="DD39" s="429"/>
      <c r="DE39" s="429"/>
      <c r="DF39" s="429"/>
      <c r="DG39" s="429"/>
      <c r="DH39" s="429"/>
      <c r="DI39" s="429"/>
      <c r="DJ39" s="429"/>
      <c r="DK39" s="429"/>
      <c r="DL39" s="430"/>
      <c r="DM39" s="430"/>
      <c r="DN39" s="430"/>
      <c r="DO39" s="430"/>
      <c r="DP39" s="430"/>
      <c r="DQ39" s="430"/>
      <c r="DR39" s="430"/>
      <c r="DS39" s="430"/>
      <c r="DT39" s="430"/>
      <c r="DU39" s="430"/>
      <c r="DV39" s="59"/>
      <c r="DW39" s="59"/>
      <c r="DX39" s="59"/>
      <c r="DY39" s="59"/>
      <c r="DZ39" s="59"/>
      <c r="EA39" s="59"/>
      <c r="EB39" s="59"/>
      <c r="EC39" s="59"/>
      <c r="ED39" s="59"/>
      <c r="EE39" s="59"/>
      <c r="EF39" s="59"/>
      <c r="EG39" s="59"/>
      <c r="EH39" s="59"/>
      <c r="EI39" s="59"/>
      <c r="EJ39" s="59"/>
      <c r="EK39" s="59"/>
      <c r="EL39" s="59"/>
      <c r="EM39" s="59"/>
      <c r="EN39" s="59"/>
      <c r="EO39" s="59"/>
      <c r="EP39" s="59"/>
      <c r="EQ39" s="59"/>
      <c r="ER39" s="8"/>
      <c r="ES39" s="8"/>
      <c r="ET39" s="18"/>
    </row>
    <row r="40" spans="3:150" ht="18.600000000000001" customHeight="1">
      <c r="C40" s="15"/>
      <c r="D40" s="420" t="s">
        <v>114</v>
      </c>
      <c r="E40" s="421"/>
      <c r="F40" s="421"/>
      <c r="G40" s="421"/>
      <c r="H40" s="421"/>
      <c r="I40" s="421"/>
      <c r="J40" s="421"/>
      <c r="K40" s="421"/>
      <c r="L40" s="421"/>
      <c r="M40" s="422"/>
      <c r="N40" s="352" t="str">
        <f>VLOOKUP($D$11,調査票①!$A$10:$GY$58,38,FALSE)&amp;""</f>
        <v>　</v>
      </c>
      <c r="O40" s="353"/>
      <c r="P40" s="353"/>
      <c r="Q40" s="354"/>
      <c r="R40" s="358" t="str">
        <f>VLOOKUP($D$11,調査票①!$A$10:$GY$58,39,FALSE)&amp;""</f>
        <v>　</v>
      </c>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60"/>
      <c r="BU40" s="364">
        <f>調査票①!AK58</f>
        <v>1</v>
      </c>
      <c r="BV40" s="365"/>
      <c r="BW40" s="365"/>
      <c r="BX40" s="366"/>
      <c r="BY40" s="8"/>
      <c r="BZ40" s="18"/>
      <c r="CA40" s="9"/>
      <c r="CC40" s="15"/>
      <c r="CD40" s="59"/>
      <c r="CE40" s="427"/>
      <c r="CF40" s="427"/>
      <c r="CG40" s="427"/>
      <c r="CH40" s="427"/>
      <c r="CI40" s="427"/>
      <c r="CJ40" s="427"/>
      <c r="CK40" s="427"/>
      <c r="CL40" s="427"/>
      <c r="CM40" s="427"/>
      <c r="CN40" s="428"/>
      <c r="CO40" s="428"/>
      <c r="CP40" s="428"/>
      <c r="CQ40" s="428"/>
      <c r="CR40" s="428"/>
      <c r="CS40" s="428"/>
      <c r="CT40" s="428"/>
      <c r="CU40" s="428"/>
      <c r="CV40" s="428"/>
      <c r="CW40" s="428"/>
      <c r="CX40" s="59"/>
      <c r="CY40" s="59"/>
      <c r="CZ40" s="59"/>
      <c r="DA40" s="59"/>
      <c r="DB40" s="59"/>
      <c r="DC40" s="429"/>
      <c r="DD40" s="429"/>
      <c r="DE40" s="429"/>
      <c r="DF40" s="429"/>
      <c r="DG40" s="429"/>
      <c r="DH40" s="429"/>
      <c r="DI40" s="429"/>
      <c r="DJ40" s="429"/>
      <c r="DK40" s="429"/>
      <c r="DL40" s="430"/>
      <c r="DM40" s="430"/>
      <c r="DN40" s="430"/>
      <c r="DO40" s="430"/>
      <c r="DP40" s="430"/>
      <c r="DQ40" s="430"/>
      <c r="DR40" s="430"/>
      <c r="DS40" s="430"/>
      <c r="DT40" s="430"/>
      <c r="DU40" s="430"/>
      <c r="DV40" s="59"/>
      <c r="DW40" s="59"/>
      <c r="DX40" s="59"/>
      <c r="DY40" s="59"/>
      <c r="DZ40" s="59"/>
      <c r="EA40" s="59"/>
      <c r="EB40" s="59"/>
      <c r="EC40" s="59"/>
      <c r="ED40" s="59"/>
      <c r="EE40" s="59"/>
      <c r="EF40" s="59"/>
      <c r="EG40" s="59"/>
      <c r="EH40" s="59"/>
      <c r="EI40" s="59"/>
      <c r="EJ40" s="59"/>
      <c r="EK40" s="59"/>
      <c r="EL40" s="59"/>
      <c r="EM40" s="59"/>
      <c r="EN40" s="59"/>
      <c r="EO40" s="59"/>
      <c r="EP40" s="59"/>
      <c r="EQ40" s="59"/>
      <c r="ER40" s="8"/>
      <c r="ES40" s="8"/>
      <c r="ET40" s="18"/>
    </row>
    <row r="41" spans="3:150" ht="18.600000000000001" customHeight="1">
      <c r="C41" s="15"/>
      <c r="D41" s="423"/>
      <c r="E41" s="424"/>
      <c r="F41" s="424"/>
      <c r="G41" s="424"/>
      <c r="H41" s="424"/>
      <c r="I41" s="424"/>
      <c r="J41" s="424"/>
      <c r="K41" s="424"/>
      <c r="L41" s="424"/>
      <c r="M41" s="425"/>
      <c r="N41" s="355"/>
      <c r="O41" s="356"/>
      <c r="P41" s="356"/>
      <c r="Q41" s="357"/>
      <c r="R41" s="361"/>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3"/>
      <c r="BU41" s="367"/>
      <c r="BV41" s="368"/>
      <c r="BW41" s="368"/>
      <c r="BX41" s="369"/>
      <c r="BY41" s="8"/>
      <c r="BZ41" s="18"/>
      <c r="CA41" s="9"/>
      <c r="CC41" s="13"/>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9"/>
    </row>
    <row r="42" spans="3:150" ht="18.600000000000001" customHeight="1">
      <c r="C42" s="15"/>
      <c r="D42" s="414" t="s">
        <v>113</v>
      </c>
      <c r="E42" s="415"/>
      <c r="F42" s="415"/>
      <c r="G42" s="415"/>
      <c r="H42" s="415"/>
      <c r="I42" s="415"/>
      <c r="J42" s="415"/>
      <c r="K42" s="415"/>
      <c r="L42" s="415"/>
      <c r="M42" s="416"/>
      <c r="N42" s="352" t="str">
        <f>VLOOKUP($D$11,調査票①!$A$10:$GY$58,41,FALSE)&amp;""</f>
        <v>　</v>
      </c>
      <c r="O42" s="353"/>
      <c r="P42" s="353"/>
      <c r="Q42" s="354"/>
      <c r="R42" s="358" t="str">
        <f>VLOOKUP($D$11,調査票①!$A$10:$GY$58,42,FALSE)&amp;""</f>
        <v>　</v>
      </c>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59"/>
      <c r="BK42" s="359"/>
      <c r="BL42" s="359"/>
      <c r="BM42" s="359"/>
      <c r="BN42" s="359"/>
      <c r="BO42" s="359"/>
      <c r="BP42" s="359"/>
      <c r="BQ42" s="359"/>
      <c r="BR42" s="359"/>
      <c r="BS42" s="359"/>
      <c r="BT42" s="360"/>
      <c r="BU42" s="364">
        <f>調査票①!AN58</f>
        <v>1</v>
      </c>
      <c r="BV42" s="365"/>
      <c r="BW42" s="365"/>
      <c r="BX42" s="366"/>
      <c r="BY42" s="8"/>
      <c r="BZ42" s="18"/>
      <c r="CA42" s="9"/>
    </row>
    <row r="43" spans="3:150" ht="18.600000000000001" customHeight="1">
      <c r="C43" s="15"/>
      <c r="D43" s="417"/>
      <c r="E43" s="418"/>
      <c r="F43" s="418"/>
      <c r="G43" s="418"/>
      <c r="H43" s="418"/>
      <c r="I43" s="418"/>
      <c r="J43" s="418"/>
      <c r="K43" s="418"/>
      <c r="L43" s="418"/>
      <c r="M43" s="419"/>
      <c r="N43" s="355"/>
      <c r="O43" s="356"/>
      <c r="P43" s="356"/>
      <c r="Q43" s="357"/>
      <c r="R43" s="361"/>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c r="BO43" s="362"/>
      <c r="BP43" s="362"/>
      <c r="BQ43" s="362"/>
      <c r="BR43" s="362"/>
      <c r="BS43" s="362"/>
      <c r="BT43" s="363"/>
      <c r="BU43" s="367"/>
      <c r="BV43" s="368"/>
      <c r="BW43" s="368"/>
      <c r="BX43" s="369"/>
      <c r="BY43" s="8"/>
      <c r="BZ43" s="18"/>
      <c r="CA43" s="9"/>
    </row>
    <row r="44" spans="3:150" ht="18.600000000000001" customHeight="1">
      <c r="C44" s="15"/>
      <c r="D44" s="420" t="s">
        <v>112</v>
      </c>
      <c r="E44" s="421"/>
      <c r="F44" s="421"/>
      <c r="G44" s="421"/>
      <c r="H44" s="421"/>
      <c r="I44" s="421"/>
      <c r="J44" s="421"/>
      <c r="K44" s="421"/>
      <c r="L44" s="421"/>
      <c r="M44" s="422"/>
      <c r="N44" s="352" t="str">
        <f>VLOOKUP($D$11,調査票①!$A$10:$GY$58,44,FALSE)&amp;""</f>
        <v>　</v>
      </c>
      <c r="O44" s="353"/>
      <c r="P44" s="353"/>
      <c r="Q44" s="354"/>
      <c r="R44" s="358" t="str">
        <f>VLOOKUP($D$11,調査票①!$A$10:$GY$58,45,FALSE)&amp;""</f>
        <v>　</v>
      </c>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59"/>
      <c r="BF44" s="359"/>
      <c r="BG44" s="359"/>
      <c r="BH44" s="359"/>
      <c r="BI44" s="359"/>
      <c r="BJ44" s="359"/>
      <c r="BK44" s="359"/>
      <c r="BL44" s="359"/>
      <c r="BM44" s="359"/>
      <c r="BN44" s="359"/>
      <c r="BO44" s="359"/>
      <c r="BP44" s="359"/>
      <c r="BQ44" s="359"/>
      <c r="BR44" s="359"/>
      <c r="BS44" s="359"/>
      <c r="BT44" s="360"/>
      <c r="BU44" s="364">
        <f>調査票①!AQ58</f>
        <v>1</v>
      </c>
      <c r="BV44" s="365"/>
      <c r="BW44" s="365"/>
      <c r="BX44" s="366"/>
      <c r="BY44" s="8"/>
      <c r="BZ44" s="18"/>
      <c r="CA44" s="9"/>
    </row>
    <row r="45" spans="3:150" ht="18.600000000000001" customHeight="1">
      <c r="C45" s="15"/>
      <c r="D45" s="423"/>
      <c r="E45" s="424"/>
      <c r="F45" s="424"/>
      <c r="G45" s="424"/>
      <c r="H45" s="424"/>
      <c r="I45" s="424"/>
      <c r="J45" s="424"/>
      <c r="K45" s="424"/>
      <c r="L45" s="424"/>
      <c r="M45" s="425"/>
      <c r="N45" s="355"/>
      <c r="O45" s="356"/>
      <c r="P45" s="356"/>
      <c r="Q45" s="357"/>
      <c r="R45" s="361"/>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2"/>
      <c r="BE45" s="362"/>
      <c r="BF45" s="362"/>
      <c r="BG45" s="362"/>
      <c r="BH45" s="362"/>
      <c r="BI45" s="362"/>
      <c r="BJ45" s="362"/>
      <c r="BK45" s="362"/>
      <c r="BL45" s="362"/>
      <c r="BM45" s="362"/>
      <c r="BN45" s="362"/>
      <c r="BO45" s="362"/>
      <c r="BP45" s="362"/>
      <c r="BQ45" s="362"/>
      <c r="BR45" s="362"/>
      <c r="BS45" s="362"/>
      <c r="BT45" s="363"/>
      <c r="BU45" s="367"/>
      <c r="BV45" s="368"/>
      <c r="BW45" s="368"/>
      <c r="BX45" s="369"/>
      <c r="BY45" s="8"/>
      <c r="BZ45" s="18"/>
      <c r="CA45" s="9"/>
    </row>
    <row r="46" spans="3:150" ht="18.600000000000001" customHeight="1">
      <c r="C46" s="15"/>
      <c r="D46" s="393" t="s">
        <v>111</v>
      </c>
      <c r="E46" s="394"/>
      <c r="F46" s="394"/>
      <c r="G46" s="394"/>
      <c r="H46" s="394"/>
      <c r="I46" s="394"/>
      <c r="J46" s="394"/>
      <c r="K46" s="394"/>
      <c r="L46" s="394"/>
      <c r="M46" s="395"/>
      <c r="N46" s="352" t="str">
        <f>VLOOKUP($D$11,調査票①!$A$10:$GY$58,47,FALSE)&amp;""</f>
        <v>　</v>
      </c>
      <c r="O46" s="353"/>
      <c r="P46" s="353"/>
      <c r="Q46" s="354"/>
      <c r="R46" s="358" t="str">
        <f>VLOOKUP($D$11,調査票①!$A$10:$GY$58,48,FALSE)&amp;""</f>
        <v>　</v>
      </c>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59"/>
      <c r="BO46" s="359"/>
      <c r="BP46" s="359"/>
      <c r="BQ46" s="359"/>
      <c r="BR46" s="359"/>
      <c r="BS46" s="359"/>
      <c r="BT46" s="360"/>
      <c r="BU46" s="364">
        <f>調査票①!AT58</f>
        <v>0.97872340425531912</v>
      </c>
      <c r="BV46" s="365"/>
      <c r="BW46" s="365"/>
      <c r="BX46" s="366"/>
      <c r="BY46" s="8"/>
      <c r="BZ46" s="18"/>
      <c r="CA46" s="9"/>
      <c r="CC46" s="28"/>
      <c r="CD46" s="27"/>
      <c r="CE46" s="27"/>
      <c r="CF46" s="27"/>
      <c r="CG46" s="27"/>
      <c r="CH46" s="27"/>
      <c r="CI46" s="27"/>
      <c r="CJ46" s="27"/>
      <c r="CK46" s="27"/>
      <c r="CL46" s="27"/>
      <c r="CM46" s="27"/>
      <c r="CN46" s="27"/>
      <c r="CO46" s="27"/>
      <c r="CP46" s="27"/>
      <c r="CQ46" s="27"/>
      <c r="CR46" s="27"/>
      <c r="CS46" s="27"/>
      <c r="CT46" s="27"/>
      <c r="CU46" s="27"/>
      <c r="CV46" s="27"/>
      <c r="CW46" s="27"/>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53"/>
      <c r="EM46" s="26"/>
      <c r="EN46" s="26"/>
      <c r="EO46" s="26"/>
      <c r="EP46" s="26"/>
      <c r="EQ46" s="26"/>
      <c r="ER46" s="26"/>
      <c r="ES46" s="26"/>
      <c r="ET46" s="25"/>
    </row>
    <row r="47" spans="3:150" ht="18.600000000000001" customHeight="1">
      <c r="C47" s="15"/>
      <c r="D47" s="396"/>
      <c r="E47" s="397"/>
      <c r="F47" s="397"/>
      <c r="G47" s="397"/>
      <c r="H47" s="397"/>
      <c r="I47" s="397"/>
      <c r="J47" s="397"/>
      <c r="K47" s="397"/>
      <c r="L47" s="397"/>
      <c r="M47" s="398"/>
      <c r="N47" s="355"/>
      <c r="O47" s="356"/>
      <c r="P47" s="356"/>
      <c r="Q47" s="357"/>
      <c r="R47" s="361"/>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362"/>
      <c r="BI47" s="362"/>
      <c r="BJ47" s="362"/>
      <c r="BK47" s="362"/>
      <c r="BL47" s="362"/>
      <c r="BM47" s="362"/>
      <c r="BN47" s="362"/>
      <c r="BO47" s="362"/>
      <c r="BP47" s="362"/>
      <c r="BQ47" s="362"/>
      <c r="BR47" s="362"/>
      <c r="BS47" s="362"/>
      <c r="BT47" s="363"/>
      <c r="BU47" s="367"/>
      <c r="BV47" s="368"/>
      <c r="BW47" s="368"/>
      <c r="BX47" s="369"/>
      <c r="BY47" s="8"/>
      <c r="BZ47" s="18"/>
      <c r="CA47" s="9"/>
      <c r="CC47" s="15"/>
      <c r="CD47" s="64"/>
      <c r="CE47" s="64"/>
      <c r="CF47" s="64"/>
      <c r="CG47" s="64"/>
      <c r="CH47" s="64"/>
      <c r="CI47" s="64"/>
      <c r="CJ47" s="64"/>
      <c r="CK47" s="64"/>
      <c r="CL47" s="64"/>
      <c r="CM47" s="64"/>
      <c r="CN47" s="64"/>
      <c r="CO47" s="64"/>
      <c r="CP47" s="64"/>
      <c r="CQ47" s="64"/>
      <c r="CR47" s="64"/>
      <c r="CS47" s="64"/>
      <c r="CT47" s="64"/>
      <c r="CU47" s="64"/>
      <c r="CV47" s="64"/>
      <c r="CW47" s="64"/>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406" t="s">
        <v>110</v>
      </c>
      <c r="EM47" s="406"/>
      <c r="EN47" s="406"/>
      <c r="EO47" s="406"/>
      <c r="EP47" s="59"/>
      <c r="EQ47" s="59"/>
      <c r="ER47" s="59"/>
      <c r="ES47" s="59"/>
      <c r="ET47" s="18"/>
    </row>
    <row r="48" spans="3:150" ht="12.6" customHeight="1">
      <c r="C48" s="15"/>
      <c r="D48" s="52" t="s">
        <v>785</v>
      </c>
      <c r="E48" s="8"/>
      <c r="F48" s="8"/>
      <c r="G48" s="8"/>
      <c r="H48" s="8"/>
      <c r="I48" s="8"/>
      <c r="J48" s="8"/>
      <c r="K48" s="8"/>
      <c r="L48" s="8"/>
      <c r="M48" s="8"/>
      <c r="N48" s="8"/>
      <c r="O48" s="21"/>
      <c r="P48" s="21"/>
      <c r="Q48" s="21"/>
      <c r="R48" s="21"/>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21"/>
      <c r="BL48" s="21"/>
      <c r="BM48" s="21"/>
      <c r="BN48" s="21"/>
      <c r="BO48" s="8"/>
      <c r="BP48" s="8"/>
      <c r="BQ48" s="8"/>
      <c r="BR48" s="8"/>
      <c r="BS48" s="8"/>
      <c r="BT48" s="8"/>
      <c r="BU48" s="8"/>
      <c r="BV48" s="8"/>
      <c r="BW48" s="8"/>
      <c r="BX48" s="8"/>
      <c r="BY48" s="8"/>
      <c r="BZ48" s="18"/>
      <c r="CA48" s="9"/>
      <c r="CC48" s="15"/>
      <c r="CD48" s="64"/>
      <c r="CE48" s="64"/>
      <c r="CF48" s="64"/>
      <c r="CG48" s="64"/>
      <c r="CH48" s="64"/>
      <c r="CI48" s="64"/>
      <c r="CJ48" s="64"/>
      <c r="CK48" s="64"/>
      <c r="CL48" s="64"/>
      <c r="CM48" s="64"/>
      <c r="CN48" s="64"/>
      <c r="CO48" s="64"/>
      <c r="CP48" s="64"/>
      <c r="CQ48" s="64"/>
      <c r="CR48" s="64"/>
      <c r="CS48" s="64"/>
      <c r="CT48" s="64"/>
      <c r="CU48" s="64"/>
      <c r="CV48" s="64"/>
      <c r="CW48" s="64"/>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407"/>
      <c r="EM48" s="407"/>
      <c r="EN48" s="407"/>
      <c r="EO48" s="407"/>
      <c r="EP48" s="65"/>
      <c r="EQ48" s="65"/>
      <c r="ER48" s="65"/>
      <c r="ES48" s="65"/>
      <c r="ET48" s="18"/>
    </row>
    <row r="49" spans="1:150" ht="12.6" customHeight="1">
      <c r="C49" s="13"/>
      <c r="D49" s="12"/>
      <c r="E49" s="12"/>
      <c r="F49" s="12"/>
      <c r="G49" s="12"/>
      <c r="H49" s="12"/>
      <c r="I49" s="12"/>
      <c r="J49" s="12"/>
      <c r="K49" s="12"/>
      <c r="L49" s="12"/>
      <c r="M49" s="12"/>
      <c r="N49" s="12"/>
      <c r="O49" s="12"/>
      <c r="P49" s="12"/>
      <c r="Q49" s="20"/>
      <c r="R49" s="20"/>
      <c r="S49" s="20"/>
      <c r="T49" s="20"/>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20"/>
      <c r="BL49" s="20"/>
      <c r="BM49" s="20"/>
      <c r="BN49" s="20"/>
      <c r="BO49" s="12"/>
      <c r="BP49" s="12"/>
      <c r="BQ49" s="12"/>
      <c r="BR49" s="12"/>
      <c r="BS49" s="12"/>
      <c r="BT49" s="12"/>
      <c r="BU49" s="12"/>
      <c r="BV49" s="12"/>
      <c r="BW49" s="12"/>
      <c r="BX49" s="12"/>
      <c r="BY49" s="12"/>
      <c r="BZ49" s="19"/>
      <c r="CA49" s="9"/>
      <c r="CC49" s="15"/>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306" t="s">
        <v>99</v>
      </c>
      <c r="DF49" s="306"/>
      <c r="DG49" s="306"/>
      <c r="DH49" s="306"/>
      <c r="DI49" s="306"/>
      <c r="DJ49" s="306"/>
      <c r="DK49" s="306"/>
      <c r="DL49" s="306"/>
      <c r="DM49" s="306"/>
      <c r="DN49" s="306"/>
      <c r="DO49" s="306"/>
      <c r="DP49" s="306"/>
      <c r="DQ49" s="306"/>
      <c r="DR49" s="306"/>
      <c r="DS49" s="403"/>
      <c r="DT49" s="403"/>
      <c r="DU49" s="403"/>
      <c r="DV49" s="403"/>
      <c r="DW49" s="403"/>
      <c r="DX49" s="403"/>
      <c r="DY49" s="403"/>
      <c r="DZ49" s="403"/>
      <c r="EA49" s="403"/>
      <c r="EB49" s="403"/>
      <c r="EC49" s="403"/>
      <c r="ED49" s="403"/>
      <c r="EE49" s="403"/>
      <c r="EF49" s="403"/>
      <c r="EG49" s="403"/>
      <c r="EH49" s="403"/>
      <c r="EI49" s="403"/>
      <c r="EJ49" s="403"/>
      <c r="EK49" s="89"/>
      <c r="EL49" s="408" t="s">
        <v>109</v>
      </c>
      <c r="EM49" s="409"/>
      <c r="EN49" s="409"/>
      <c r="EO49" s="409"/>
      <c r="EP49" s="409"/>
      <c r="EQ49" s="409"/>
      <c r="ER49" s="409"/>
      <c r="ES49" s="410"/>
      <c r="ET49" s="51"/>
    </row>
    <row r="50" spans="1:150" ht="12.6" customHeight="1">
      <c r="C50" s="9"/>
      <c r="D50" s="34"/>
      <c r="E50" s="34"/>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2"/>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CA50" s="10"/>
      <c r="CC50" s="15"/>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59"/>
      <c r="DC50" s="59"/>
      <c r="DD50" s="59"/>
      <c r="DE50" s="306"/>
      <c r="DF50" s="306"/>
      <c r="DG50" s="306"/>
      <c r="DH50" s="306"/>
      <c r="DI50" s="306"/>
      <c r="DJ50" s="306"/>
      <c r="DK50" s="306"/>
      <c r="DL50" s="306"/>
      <c r="DM50" s="306"/>
      <c r="DN50" s="306"/>
      <c r="DO50" s="306"/>
      <c r="DP50" s="306"/>
      <c r="DQ50" s="306"/>
      <c r="DR50" s="306"/>
      <c r="DS50" s="403"/>
      <c r="DT50" s="403"/>
      <c r="DU50" s="403"/>
      <c r="DV50" s="403"/>
      <c r="DW50" s="403"/>
      <c r="DX50" s="403"/>
      <c r="DY50" s="403"/>
      <c r="DZ50" s="403"/>
      <c r="EA50" s="403"/>
      <c r="EB50" s="403"/>
      <c r="EC50" s="403"/>
      <c r="ED50" s="403"/>
      <c r="EE50" s="403"/>
      <c r="EF50" s="403"/>
      <c r="EG50" s="403"/>
      <c r="EH50" s="403"/>
      <c r="EI50" s="403"/>
      <c r="EJ50" s="403"/>
      <c r="EK50" s="89"/>
      <c r="EL50" s="411"/>
      <c r="EM50" s="412"/>
      <c r="EN50" s="412"/>
      <c r="EO50" s="412"/>
      <c r="EP50" s="412"/>
      <c r="EQ50" s="412"/>
      <c r="ER50" s="412"/>
      <c r="ES50" s="413"/>
      <c r="ET50" s="18"/>
    </row>
    <row r="51" spans="1:150" ht="12.6" customHeight="1">
      <c r="C51" s="9"/>
      <c r="D51" s="34"/>
      <c r="E51" s="34"/>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2"/>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CA51" s="10"/>
      <c r="CB51" s="7"/>
      <c r="CC51" s="15"/>
      <c r="CD51" s="306" t="s">
        <v>22</v>
      </c>
      <c r="CE51" s="306"/>
      <c r="CF51" s="306"/>
      <c r="CG51" s="306"/>
      <c r="CH51" s="306"/>
      <c r="CI51" s="306"/>
      <c r="CJ51" s="306"/>
      <c r="CK51" s="306"/>
      <c r="CL51" s="306"/>
      <c r="CM51" s="306"/>
      <c r="CN51" s="306" t="str">
        <f>VLOOKUP($D$11,調査票①!$A$10:$GY$58,200,FALSE)&amp;""</f>
        <v>○</v>
      </c>
      <c r="CO51" s="306"/>
      <c r="CP51" s="306"/>
      <c r="CQ51" s="306"/>
      <c r="CR51" s="306"/>
      <c r="CS51" s="306"/>
      <c r="CT51" s="306"/>
      <c r="CU51" s="306"/>
      <c r="CV51" s="306"/>
      <c r="CW51" s="306"/>
      <c r="CX51" s="306"/>
      <c r="CY51" s="306"/>
      <c r="CZ51" s="306"/>
      <c r="DA51" s="306"/>
      <c r="DB51" s="59"/>
      <c r="DC51" s="59"/>
      <c r="DD51" s="59"/>
      <c r="DE51" s="306"/>
      <c r="DF51" s="306"/>
      <c r="DG51" s="306"/>
      <c r="DH51" s="306"/>
      <c r="DI51" s="306"/>
      <c r="DJ51" s="306"/>
      <c r="DK51" s="306"/>
      <c r="DL51" s="306"/>
      <c r="DM51" s="306"/>
      <c r="DN51" s="306"/>
      <c r="DO51" s="306"/>
      <c r="DP51" s="306"/>
      <c r="DQ51" s="306"/>
      <c r="DR51" s="306"/>
      <c r="DS51" s="403"/>
      <c r="DT51" s="403"/>
      <c r="DU51" s="403"/>
      <c r="DV51" s="403"/>
      <c r="DW51" s="403"/>
      <c r="DX51" s="403"/>
      <c r="DY51" s="403"/>
      <c r="DZ51" s="403"/>
      <c r="EA51" s="403"/>
      <c r="EB51" s="403"/>
      <c r="EC51" s="403"/>
      <c r="ED51" s="403"/>
      <c r="EE51" s="403"/>
      <c r="EF51" s="403"/>
      <c r="EG51" s="403"/>
      <c r="EH51" s="403"/>
      <c r="EI51" s="403"/>
      <c r="EJ51" s="403"/>
      <c r="EK51" s="89"/>
      <c r="EL51" s="315" t="s">
        <v>108</v>
      </c>
      <c r="EM51" s="316"/>
      <c r="EN51" s="316"/>
      <c r="EO51" s="317"/>
      <c r="EP51" s="315" t="s">
        <v>65</v>
      </c>
      <c r="EQ51" s="316"/>
      <c r="ER51" s="316"/>
      <c r="ES51" s="317"/>
      <c r="ET51" s="18"/>
    </row>
    <row r="52" spans="1:150" ht="12.6" customHeight="1">
      <c r="C52" s="9"/>
      <c r="D52" s="34"/>
      <c r="E52" s="34"/>
      <c r="F52" s="34"/>
      <c r="G52" s="34"/>
      <c r="H52" s="34"/>
      <c r="I52" s="34"/>
      <c r="J52" s="34"/>
      <c r="K52" s="34"/>
      <c r="L52" s="34"/>
      <c r="M52" s="34"/>
      <c r="N52" s="34"/>
      <c r="O52" s="34"/>
      <c r="P52" s="34"/>
      <c r="Q52" s="34"/>
      <c r="R52" s="34"/>
      <c r="S52" s="34"/>
      <c r="T52" s="34"/>
      <c r="U52" s="34"/>
      <c r="V52" s="34"/>
      <c r="W52" s="34"/>
      <c r="X52" s="34"/>
      <c r="Y52" s="34"/>
      <c r="Z52" s="34"/>
      <c r="AA52" s="33"/>
      <c r="AB52" s="33"/>
      <c r="AC52" s="33"/>
      <c r="AD52" s="32"/>
      <c r="AE52" s="32"/>
      <c r="AF52" s="32"/>
      <c r="AG52" s="32"/>
      <c r="AH52" s="32"/>
      <c r="AI52" s="32"/>
      <c r="AJ52" s="32"/>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CA52" s="10"/>
      <c r="CB52" s="7"/>
      <c r="CC52" s="15"/>
      <c r="CD52" s="306"/>
      <c r="CE52" s="306"/>
      <c r="CF52" s="306"/>
      <c r="CG52" s="306"/>
      <c r="CH52" s="306"/>
      <c r="CI52" s="306"/>
      <c r="CJ52" s="306"/>
      <c r="CK52" s="306"/>
      <c r="CL52" s="306"/>
      <c r="CM52" s="306"/>
      <c r="CN52" s="306"/>
      <c r="CO52" s="306"/>
      <c r="CP52" s="306"/>
      <c r="CQ52" s="306"/>
      <c r="CR52" s="306"/>
      <c r="CS52" s="306"/>
      <c r="CT52" s="306"/>
      <c r="CU52" s="306"/>
      <c r="CV52" s="306"/>
      <c r="CW52" s="306"/>
      <c r="CX52" s="306"/>
      <c r="CY52" s="306"/>
      <c r="CZ52" s="306"/>
      <c r="DA52" s="306"/>
      <c r="DB52" s="59"/>
      <c r="DC52" s="59"/>
      <c r="DD52" s="59"/>
      <c r="DE52" s="306"/>
      <c r="DF52" s="306"/>
      <c r="DG52" s="306"/>
      <c r="DH52" s="306"/>
      <c r="DI52" s="306"/>
      <c r="DJ52" s="306"/>
      <c r="DK52" s="306"/>
      <c r="DL52" s="306"/>
      <c r="DM52" s="306"/>
      <c r="DN52" s="306"/>
      <c r="DO52" s="306"/>
      <c r="DP52" s="306"/>
      <c r="DQ52" s="306"/>
      <c r="DR52" s="306"/>
      <c r="DS52" s="403"/>
      <c r="DT52" s="403"/>
      <c r="DU52" s="403"/>
      <c r="DV52" s="403"/>
      <c r="DW52" s="403"/>
      <c r="DX52" s="403"/>
      <c r="DY52" s="403"/>
      <c r="DZ52" s="403"/>
      <c r="EA52" s="403"/>
      <c r="EB52" s="403"/>
      <c r="EC52" s="403"/>
      <c r="ED52" s="403"/>
      <c r="EE52" s="403"/>
      <c r="EF52" s="403"/>
      <c r="EG52" s="403"/>
      <c r="EH52" s="403"/>
      <c r="EI52" s="403"/>
      <c r="EJ52" s="403"/>
      <c r="EK52" s="89"/>
      <c r="EL52" s="318"/>
      <c r="EM52" s="319"/>
      <c r="EN52" s="319"/>
      <c r="EO52" s="320"/>
      <c r="EP52" s="318"/>
      <c r="EQ52" s="319"/>
      <c r="ER52" s="319"/>
      <c r="ES52" s="320"/>
      <c r="ET52" s="18"/>
    </row>
    <row r="53" spans="1:150" ht="12.6" customHeight="1">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30"/>
      <c r="BN53" s="30"/>
      <c r="BO53" s="30"/>
      <c r="BP53" s="30"/>
      <c r="BQ53" s="9"/>
      <c r="BR53" s="9"/>
      <c r="BS53" s="9"/>
      <c r="BT53" s="9"/>
      <c r="CA53" s="10"/>
      <c r="CB53" s="7"/>
      <c r="CC53" s="15"/>
      <c r="CD53" s="306"/>
      <c r="CE53" s="306"/>
      <c r="CF53" s="306"/>
      <c r="CG53" s="306"/>
      <c r="CH53" s="306"/>
      <c r="CI53" s="306"/>
      <c r="CJ53" s="306"/>
      <c r="CK53" s="306"/>
      <c r="CL53" s="306"/>
      <c r="CM53" s="306"/>
      <c r="CN53" s="306"/>
      <c r="CO53" s="306"/>
      <c r="CP53" s="306"/>
      <c r="CQ53" s="306"/>
      <c r="CR53" s="306"/>
      <c r="CS53" s="306"/>
      <c r="CT53" s="306"/>
      <c r="CU53" s="306"/>
      <c r="CV53" s="306"/>
      <c r="CW53" s="306"/>
      <c r="CX53" s="306"/>
      <c r="CY53" s="306"/>
      <c r="CZ53" s="306"/>
      <c r="DA53" s="306"/>
      <c r="DB53" s="59"/>
      <c r="DC53" s="59"/>
      <c r="DD53" s="59"/>
      <c r="DE53" s="306" t="s">
        <v>98</v>
      </c>
      <c r="DF53" s="306"/>
      <c r="DG53" s="306"/>
      <c r="DH53" s="306"/>
      <c r="DI53" s="306"/>
      <c r="DJ53" s="306"/>
      <c r="DK53" s="306"/>
      <c r="DL53" s="306"/>
      <c r="DM53" s="306"/>
      <c r="DN53" s="306"/>
      <c r="DO53" s="306"/>
      <c r="DP53" s="306"/>
      <c r="DQ53" s="306"/>
      <c r="DR53" s="306"/>
      <c r="DS53" s="404" t="str">
        <f>VLOOKUP($D$11,調査票①!$A$9:$GR$57,194,FALSE)&amp;""</f>
        <v>○</v>
      </c>
      <c r="DT53" s="404"/>
      <c r="DU53" s="404"/>
      <c r="DV53" s="404"/>
      <c r="DW53" s="404"/>
      <c r="DX53" s="404"/>
      <c r="DY53" s="404"/>
      <c r="DZ53" s="404"/>
      <c r="EA53" s="404"/>
      <c r="EB53" s="404"/>
      <c r="EC53" s="404"/>
      <c r="ED53" s="404"/>
      <c r="EE53" s="404"/>
      <c r="EF53" s="404"/>
      <c r="EG53" s="404"/>
      <c r="EH53" s="404"/>
      <c r="EI53" s="404"/>
      <c r="EJ53" s="404"/>
      <c r="EK53" s="89"/>
      <c r="EL53" s="321">
        <f>調査票①!GS58</f>
        <v>0</v>
      </c>
      <c r="EM53" s="322"/>
      <c r="EN53" s="322"/>
      <c r="EO53" s="323"/>
      <c r="EP53" s="321">
        <f>1-EL53</f>
        <v>1</v>
      </c>
      <c r="EQ53" s="322"/>
      <c r="ER53" s="322"/>
      <c r="ES53" s="323"/>
      <c r="ET53" s="18"/>
    </row>
    <row r="54" spans="1:150" ht="18" customHeight="1">
      <c r="A54" s="10"/>
      <c r="B54" s="10"/>
      <c r="C54" s="9"/>
      <c r="D54" s="24"/>
      <c r="E54" s="24"/>
      <c r="F54" s="24"/>
      <c r="G54" s="24"/>
      <c r="H54" s="24"/>
      <c r="I54" s="24"/>
      <c r="J54" s="24"/>
      <c r="K54" s="24"/>
      <c r="L54" s="24"/>
      <c r="M54" s="24"/>
      <c r="N54" s="24"/>
      <c r="O54" s="24"/>
      <c r="P54" s="24"/>
      <c r="Q54" s="24"/>
      <c r="R54" s="24"/>
      <c r="S54" s="24"/>
      <c r="T54" s="24"/>
      <c r="U54" s="24"/>
      <c r="V54" s="24"/>
      <c r="W54" s="24"/>
      <c r="X54" s="24"/>
      <c r="Y54" s="24"/>
      <c r="Z54" s="24"/>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30"/>
      <c r="BN54" s="30"/>
      <c r="CA54" s="10"/>
      <c r="CB54" s="7"/>
      <c r="CC54" s="15"/>
      <c r="CD54" s="306"/>
      <c r="CE54" s="306"/>
      <c r="CF54" s="306"/>
      <c r="CG54" s="306"/>
      <c r="CH54" s="306"/>
      <c r="CI54" s="306"/>
      <c r="CJ54" s="306"/>
      <c r="CK54" s="306"/>
      <c r="CL54" s="306"/>
      <c r="CM54" s="306"/>
      <c r="CN54" s="306"/>
      <c r="CO54" s="306"/>
      <c r="CP54" s="306"/>
      <c r="CQ54" s="306"/>
      <c r="CR54" s="306"/>
      <c r="CS54" s="306"/>
      <c r="CT54" s="306"/>
      <c r="CU54" s="306"/>
      <c r="CV54" s="306"/>
      <c r="CW54" s="306"/>
      <c r="CX54" s="306"/>
      <c r="CY54" s="306"/>
      <c r="CZ54" s="306"/>
      <c r="DA54" s="306"/>
      <c r="DB54" s="59"/>
      <c r="DC54" s="59"/>
      <c r="DD54" s="59"/>
      <c r="DE54" s="306"/>
      <c r="DF54" s="306"/>
      <c r="DG54" s="306"/>
      <c r="DH54" s="306"/>
      <c r="DI54" s="306"/>
      <c r="DJ54" s="306"/>
      <c r="DK54" s="306"/>
      <c r="DL54" s="306"/>
      <c r="DM54" s="306"/>
      <c r="DN54" s="306"/>
      <c r="DO54" s="306"/>
      <c r="DP54" s="306"/>
      <c r="DQ54" s="306"/>
      <c r="DR54" s="306"/>
      <c r="DS54" s="404"/>
      <c r="DT54" s="404"/>
      <c r="DU54" s="404"/>
      <c r="DV54" s="404"/>
      <c r="DW54" s="404"/>
      <c r="DX54" s="404"/>
      <c r="DY54" s="404"/>
      <c r="DZ54" s="404"/>
      <c r="EA54" s="404"/>
      <c r="EB54" s="404"/>
      <c r="EC54" s="404"/>
      <c r="ED54" s="404"/>
      <c r="EE54" s="404"/>
      <c r="EF54" s="404"/>
      <c r="EG54" s="404"/>
      <c r="EH54" s="404"/>
      <c r="EI54" s="404"/>
      <c r="EJ54" s="404"/>
      <c r="EK54" s="89"/>
      <c r="EL54" s="324"/>
      <c r="EM54" s="325"/>
      <c r="EN54" s="325"/>
      <c r="EO54" s="326"/>
      <c r="EP54" s="324"/>
      <c r="EQ54" s="325"/>
      <c r="ER54" s="325"/>
      <c r="ES54" s="326"/>
      <c r="ET54" s="18"/>
    </row>
    <row r="55" spans="1:150" ht="18" customHeight="1">
      <c r="A55" s="10"/>
      <c r="B55" s="10"/>
      <c r="C55" s="28"/>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9"/>
      <c r="BA55" s="29"/>
      <c r="BB55" s="29"/>
      <c r="BC55" s="29"/>
      <c r="BD55" s="26"/>
      <c r="BE55" s="26"/>
      <c r="BF55" s="26"/>
      <c r="BG55" s="26"/>
      <c r="BH55" s="26"/>
      <c r="BI55" s="26"/>
      <c r="BJ55" s="26"/>
      <c r="BK55" s="26"/>
      <c r="BL55" s="26"/>
      <c r="BM55" s="26"/>
      <c r="BN55" s="26"/>
      <c r="BO55" s="26"/>
      <c r="BP55" s="26"/>
      <c r="BQ55" s="26"/>
      <c r="BR55" s="26"/>
      <c r="BS55" s="26"/>
      <c r="BT55" s="26"/>
      <c r="BU55" s="26"/>
      <c r="BV55" s="26"/>
      <c r="BW55" s="26"/>
      <c r="BX55" s="26"/>
      <c r="BY55" s="26"/>
      <c r="BZ55" s="25"/>
      <c r="CA55" s="9"/>
      <c r="CB55" s="9"/>
      <c r="CC55" s="15"/>
      <c r="CD55" s="306"/>
      <c r="CE55" s="306"/>
      <c r="CF55" s="306"/>
      <c r="CG55" s="306"/>
      <c r="CH55" s="306"/>
      <c r="CI55" s="306"/>
      <c r="CJ55" s="306"/>
      <c r="CK55" s="306"/>
      <c r="CL55" s="306"/>
      <c r="CM55" s="306"/>
      <c r="CN55" s="306"/>
      <c r="CO55" s="306"/>
      <c r="CP55" s="306"/>
      <c r="CQ55" s="306"/>
      <c r="CR55" s="306"/>
      <c r="CS55" s="306"/>
      <c r="CT55" s="306"/>
      <c r="CU55" s="306"/>
      <c r="CV55" s="306"/>
      <c r="CW55" s="306"/>
      <c r="CX55" s="306"/>
      <c r="CY55" s="306"/>
      <c r="CZ55" s="306"/>
      <c r="DA55" s="306"/>
      <c r="DB55" s="59"/>
      <c r="DC55" s="59"/>
      <c r="DD55" s="59"/>
      <c r="DE55" s="306"/>
      <c r="DF55" s="306"/>
      <c r="DG55" s="306"/>
      <c r="DH55" s="306"/>
      <c r="DI55" s="306"/>
      <c r="DJ55" s="306"/>
      <c r="DK55" s="306"/>
      <c r="DL55" s="306"/>
      <c r="DM55" s="306"/>
      <c r="DN55" s="306"/>
      <c r="DO55" s="306"/>
      <c r="DP55" s="306"/>
      <c r="DQ55" s="306"/>
      <c r="DR55" s="306"/>
      <c r="DS55" s="404"/>
      <c r="DT55" s="404"/>
      <c r="DU55" s="404"/>
      <c r="DV55" s="404"/>
      <c r="DW55" s="404"/>
      <c r="DX55" s="404"/>
      <c r="DY55" s="404"/>
      <c r="DZ55" s="404"/>
      <c r="EA55" s="404"/>
      <c r="EB55" s="404"/>
      <c r="EC55" s="404"/>
      <c r="ED55" s="404"/>
      <c r="EE55" s="404"/>
      <c r="EF55" s="404"/>
      <c r="EG55" s="404"/>
      <c r="EH55" s="404"/>
      <c r="EI55" s="404"/>
      <c r="EJ55" s="404"/>
      <c r="EK55" s="68"/>
      <c r="EL55" s="68"/>
      <c r="EM55" s="68"/>
      <c r="EN55" s="61"/>
      <c r="EO55" s="61"/>
      <c r="EP55" s="61"/>
      <c r="EQ55" s="61"/>
      <c r="ER55" s="59"/>
      <c r="ES55" s="59"/>
      <c r="ET55" s="18"/>
    </row>
    <row r="56" spans="1:150" ht="12.6" customHeight="1">
      <c r="A56" s="10"/>
      <c r="B56" s="10"/>
      <c r="C56" s="15"/>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20"/>
      <c r="BA56" s="20"/>
      <c r="BB56" s="20"/>
      <c r="BC56" s="20"/>
      <c r="BD56" s="12"/>
      <c r="BE56" s="12"/>
      <c r="BF56" s="12"/>
      <c r="BG56" s="12"/>
      <c r="BH56" s="12"/>
      <c r="BI56" s="8"/>
      <c r="BJ56" s="8"/>
      <c r="BK56" s="8"/>
      <c r="BL56" s="8"/>
      <c r="BM56" s="8"/>
      <c r="BN56" s="8"/>
      <c r="BO56" s="8"/>
      <c r="BP56" s="8"/>
      <c r="BQ56" s="8"/>
      <c r="BR56" s="8"/>
      <c r="BS56" s="8"/>
      <c r="BT56" s="8"/>
      <c r="BU56" s="377" t="s">
        <v>75</v>
      </c>
      <c r="BV56" s="377"/>
      <c r="BW56" s="377"/>
      <c r="BX56" s="377"/>
      <c r="BY56" s="8"/>
      <c r="BZ56" s="18"/>
      <c r="CA56" s="9"/>
      <c r="CB56" s="9"/>
      <c r="CC56" s="15"/>
      <c r="CD56" s="306"/>
      <c r="CE56" s="306"/>
      <c r="CF56" s="306"/>
      <c r="CG56" s="306"/>
      <c r="CH56" s="306"/>
      <c r="CI56" s="306"/>
      <c r="CJ56" s="306"/>
      <c r="CK56" s="306"/>
      <c r="CL56" s="306"/>
      <c r="CM56" s="306"/>
      <c r="CN56" s="306"/>
      <c r="CO56" s="306"/>
      <c r="CP56" s="306"/>
      <c r="CQ56" s="306"/>
      <c r="CR56" s="306"/>
      <c r="CS56" s="306"/>
      <c r="CT56" s="306"/>
      <c r="CU56" s="306"/>
      <c r="CV56" s="306"/>
      <c r="CW56" s="306"/>
      <c r="CX56" s="306"/>
      <c r="CY56" s="306"/>
      <c r="CZ56" s="306"/>
      <c r="DA56" s="306"/>
      <c r="DB56" s="59"/>
      <c r="DC56" s="59"/>
      <c r="DD56" s="59"/>
      <c r="DE56" s="306"/>
      <c r="DF56" s="306"/>
      <c r="DG56" s="306"/>
      <c r="DH56" s="306"/>
      <c r="DI56" s="306"/>
      <c r="DJ56" s="306"/>
      <c r="DK56" s="306"/>
      <c r="DL56" s="306"/>
      <c r="DM56" s="306"/>
      <c r="DN56" s="306"/>
      <c r="DO56" s="306"/>
      <c r="DP56" s="306"/>
      <c r="DQ56" s="306"/>
      <c r="DR56" s="306"/>
      <c r="DS56" s="404"/>
      <c r="DT56" s="404"/>
      <c r="DU56" s="404"/>
      <c r="DV56" s="404"/>
      <c r="DW56" s="404"/>
      <c r="DX56" s="404"/>
      <c r="DY56" s="404"/>
      <c r="DZ56" s="404"/>
      <c r="EA56" s="404"/>
      <c r="EB56" s="404"/>
      <c r="EC56" s="404"/>
      <c r="ED56" s="404"/>
      <c r="EE56" s="404"/>
      <c r="EF56" s="404"/>
      <c r="EG56" s="404"/>
      <c r="EH56" s="404"/>
      <c r="EI56" s="404"/>
      <c r="EJ56" s="404"/>
      <c r="EK56" s="59"/>
      <c r="EL56" s="61"/>
      <c r="EM56" s="61"/>
      <c r="EN56" s="61"/>
      <c r="EO56" s="61"/>
      <c r="EP56" s="61"/>
      <c r="EQ56" s="61"/>
      <c r="ER56" s="59"/>
      <c r="ES56" s="59"/>
      <c r="ET56" s="18"/>
    </row>
    <row r="57" spans="1:150" ht="18" customHeight="1">
      <c r="C57" s="15"/>
      <c r="D57" s="378"/>
      <c r="E57" s="378"/>
      <c r="F57" s="378"/>
      <c r="G57" s="378"/>
      <c r="H57" s="378"/>
      <c r="I57" s="378"/>
      <c r="J57" s="378"/>
      <c r="K57" s="378"/>
      <c r="L57" s="379" t="s">
        <v>107</v>
      </c>
      <c r="M57" s="380"/>
      <c r="N57" s="380"/>
      <c r="O57" s="381" t="s">
        <v>106</v>
      </c>
      <c r="P57" s="382"/>
      <c r="Q57" s="382"/>
      <c r="R57" s="338" t="s">
        <v>105</v>
      </c>
      <c r="S57" s="338"/>
      <c r="T57" s="338"/>
      <c r="U57" s="383" t="s">
        <v>104</v>
      </c>
      <c r="V57" s="384"/>
      <c r="W57" s="384"/>
      <c r="X57" s="384"/>
      <c r="Y57" s="384"/>
      <c r="Z57" s="384"/>
      <c r="AA57" s="384"/>
      <c r="AB57" s="384"/>
      <c r="AC57" s="384"/>
      <c r="AD57" s="384"/>
      <c r="AE57" s="384"/>
      <c r="AF57" s="384"/>
      <c r="AG57" s="384"/>
      <c r="AH57" s="384"/>
      <c r="AI57" s="385"/>
      <c r="AJ57" s="379" t="s">
        <v>103</v>
      </c>
      <c r="AK57" s="380"/>
      <c r="AL57" s="380"/>
      <c r="AM57" s="338" t="s">
        <v>102</v>
      </c>
      <c r="AN57" s="338"/>
      <c r="AO57" s="338"/>
      <c r="AP57" s="338"/>
      <c r="AQ57" s="338"/>
      <c r="AR57" s="338"/>
      <c r="AS57" s="338"/>
      <c r="AT57" s="338"/>
      <c r="AU57" s="338"/>
      <c r="AV57" s="338"/>
      <c r="AW57" s="338"/>
      <c r="AX57" s="338"/>
      <c r="AY57" s="338"/>
      <c r="AZ57" s="338"/>
      <c r="BA57" s="338"/>
      <c r="BB57" s="338"/>
      <c r="BC57" s="338"/>
      <c r="BD57" s="338"/>
      <c r="BE57" s="338"/>
      <c r="BF57" s="338"/>
      <c r="BG57" s="338"/>
      <c r="BH57" s="338"/>
      <c r="BI57" s="338"/>
      <c r="BJ57" s="338"/>
      <c r="BK57" s="338"/>
      <c r="BL57" s="338"/>
      <c r="BM57" s="338"/>
      <c r="BN57" s="338"/>
      <c r="BO57" s="338"/>
      <c r="BP57" s="338"/>
      <c r="BQ57" s="338"/>
      <c r="BR57" s="338"/>
      <c r="BS57" s="338"/>
      <c r="BT57" s="338"/>
      <c r="BU57" s="370" t="s">
        <v>146</v>
      </c>
      <c r="BV57" s="371"/>
      <c r="BW57" s="371"/>
      <c r="BX57" s="372"/>
      <c r="BY57" s="8"/>
      <c r="BZ57" s="18"/>
      <c r="CA57" s="9"/>
      <c r="CB57" s="9"/>
      <c r="CC57" s="15"/>
      <c r="CD57" s="306"/>
      <c r="CE57" s="306"/>
      <c r="CF57" s="306"/>
      <c r="CG57" s="306"/>
      <c r="CH57" s="306"/>
      <c r="CI57" s="306"/>
      <c r="CJ57" s="306"/>
      <c r="CK57" s="306"/>
      <c r="CL57" s="306"/>
      <c r="CM57" s="306"/>
      <c r="CN57" s="306"/>
      <c r="CO57" s="306"/>
      <c r="CP57" s="306"/>
      <c r="CQ57" s="306"/>
      <c r="CR57" s="306"/>
      <c r="CS57" s="306"/>
      <c r="CT57" s="306"/>
      <c r="CU57" s="306"/>
      <c r="CV57" s="306"/>
      <c r="CW57" s="306"/>
      <c r="CX57" s="306"/>
      <c r="CY57" s="306"/>
      <c r="CZ57" s="306"/>
      <c r="DA57" s="306"/>
      <c r="DB57" s="59"/>
      <c r="DC57" s="59"/>
      <c r="DD57" s="59"/>
      <c r="DE57" s="306" t="s">
        <v>96</v>
      </c>
      <c r="DF57" s="306"/>
      <c r="DG57" s="306"/>
      <c r="DH57" s="306"/>
      <c r="DI57" s="306"/>
      <c r="DJ57" s="306"/>
      <c r="DK57" s="306"/>
      <c r="DL57" s="306"/>
      <c r="DM57" s="306"/>
      <c r="DN57" s="306"/>
      <c r="DO57" s="306"/>
      <c r="DP57" s="306"/>
      <c r="DQ57" s="306"/>
      <c r="DR57" s="306"/>
      <c r="DS57" s="404" t="str">
        <f>IF(VLOOKUP($D$11,調査票①!$A$9:$GR$57,194,FALSE)="○","","○")&amp;""</f>
        <v/>
      </c>
      <c r="DT57" s="404"/>
      <c r="DU57" s="404"/>
      <c r="DV57" s="404"/>
      <c r="DW57" s="404"/>
      <c r="DX57" s="404"/>
      <c r="DY57" s="404"/>
      <c r="DZ57" s="404"/>
      <c r="EA57" s="404"/>
      <c r="EB57" s="404"/>
      <c r="EC57" s="404"/>
      <c r="ED57" s="404"/>
      <c r="EE57" s="404"/>
      <c r="EF57" s="404"/>
      <c r="EG57" s="404"/>
      <c r="EH57" s="404"/>
      <c r="EI57" s="404"/>
      <c r="EJ57" s="404"/>
      <c r="EK57" s="59"/>
      <c r="EL57" s="61"/>
      <c r="EM57" s="61"/>
      <c r="EN57" s="61"/>
      <c r="EO57" s="61"/>
      <c r="EP57" s="61"/>
      <c r="EQ57" s="61"/>
      <c r="ER57" s="59"/>
      <c r="ES57" s="59"/>
      <c r="ET57" s="18"/>
    </row>
    <row r="58" spans="1:150" ht="18" customHeight="1">
      <c r="C58" s="15"/>
      <c r="D58" s="378"/>
      <c r="E58" s="378"/>
      <c r="F58" s="378"/>
      <c r="G58" s="378"/>
      <c r="H58" s="378"/>
      <c r="I58" s="378"/>
      <c r="J58" s="378"/>
      <c r="K58" s="378"/>
      <c r="L58" s="380"/>
      <c r="M58" s="380"/>
      <c r="N58" s="380"/>
      <c r="O58" s="382"/>
      <c r="P58" s="382"/>
      <c r="Q58" s="382"/>
      <c r="R58" s="338"/>
      <c r="S58" s="338"/>
      <c r="T58" s="338"/>
      <c r="U58" s="386"/>
      <c r="V58" s="387"/>
      <c r="W58" s="387"/>
      <c r="X58" s="387"/>
      <c r="Y58" s="387"/>
      <c r="Z58" s="387"/>
      <c r="AA58" s="387"/>
      <c r="AB58" s="387"/>
      <c r="AC58" s="387"/>
      <c r="AD58" s="387"/>
      <c r="AE58" s="387"/>
      <c r="AF58" s="387"/>
      <c r="AG58" s="387"/>
      <c r="AH58" s="387"/>
      <c r="AI58" s="388"/>
      <c r="AJ58" s="380"/>
      <c r="AK58" s="380"/>
      <c r="AL58" s="380"/>
      <c r="AM58" s="338"/>
      <c r="AN58" s="338"/>
      <c r="AO58" s="338"/>
      <c r="AP58" s="338"/>
      <c r="AQ58" s="338"/>
      <c r="AR58" s="338"/>
      <c r="AS58" s="338"/>
      <c r="AT58" s="338"/>
      <c r="AU58" s="338"/>
      <c r="AV58" s="338"/>
      <c r="AW58" s="338"/>
      <c r="AX58" s="338"/>
      <c r="AY58" s="338"/>
      <c r="AZ58" s="338"/>
      <c r="BA58" s="338"/>
      <c r="BB58" s="338"/>
      <c r="BC58" s="338"/>
      <c r="BD58" s="338"/>
      <c r="BE58" s="338"/>
      <c r="BF58" s="338"/>
      <c r="BG58" s="338"/>
      <c r="BH58" s="338"/>
      <c r="BI58" s="338"/>
      <c r="BJ58" s="338"/>
      <c r="BK58" s="338"/>
      <c r="BL58" s="338"/>
      <c r="BM58" s="338"/>
      <c r="BN58" s="338"/>
      <c r="BO58" s="338"/>
      <c r="BP58" s="338"/>
      <c r="BQ58" s="338"/>
      <c r="BR58" s="338"/>
      <c r="BS58" s="338"/>
      <c r="BT58" s="338"/>
      <c r="BU58" s="373"/>
      <c r="BV58" s="374"/>
      <c r="BW58" s="374"/>
      <c r="BX58" s="375"/>
      <c r="BY58" s="8"/>
      <c r="BZ58" s="18"/>
      <c r="CA58" s="9"/>
      <c r="CB58" s="9"/>
      <c r="CC58" s="15"/>
      <c r="CD58" s="306"/>
      <c r="CE58" s="306"/>
      <c r="CF58" s="306"/>
      <c r="CG58" s="306"/>
      <c r="CH58" s="306"/>
      <c r="CI58" s="306"/>
      <c r="CJ58" s="306"/>
      <c r="CK58" s="306"/>
      <c r="CL58" s="306"/>
      <c r="CM58" s="306"/>
      <c r="CN58" s="306"/>
      <c r="CO58" s="306"/>
      <c r="CP58" s="306"/>
      <c r="CQ58" s="306"/>
      <c r="CR58" s="306"/>
      <c r="CS58" s="306"/>
      <c r="CT58" s="306"/>
      <c r="CU58" s="306"/>
      <c r="CV58" s="306"/>
      <c r="CW58" s="306"/>
      <c r="CX58" s="306"/>
      <c r="CY58" s="306"/>
      <c r="CZ58" s="306"/>
      <c r="DA58" s="306"/>
      <c r="DB58" s="59"/>
      <c r="DC58" s="59"/>
      <c r="DD58" s="59"/>
      <c r="DE58" s="306"/>
      <c r="DF58" s="306"/>
      <c r="DG58" s="306"/>
      <c r="DH58" s="306"/>
      <c r="DI58" s="306"/>
      <c r="DJ58" s="306"/>
      <c r="DK58" s="306"/>
      <c r="DL58" s="306"/>
      <c r="DM58" s="306"/>
      <c r="DN58" s="306"/>
      <c r="DO58" s="306"/>
      <c r="DP58" s="306"/>
      <c r="DQ58" s="306"/>
      <c r="DR58" s="306"/>
      <c r="DS58" s="404"/>
      <c r="DT58" s="404"/>
      <c r="DU58" s="404"/>
      <c r="DV58" s="404"/>
      <c r="DW58" s="404"/>
      <c r="DX58" s="404"/>
      <c r="DY58" s="404"/>
      <c r="DZ58" s="404"/>
      <c r="EA58" s="404"/>
      <c r="EB58" s="404"/>
      <c r="EC58" s="404"/>
      <c r="ED58" s="404"/>
      <c r="EE58" s="404"/>
      <c r="EF58" s="404"/>
      <c r="EG58" s="404"/>
      <c r="EH58" s="404"/>
      <c r="EI58" s="404"/>
      <c r="EJ58" s="404"/>
      <c r="EK58" s="59"/>
      <c r="EL58" s="61"/>
      <c r="EM58" s="61"/>
      <c r="EN58" s="61"/>
      <c r="EO58" s="61"/>
      <c r="EP58" s="61"/>
      <c r="EQ58" s="61"/>
      <c r="ER58" s="59"/>
      <c r="ES58" s="59"/>
      <c r="ET58" s="18"/>
    </row>
    <row r="59" spans="1:150" ht="18" customHeight="1">
      <c r="C59" s="15"/>
      <c r="D59" s="329" t="s">
        <v>100</v>
      </c>
      <c r="E59" s="329"/>
      <c r="F59" s="329"/>
      <c r="G59" s="329"/>
      <c r="H59" s="329"/>
      <c r="I59" s="329"/>
      <c r="J59" s="329"/>
      <c r="K59" s="329"/>
      <c r="L59" s="330" t="str">
        <f>VLOOKUP($D$11,調査票①!$A$10:$GY$58,49,FALSE)&amp;""</f>
        <v>2</v>
      </c>
      <c r="M59" s="330"/>
      <c r="N59" s="330"/>
      <c r="O59" s="330" t="str">
        <f>VLOOKUP($D$11,調査票①!$A$10:$GY$58,50,FALSE)&amp;""</f>
        <v>2</v>
      </c>
      <c r="P59" s="330"/>
      <c r="Q59" s="330"/>
      <c r="R59" s="376">
        <f>VLOOKUP($D$11,調査票①!$A$10:$GY$58,51,FALSE)</f>
        <v>1</v>
      </c>
      <c r="S59" s="376"/>
      <c r="T59" s="376"/>
      <c r="U59" s="332" t="str">
        <f>VLOOKUP($D$11,調査票①!$A$10:$GY$58,52,FALSE)&amp;""</f>
        <v>　</v>
      </c>
      <c r="V59" s="333"/>
      <c r="W59" s="333"/>
      <c r="X59" s="333"/>
      <c r="Y59" s="333"/>
      <c r="Z59" s="333"/>
      <c r="AA59" s="333"/>
      <c r="AB59" s="333"/>
      <c r="AC59" s="333"/>
      <c r="AD59" s="333"/>
      <c r="AE59" s="333"/>
      <c r="AF59" s="333"/>
      <c r="AG59" s="333"/>
      <c r="AH59" s="333"/>
      <c r="AI59" s="334"/>
      <c r="AJ59" s="338" t="str">
        <f>VLOOKUP($D$11,調査票①!$A$10:$GY$58,53,FALSE)&amp;""</f>
        <v>0</v>
      </c>
      <c r="AK59" s="338"/>
      <c r="AL59" s="338"/>
      <c r="AM59" s="339" t="str">
        <f>VLOOKUP($D$11,調査票①!$A$10:$GY$58,54,FALSE)&amp;""</f>
        <v>　</v>
      </c>
      <c r="AN59" s="339"/>
      <c r="AO59" s="339"/>
      <c r="AP59" s="339"/>
      <c r="AQ59" s="339"/>
      <c r="AR59" s="339"/>
      <c r="AS59" s="339"/>
      <c r="AT59" s="339"/>
      <c r="AU59" s="339"/>
      <c r="AV59" s="339"/>
      <c r="AW59" s="339"/>
      <c r="AX59" s="339"/>
      <c r="AY59" s="339"/>
      <c r="AZ59" s="339"/>
      <c r="BA59" s="339"/>
      <c r="BB59" s="339"/>
      <c r="BC59" s="339"/>
      <c r="BD59" s="339"/>
      <c r="BE59" s="339"/>
      <c r="BF59" s="339"/>
      <c r="BG59" s="339"/>
      <c r="BH59" s="339"/>
      <c r="BI59" s="339"/>
      <c r="BJ59" s="339"/>
      <c r="BK59" s="339"/>
      <c r="BL59" s="339"/>
      <c r="BM59" s="339"/>
      <c r="BN59" s="339"/>
      <c r="BO59" s="339"/>
      <c r="BP59" s="339"/>
      <c r="BQ59" s="339"/>
      <c r="BR59" s="339"/>
      <c r="BS59" s="339"/>
      <c r="BT59" s="339"/>
      <c r="BU59" s="340">
        <f>調査票①!AY57</f>
        <v>0.95327102803738317</v>
      </c>
      <c r="BV59" s="340"/>
      <c r="BW59" s="340"/>
      <c r="BX59" s="340"/>
      <c r="BY59" s="8"/>
      <c r="BZ59" s="18"/>
      <c r="CA59" s="9"/>
      <c r="CB59" s="9"/>
      <c r="CC59" s="15"/>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59"/>
      <c r="DC59" s="59"/>
      <c r="DD59" s="59"/>
      <c r="DE59" s="306"/>
      <c r="DF59" s="306"/>
      <c r="DG59" s="306"/>
      <c r="DH59" s="306"/>
      <c r="DI59" s="306"/>
      <c r="DJ59" s="306"/>
      <c r="DK59" s="306"/>
      <c r="DL59" s="306"/>
      <c r="DM59" s="306"/>
      <c r="DN59" s="306"/>
      <c r="DO59" s="306"/>
      <c r="DP59" s="306"/>
      <c r="DQ59" s="306"/>
      <c r="DR59" s="306"/>
      <c r="DS59" s="404"/>
      <c r="DT59" s="404"/>
      <c r="DU59" s="404"/>
      <c r="DV59" s="404"/>
      <c r="DW59" s="404"/>
      <c r="DX59" s="404"/>
      <c r="DY59" s="404"/>
      <c r="DZ59" s="404"/>
      <c r="EA59" s="404"/>
      <c r="EB59" s="404"/>
      <c r="EC59" s="404"/>
      <c r="ED59" s="404"/>
      <c r="EE59" s="404"/>
      <c r="EF59" s="404"/>
      <c r="EG59" s="404"/>
      <c r="EH59" s="404"/>
      <c r="EI59" s="404"/>
      <c r="EJ59" s="404"/>
      <c r="EK59" s="59"/>
      <c r="EL59" s="61"/>
      <c r="EM59" s="61"/>
      <c r="EN59" s="61"/>
      <c r="EO59" s="61"/>
      <c r="EP59" s="61"/>
      <c r="EQ59" s="61"/>
      <c r="ER59" s="59"/>
      <c r="ES59" s="59"/>
      <c r="ET59" s="18"/>
    </row>
    <row r="60" spans="1:150" ht="18" customHeight="1">
      <c r="A60" s="8"/>
      <c r="C60" s="15"/>
      <c r="D60" s="329"/>
      <c r="E60" s="329"/>
      <c r="F60" s="329"/>
      <c r="G60" s="329"/>
      <c r="H60" s="329"/>
      <c r="I60" s="329"/>
      <c r="J60" s="329"/>
      <c r="K60" s="329"/>
      <c r="L60" s="330"/>
      <c r="M60" s="330"/>
      <c r="N60" s="330"/>
      <c r="O60" s="330"/>
      <c r="P60" s="330"/>
      <c r="Q60" s="330"/>
      <c r="R60" s="376"/>
      <c r="S60" s="376"/>
      <c r="T60" s="376"/>
      <c r="U60" s="335"/>
      <c r="V60" s="336"/>
      <c r="W60" s="336"/>
      <c r="X60" s="336"/>
      <c r="Y60" s="336"/>
      <c r="Z60" s="336"/>
      <c r="AA60" s="336"/>
      <c r="AB60" s="336"/>
      <c r="AC60" s="336"/>
      <c r="AD60" s="336"/>
      <c r="AE60" s="336"/>
      <c r="AF60" s="336"/>
      <c r="AG60" s="336"/>
      <c r="AH60" s="336"/>
      <c r="AI60" s="337"/>
      <c r="AJ60" s="338"/>
      <c r="AK60" s="338"/>
      <c r="AL60" s="338"/>
      <c r="AM60" s="339"/>
      <c r="AN60" s="339"/>
      <c r="AO60" s="339"/>
      <c r="AP60" s="339"/>
      <c r="AQ60" s="339"/>
      <c r="AR60" s="339"/>
      <c r="AS60" s="339"/>
      <c r="AT60" s="339"/>
      <c r="AU60" s="339"/>
      <c r="AV60" s="339"/>
      <c r="AW60" s="339"/>
      <c r="AX60" s="339"/>
      <c r="AY60" s="339"/>
      <c r="AZ60" s="339"/>
      <c r="BA60" s="339"/>
      <c r="BB60" s="339"/>
      <c r="BC60" s="339"/>
      <c r="BD60" s="339"/>
      <c r="BE60" s="339"/>
      <c r="BF60" s="339"/>
      <c r="BG60" s="339"/>
      <c r="BH60" s="339"/>
      <c r="BI60" s="339"/>
      <c r="BJ60" s="339"/>
      <c r="BK60" s="339"/>
      <c r="BL60" s="339"/>
      <c r="BM60" s="339"/>
      <c r="BN60" s="339"/>
      <c r="BO60" s="339"/>
      <c r="BP60" s="339"/>
      <c r="BQ60" s="339"/>
      <c r="BR60" s="339"/>
      <c r="BS60" s="339"/>
      <c r="BT60" s="339"/>
      <c r="BU60" s="340"/>
      <c r="BV60" s="340"/>
      <c r="BW60" s="340"/>
      <c r="BX60" s="340"/>
      <c r="BY60" s="8"/>
      <c r="BZ60" s="18"/>
      <c r="CA60" s="9"/>
      <c r="CB60" s="9"/>
      <c r="CC60" s="15"/>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59"/>
      <c r="DC60" s="59"/>
      <c r="DD60" s="59"/>
      <c r="DE60" s="306"/>
      <c r="DF60" s="306"/>
      <c r="DG60" s="306"/>
      <c r="DH60" s="306"/>
      <c r="DI60" s="306"/>
      <c r="DJ60" s="306"/>
      <c r="DK60" s="306"/>
      <c r="DL60" s="306"/>
      <c r="DM60" s="306"/>
      <c r="DN60" s="306"/>
      <c r="DO60" s="306"/>
      <c r="DP60" s="306"/>
      <c r="DQ60" s="306"/>
      <c r="DR60" s="306"/>
      <c r="DS60" s="404"/>
      <c r="DT60" s="404"/>
      <c r="DU60" s="404"/>
      <c r="DV60" s="404"/>
      <c r="DW60" s="404"/>
      <c r="DX60" s="404"/>
      <c r="DY60" s="404"/>
      <c r="DZ60" s="404"/>
      <c r="EA60" s="404"/>
      <c r="EB60" s="404"/>
      <c r="EC60" s="404"/>
      <c r="ED60" s="404"/>
      <c r="EE60" s="404"/>
      <c r="EF60" s="404"/>
      <c r="EG60" s="404"/>
      <c r="EH60" s="404"/>
      <c r="EI60" s="404"/>
      <c r="EJ60" s="404"/>
      <c r="EK60" s="59"/>
      <c r="EL60" s="59"/>
      <c r="EM60" s="59"/>
      <c r="EN60" s="61"/>
      <c r="EO60" s="61"/>
      <c r="EP60" s="61"/>
      <c r="EQ60" s="61"/>
      <c r="ER60" s="59"/>
      <c r="ES60" s="59"/>
      <c r="ET60" s="18"/>
    </row>
    <row r="61" spans="1:150" ht="18" customHeight="1">
      <c r="C61" s="15"/>
      <c r="D61" s="343" t="s">
        <v>494</v>
      </c>
      <c r="E61" s="329"/>
      <c r="F61" s="329"/>
      <c r="G61" s="329"/>
      <c r="H61" s="329"/>
      <c r="I61" s="329"/>
      <c r="J61" s="329"/>
      <c r="K61" s="329"/>
      <c r="L61" s="351" t="str">
        <f>VLOOKUP($D$11,調査票①!$A$10:$GY$58,55,FALSE)&amp;""</f>
        <v>0</v>
      </c>
      <c r="M61" s="351"/>
      <c r="N61" s="351"/>
      <c r="O61" s="351" t="str">
        <f>VLOOKUP($D$11,調査票①!$A$10:$GY$58,56,FALSE)&amp;""</f>
        <v>0</v>
      </c>
      <c r="P61" s="351"/>
      <c r="Q61" s="351"/>
      <c r="R61" s="331" t="str">
        <f>VLOOKUP($D$11,調査票①!$A$10:$GY$58,57,FALSE)</f>
        <v/>
      </c>
      <c r="S61" s="331"/>
      <c r="T61" s="331"/>
      <c r="U61" s="332" t="str">
        <f>VLOOKUP($D$11,調査票①!$A$10:$GY$58,58,FALSE)&amp;""</f>
        <v>　</v>
      </c>
      <c r="V61" s="333"/>
      <c r="W61" s="333"/>
      <c r="X61" s="333"/>
      <c r="Y61" s="333"/>
      <c r="Z61" s="333"/>
      <c r="AA61" s="333"/>
      <c r="AB61" s="333"/>
      <c r="AC61" s="333"/>
      <c r="AD61" s="333"/>
      <c r="AE61" s="333"/>
      <c r="AF61" s="333"/>
      <c r="AG61" s="333"/>
      <c r="AH61" s="333"/>
      <c r="AI61" s="334"/>
      <c r="AJ61" s="338" t="str">
        <f>VLOOKUP($D$11,調査票①!$A$10:$GY$58,59,FALSE)&amp;""</f>
        <v>0</v>
      </c>
      <c r="AK61" s="338"/>
      <c r="AL61" s="338"/>
      <c r="AM61" s="339" t="str">
        <f>VLOOKUP($D$11,調査票①!$A$10:$GY$58,60,FALSE)&amp;""</f>
        <v>　</v>
      </c>
      <c r="AN61" s="339"/>
      <c r="AO61" s="339"/>
      <c r="AP61" s="339"/>
      <c r="AQ61" s="339"/>
      <c r="AR61" s="339"/>
      <c r="AS61" s="339"/>
      <c r="AT61" s="339"/>
      <c r="AU61" s="339"/>
      <c r="AV61" s="339"/>
      <c r="AW61" s="339"/>
      <c r="AX61" s="339"/>
      <c r="AY61" s="339"/>
      <c r="AZ61" s="339"/>
      <c r="BA61" s="339"/>
      <c r="BB61" s="339"/>
      <c r="BC61" s="339"/>
      <c r="BD61" s="339"/>
      <c r="BE61" s="339"/>
      <c r="BF61" s="339"/>
      <c r="BG61" s="339"/>
      <c r="BH61" s="339"/>
      <c r="BI61" s="339"/>
      <c r="BJ61" s="339"/>
      <c r="BK61" s="339"/>
      <c r="BL61" s="339"/>
      <c r="BM61" s="339"/>
      <c r="BN61" s="339"/>
      <c r="BO61" s="339"/>
      <c r="BP61" s="339"/>
      <c r="BQ61" s="339"/>
      <c r="BR61" s="339"/>
      <c r="BS61" s="339"/>
      <c r="BT61" s="339"/>
      <c r="BU61" s="340">
        <f>調査票①!BE57</f>
        <v>0.9285714285714286</v>
      </c>
      <c r="BV61" s="340"/>
      <c r="BW61" s="340"/>
      <c r="BX61" s="340"/>
      <c r="BY61" s="8"/>
      <c r="BZ61" s="18"/>
      <c r="CA61" s="9"/>
      <c r="CB61" s="9"/>
      <c r="CC61" s="15"/>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59"/>
      <c r="DC61" s="59"/>
      <c r="DD61" s="59"/>
      <c r="DE61" s="66"/>
      <c r="DF61" s="66"/>
      <c r="DG61" s="66"/>
      <c r="DH61" s="66"/>
      <c r="DI61" s="66"/>
      <c r="DJ61" s="66"/>
      <c r="DK61" s="66"/>
      <c r="DL61" s="66"/>
      <c r="DM61" s="90"/>
      <c r="DN61" s="90"/>
      <c r="DO61" s="90"/>
      <c r="DP61" s="90"/>
      <c r="DQ61" s="90"/>
      <c r="DR61" s="90"/>
      <c r="DS61" s="90"/>
      <c r="DT61" s="90"/>
      <c r="DU61" s="90"/>
      <c r="DV61" s="90"/>
      <c r="DW61" s="90"/>
      <c r="DX61" s="90"/>
      <c r="DY61" s="67"/>
      <c r="DZ61" s="67"/>
      <c r="EA61" s="67"/>
      <c r="EB61" s="67"/>
      <c r="EC61" s="67"/>
      <c r="ED61" s="67"/>
      <c r="EE61" s="67"/>
      <c r="EF61" s="67"/>
      <c r="EG61" s="67"/>
      <c r="EH61" s="67"/>
      <c r="EI61" s="67"/>
      <c r="EJ61" s="67"/>
      <c r="EK61" s="59"/>
      <c r="EL61" s="59"/>
      <c r="EM61" s="59"/>
      <c r="EN61" s="59"/>
      <c r="EO61" s="59"/>
      <c r="EP61" s="59"/>
      <c r="EQ61" s="59"/>
      <c r="ER61" s="59"/>
      <c r="ES61" s="59"/>
      <c r="ET61" s="18"/>
    </row>
    <row r="62" spans="1:150" ht="18" customHeight="1">
      <c r="C62" s="15"/>
      <c r="D62" s="329"/>
      <c r="E62" s="329"/>
      <c r="F62" s="329"/>
      <c r="G62" s="329"/>
      <c r="H62" s="329"/>
      <c r="I62" s="329"/>
      <c r="J62" s="329"/>
      <c r="K62" s="329"/>
      <c r="L62" s="351"/>
      <c r="M62" s="351"/>
      <c r="N62" s="351"/>
      <c r="O62" s="351"/>
      <c r="P62" s="351"/>
      <c r="Q62" s="351"/>
      <c r="R62" s="331"/>
      <c r="S62" s="331"/>
      <c r="T62" s="331"/>
      <c r="U62" s="335"/>
      <c r="V62" s="336"/>
      <c r="W62" s="336"/>
      <c r="X62" s="336"/>
      <c r="Y62" s="336"/>
      <c r="Z62" s="336"/>
      <c r="AA62" s="336"/>
      <c r="AB62" s="336"/>
      <c r="AC62" s="336"/>
      <c r="AD62" s="336"/>
      <c r="AE62" s="336"/>
      <c r="AF62" s="336"/>
      <c r="AG62" s="336"/>
      <c r="AH62" s="336"/>
      <c r="AI62" s="337"/>
      <c r="AJ62" s="338"/>
      <c r="AK62" s="338"/>
      <c r="AL62" s="338"/>
      <c r="AM62" s="339"/>
      <c r="AN62" s="339"/>
      <c r="AO62" s="339"/>
      <c r="AP62" s="339"/>
      <c r="AQ62" s="339"/>
      <c r="AR62" s="339"/>
      <c r="AS62" s="339"/>
      <c r="AT62" s="339"/>
      <c r="AU62" s="339"/>
      <c r="AV62" s="339"/>
      <c r="AW62" s="339"/>
      <c r="AX62" s="339"/>
      <c r="AY62" s="339"/>
      <c r="AZ62" s="339"/>
      <c r="BA62" s="339"/>
      <c r="BB62" s="339"/>
      <c r="BC62" s="339"/>
      <c r="BD62" s="339"/>
      <c r="BE62" s="339"/>
      <c r="BF62" s="339"/>
      <c r="BG62" s="339"/>
      <c r="BH62" s="339"/>
      <c r="BI62" s="339"/>
      <c r="BJ62" s="339"/>
      <c r="BK62" s="339"/>
      <c r="BL62" s="339"/>
      <c r="BM62" s="339"/>
      <c r="BN62" s="339"/>
      <c r="BO62" s="339"/>
      <c r="BP62" s="339"/>
      <c r="BQ62" s="339"/>
      <c r="BR62" s="339"/>
      <c r="BS62" s="339"/>
      <c r="BT62" s="339"/>
      <c r="BU62" s="340"/>
      <c r="BV62" s="340"/>
      <c r="BW62" s="340"/>
      <c r="BX62" s="340"/>
      <c r="BY62" s="8"/>
      <c r="BZ62" s="18"/>
      <c r="CA62" s="9"/>
      <c r="CB62" s="9"/>
      <c r="CC62" s="15"/>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66"/>
      <c r="DF62" s="66"/>
      <c r="DG62" s="66"/>
      <c r="DH62" s="66"/>
      <c r="DI62" s="66"/>
      <c r="DJ62" s="66"/>
      <c r="DK62" s="66"/>
      <c r="DL62" s="66"/>
      <c r="DM62" s="90"/>
      <c r="DN62" s="90"/>
      <c r="DO62" s="90"/>
      <c r="DP62" s="90"/>
      <c r="DQ62" s="90"/>
      <c r="DR62" s="90"/>
      <c r="DS62" s="90"/>
      <c r="DT62" s="90"/>
      <c r="DU62" s="90"/>
      <c r="DV62" s="90"/>
      <c r="DW62" s="90"/>
      <c r="DX62" s="90"/>
      <c r="DY62" s="67"/>
      <c r="DZ62" s="67"/>
      <c r="EA62" s="67"/>
      <c r="EB62" s="67"/>
      <c r="EC62" s="67"/>
      <c r="ED62" s="67"/>
      <c r="EE62" s="67"/>
      <c r="EF62" s="67"/>
      <c r="EG62" s="67"/>
      <c r="EH62" s="67"/>
      <c r="EI62" s="67"/>
      <c r="EJ62" s="67"/>
      <c r="EK62" s="59"/>
      <c r="EL62" s="59"/>
      <c r="EM62" s="59"/>
      <c r="EN62" s="59"/>
      <c r="EO62" s="59"/>
      <c r="EP62" s="59"/>
      <c r="EQ62" s="59"/>
      <c r="ER62" s="59"/>
      <c r="ES62" s="59"/>
      <c r="ET62" s="18"/>
    </row>
    <row r="63" spans="1:150" ht="18" customHeight="1">
      <c r="C63" s="15"/>
      <c r="D63" s="329" t="s">
        <v>97</v>
      </c>
      <c r="E63" s="329"/>
      <c r="F63" s="329"/>
      <c r="G63" s="329"/>
      <c r="H63" s="329"/>
      <c r="I63" s="329"/>
      <c r="J63" s="329"/>
      <c r="K63" s="329"/>
      <c r="L63" s="351" t="str">
        <f>VLOOKUP($D$11,調査票①!$A$10:$GY$58,61,FALSE)&amp;""</f>
        <v>0</v>
      </c>
      <c r="M63" s="351"/>
      <c r="N63" s="351"/>
      <c r="O63" s="351" t="str">
        <f>VLOOKUP($D$11,調査票①!$A$10:$GY$58,62,FALSE)&amp;""</f>
        <v>0</v>
      </c>
      <c r="P63" s="351"/>
      <c r="Q63" s="351"/>
      <c r="R63" s="331" t="str">
        <f>VLOOKUP($D$11,調査票①!$A$10:$GY$58,63,FALSE)</f>
        <v/>
      </c>
      <c r="S63" s="331"/>
      <c r="T63" s="331"/>
      <c r="U63" s="332" t="str">
        <f>VLOOKUP($D$11,調査票①!$A$10:$GY$58,64,FALSE)&amp;""</f>
        <v>　</v>
      </c>
      <c r="V63" s="333"/>
      <c r="W63" s="333"/>
      <c r="X63" s="333"/>
      <c r="Y63" s="333"/>
      <c r="Z63" s="333"/>
      <c r="AA63" s="333"/>
      <c r="AB63" s="333"/>
      <c r="AC63" s="333"/>
      <c r="AD63" s="333"/>
      <c r="AE63" s="333"/>
      <c r="AF63" s="333"/>
      <c r="AG63" s="333"/>
      <c r="AH63" s="333"/>
      <c r="AI63" s="334"/>
      <c r="AJ63" s="338" t="str">
        <f>VLOOKUP($D$11,調査票①!$A$10:$GY$58,65,FALSE)&amp;""</f>
        <v>0</v>
      </c>
      <c r="AK63" s="338"/>
      <c r="AL63" s="338"/>
      <c r="AM63" s="339" t="str">
        <f>VLOOKUP($D$11,調査票①!$A$10:$GY$58,66,FALSE)&amp;""</f>
        <v>　</v>
      </c>
      <c r="AN63" s="339"/>
      <c r="AO63" s="339"/>
      <c r="AP63" s="339"/>
      <c r="AQ63" s="339"/>
      <c r="AR63" s="339"/>
      <c r="AS63" s="339"/>
      <c r="AT63" s="339"/>
      <c r="AU63" s="339"/>
      <c r="AV63" s="339"/>
      <c r="AW63" s="339"/>
      <c r="AX63" s="339"/>
      <c r="AY63" s="339"/>
      <c r="AZ63" s="339"/>
      <c r="BA63" s="339"/>
      <c r="BB63" s="339"/>
      <c r="BC63" s="339"/>
      <c r="BD63" s="339"/>
      <c r="BE63" s="339"/>
      <c r="BF63" s="339"/>
      <c r="BG63" s="339"/>
      <c r="BH63" s="339"/>
      <c r="BI63" s="339"/>
      <c r="BJ63" s="339"/>
      <c r="BK63" s="339"/>
      <c r="BL63" s="339"/>
      <c r="BM63" s="339"/>
      <c r="BN63" s="339"/>
      <c r="BO63" s="339"/>
      <c r="BP63" s="339"/>
      <c r="BQ63" s="339"/>
      <c r="BR63" s="339"/>
      <c r="BS63" s="339"/>
      <c r="BT63" s="339"/>
      <c r="BU63" s="340">
        <f>調査票①!BK57</f>
        <v>0.95348837209302328</v>
      </c>
      <c r="BV63" s="340"/>
      <c r="BW63" s="340"/>
      <c r="BX63" s="340"/>
      <c r="BY63" s="8"/>
      <c r="BZ63" s="18"/>
      <c r="CA63" s="9"/>
      <c r="CB63" s="9"/>
      <c r="CC63" s="13"/>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9"/>
      <c r="DF63" s="69"/>
      <c r="DG63" s="69"/>
      <c r="DH63" s="69"/>
      <c r="DI63" s="69"/>
      <c r="DJ63" s="91"/>
      <c r="DK63" s="91"/>
      <c r="DL63" s="91"/>
      <c r="DM63" s="91"/>
      <c r="DN63" s="91"/>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19"/>
    </row>
    <row r="64" spans="1:150" ht="18" customHeight="1">
      <c r="C64" s="15"/>
      <c r="D64" s="329"/>
      <c r="E64" s="329"/>
      <c r="F64" s="329"/>
      <c r="G64" s="329"/>
      <c r="H64" s="329"/>
      <c r="I64" s="329"/>
      <c r="J64" s="329"/>
      <c r="K64" s="329"/>
      <c r="L64" s="351"/>
      <c r="M64" s="351"/>
      <c r="N64" s="351"/>
      <c r="O64" s="351"/>
      <c r="P64" s="351"/>
      <c r="Q64" s="351"/>
      <c r="R64" s="331"/>
      <c r="S64" s="331"/>
      <c r="T64" s="331"/>
      <c r="U64" s="335"/>
      <c r="V64" s="336"/>
      <c r="W64" s="336"/>
      <c r="X64" s="336"/>
      <c r="Y64" s="336"/>
      <c r="Z64" s="336"/>
      <c r="AA64" s="336"/>
      <c r="AB64" s="336"/>
      <c r="AC64" s="336"/>
      <c r="AD64" s="336"/>
      <c r="AE64" s="336"/>
      <c r="AF64" s="336"/>
      <c r="AG64" s="336"/>
      <c r="AH64" s="336"/>
      <c r="AI64" s="337"/>
      <c r="AJ64" s="338"/>
      <c r="AK64" s="338"/>
      <c r="AL64" s="338"/>
      <c r="AM64" s="339"/>
      <c r="AN64" s="339"/>
      <c r="AO64" s="339"/>
      <c r="AP64" s="339"/>
      <c r="AQ64" s="339"/>
      <c r="AR64" s="339"/>
      <c r="AS64" s="339"/>
      <c r="AT64" s="339"/>
      <c r="AU64" s="339"/>
      <c r="AV64" s="339"/>
      <c r="AW64" s="339"/>
      <c r="AX64" s="339"/>
      <c r="AY64" s="339"/>
      <c r="AZ64" s="339"/>
      <c r="BA64" s="339"/>
      <c r="BB64" s="339"/>
      <c r="BC64" s="339"/>
      <c r="BD64" s="339"/>
      <c r="BE64" s="339"/>
      <c r="BF64" s="339"/>
      <c r="BG64" s="339"/>
      <c r="BH64" s="339"/>
      <c r="BI64" s="339"/>
      <c r="BJ64" s="339"/>
      <c r="BK64" s="339"/>
      <c r="BL64" s="339"/>
      <c r="BM64" s="339"/>
      <c r="BN64" s="339"/>
      <c r="BO64" s="339"/>
      <c r="BP64" s="339"/>
      <c r="BQ64" s="339"/>
      <c r="BR64" s="339"/>
      <c r="BS64" s="339"/>
      <c r="BT64" s="339"/>
      <c r="BU64" s="340"/>
      <c r="BV64" s="340"/>
      <c r="BW64" s="340"/>
      <c r="BX64" s="340"/>
      <c r="BY64" s="8"/>
      <c r="BZ64" s="18"/>
      <c r="CA64" s="9"/>
      <c r="CB64" s="9"/>
      <c r="CC64" s="9"/>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9"/>
      <c r="DC64" s="79"/>
      <c r="DD64" s="79"/>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79"/>
      <c r="ES64" s="79"/>
      <c r="ET64" s="9"/>
    </row>
    <row r="65" spans="3:152" ht="18" customHeight="1">
      <c r="C65" s="15"/>
      <c r="D65" s="329" t="s">
        <v>95</v>
      </c>
      <c r="E65" s="329"/>
      <c r="F65" s="329"/>
      <c r="G65" s="329"/>
      <c r="H65" s="329"/>
      <c r="I65" s="329"/>
      <c r="J65" s="329"/>
      <c r="K65" s="329"/>
      <c r="L65" s="330" t="str">
        <f>VLOOKUP($D$11,調査票①!$A$10:$GY$58,67,FALSE)&amp;""</f>
        <v>0</v>
      </c>
      <c r="M65" s="330"/>
      <c r="N65" s="330"/>
      <c r="O65" s="330" t="str">
        <f>VLOOKUP($D$11,調査票①!$A$10:$GY$58,68,FALSE)&amp;""</f>
        <v>0</v>
      </c>
      <c r="P65" s="330"/>
      <c r="Q65" s="330"/>
      <c r="R65" s="331" t="str">
        <f>VLOOKUP($D$11,調査票①!$A$10:$GY$58,69,FALSE)</f>
        <v/>
      </c>
      <c r="S65" s="331"/>
      <c r="T65" s="331"/>
      <c r="U65" s="332" t="str">
        <f>VLOOKUP($D$11,調査票①!$A$10:$GY$58,70,FALSE)&amp;""</f>
        <v>　</v>
      </c>
      <c r="V65" s="333"/>
      <c r="W65" s="333"/>
      <c r="X65" s="333"/>
      <c r="Y65" s="333"/>
      <c r="Z65" s="333"/>
      <c r="AA65" s="333"/>
      <c r="AB65" s="333"/>
      <c r="AC65" s="333"/>
      <c r="AD65" s="333"/>
      <c r="AE65" s="333"/>
      <c r="AF65" s="333"/>
      <c r="AG65" s="333"/>
      <c r="AH65" s="333"/>
      <c r="AI65" s="334"/>
      <c r="AJ65" s="338" t="str">
        <f>VLOOKUP($D$11,調査票①!$A$10:$GY$58,71,FALSE)&amp;""</f>
        <v>0</v>
      </c>
      <c r="AK65" s="338"/>
      <c r="AL65" s="338"/>
      <c r="AM65" s="339" t="str">
        <f>VLOOKUP($D$11,調査票①!$A$10:$GY$58,72,FALSE)&amp;""</f>
        <v>　</v>
      </c>
      <c r="AN65" s="339"/>
      <c r="AO65" s="339"/>
      <c r="AP65" s="339"/>
      <c r="AQ65" s="339"/>
      <c r="AR65" s="339"/>
      <c r="AS65" s="339"/>
      <c r="AT65" s="339"/>
      <c r="AU65" s="339"/>
      <c r="AV65" s="339"/>
      <c r="AW65" s="339"/>
      <c r="AX65" s="339"/>
      <c r="AY65" s="339"/>
      <c r="AZ65" s="339"/>
      <c r="BA65" s="339"/>
      <c r="BB65" s="339"/>
      <c r="BC65" s="339"/>
      <c r="BD65" s="339"/>
      <c r="BE65" s="339"/>
      <c r="BF65" s="339"/>
      <c r="BG65" s="339"/>
      <c r="BH65" s="339"/>
      <c r="BI65" s="339"/>
      <c r="BJ65" s="339"/>
      <c r="BK65" s="339"/>
      <c r="BL65" s="339"/>
      <c r="BM65" s="339"/>
      <c r="BN65" s="339"/>
      <c r="BO65" s="339"/>
      <c r="BP65" s="339"/>
      <c r="BQ65" s="339"/>
      <c r="BR65" s="339"/>
      <c r="BS65" s="339"/>
      <c r="BT65" s="339"/>
      <c r="BU65" s="340">
        <f>調査票①!BQ57</f>
        <v>0.5714285714285714</v>
      </c>
      <c r="BV65" s="340"/>
      <c r="BW65" s="340"/>
      <c r="BX65" s="340"/>
      <c r="BY65" s="8"/>
      <c r="BZ65" s="18"/>
      <c r="CA65" s="9"/>
      <c r="CB65" s="9"/>
      <c r="CC65" s="9"/>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9"/>
      <c r="DC65" s="79"/>
      <c r="DD65" s="79"/>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79"/>
      <c r="ES65" s="79"/>
      <c r="ET65" s="9"/>
    </row>
    <row r="66" spans="3:152" ht="18" customHeight="1">
      <c r="C66" s="15"/>
      <c r="D66" s="329"/>
      <c r="E66" s="329"/>
      <c r="F66" s="329"/>
      <c r="G66" s="329"/>
      <c r="H66" s="329"/>
      <c r="I66" s="329"/>
      <c r="J66" s="329"/>
      <c r="K66" s="329"/>
      <c r="L66" s="330"/>
      <c r="M66" s="330"/>
      <c r="N66" s="330"/>
      <c r="O66" s="330"/>
      <c r="P66" s="330"/>
      <c r="Q66" s="330"/>
      <c r="R66" s="331"/>
      <c r="S66" s="331"/>
      <c r="T66" s="331"/>
      <c r="U66" s="335"/>
      <c r="V66" s="336"/>
      <c r="W66" s="336"/>
      <c r="X66" s="336"/>
      <c r="Y66" s="336"/>
      <c r="Z66" s="336"/>
      <c r="AA66" s="336"/>
      <c r="AB66" s="336"/>
      <c r="AC66" s="336"/>
      <c r="AD66" s="336"/>
      <c r="AE66" s="336"/>
      <c r="AF66" s="336"/>
      <c r="AG66" s="336"/>
      <c r="AH66" s="336"/>
      <c r="AI66" s="337"/>
      <c r="AJ66" s="338"/>
      <c r="AK66" s="338"/>
      <c r="AL66" s="338"/>
      <c r="AM66" s="339"/>
      <c r="AN66" s="339"/>
      <c r="AO66" s="339"/>
      <c r="AP66" s="339"/>
      <c r="AQ66" s="339"/>
      <c r="AR66" s="339"/>
      <c r="AS66" s="339"/>
      <c r="AT66" s="339"/>
      <c r="AU66" s="339"/>
      <c r="AV66" s="339"/>
      <c r="AW66" s="339"/>
      <c r="AX66" s="339"/>
      <c r="AY66" s="339"/>
      <c r="AZ66" s="339"/>
      <c r="BA66" s="339"/>
      <c r="BB66" s="339"/>
      <c r="BC66" s="339"/>
      <c r="BD66" s="339"/>
      <c r="BE66" s="339"/>
      <c r="BF66" s="339"/>
      <c r="BG66" s="339"/>
      <c r="BH66" s="339"/>
      <c r="BI66" s="339"/>
      <c r="BJ66" s="339"/>
      <c r="BK66" s="339"/>
      <c r="BL66" s="339"/>
      <c r="BM66" s="339"/>
      <c r="BN66" s="339"/>
      <c r="BO66" s="339"/>
      <c r="BP66" s="339"/>
      <c r="BQ66" s="339"/>
      <c r="BR66" s="339"/>
      <c r="BS66" s="339"/>
      <c r="BT66" s="339"/>
      <c r="BU66" s="340"/>
      <c r="BV66" s="340"/>
      <c r="BW66" s="340"/>
      <c r="BX66" s="340"/>
      <c r="BY66" s="8"/>
      <c r="BZ66" s="18"/>
      <c r="CA66" s="9"/>
      <c r="CB66" s="9"/>
      <c r="CC66" s="9"/>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9"/>
      <c r="DC66" s="79"/>
      <c r="DD66" s="79"/>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79"/>
      <c r="ES66" s="79"/>
      <c r="ET66" s="9"/>
    </row>
    <row r="67" spans="3:152" ht="18" customHeight="1">
      <c r="C67" s="15"/>
      <c r="D67" s="341" t="s">
        <v>495</v>
      </c>
      <c r="E67" s="342"/>
      <c r="F67" s="342"/>
      <c r="G67" s="342"/>
      <c r="H67" s="342"/>
      <c r="I67" s="342"/>
      <c r="J67" s="342"/>
      <c r="K67" s="342"/>
      <c r="L67" s="330" t="str">
        <f>VLOOKUP($D$11,調査票①!$A$10:$GY$58,73,FALSE)&amp;""</f>
        <v>0</v>
      </c>
      <c r="M67" s="330"/>
      <c r="N67" s="330"/>
      <c r="O67" s="330" t="str">
        <f>VLOOKUP($D$11,調査票①!$A$10:$GY$58,74,FALSE)&amp;""</f>
        <v>0</v>
      </c>
      <c r="P67" s="330"/>
      <c r="Q67" s="330"/>
      <c r="R67" s="331" t="str">
        <f>VLOOKUP($D$11,調査票①!$A$10:$GY$58,75,FALSE)</f>
        <v/>
      </c>
      <c r="S67" s="331"/>
      <c r="T67" s="331"/>
      <c r="U67" s="332" t="str">
        <f>VLOOKUP($D$11,調査票①!$A$10:$GY$58,76,FALSE)&amp;""</f>
        <v>　</v>
      </c>
      <c r="V67" s="333"/>
      <c r="W67" s="333"/>
      <c r="X67" s="333"/>
      <c r="Y67" s="333"/>
      <c r="Z67" s="333"/>
      <c r="AA67" s="333"/>
      <c r="AB67" s="333"/>
      <c r="AC67" s="333"/>
      <c r="AD67" s="333"/>
      <c r="AE67" s="333"/>
      <c r="AF67" s="333"/>
      <c r="AG67" s="333"/>
      <c r="AH67" s="333"/>
      <c r="AI67" s="334"/>
      <c r="AJ67" s="338" t="str">
        <f>VLOOKUP($D$11,調査票①!$A$10:$GY$58,77,FALSE)&amp;""</f>
        <v>0</v>
      </c>
      <c r="AK67" s="338"/>
      <c r="AL67" s="338"/>
      <c r="AM67" s="339" t="str">
        <f>VLOOKUP($D$11,調査票①!$A$10:$GY$58,78,FALSE)&amp;""</f>
        <v>　</v>
      </c>
      <c r="AN67" s="339"/>
      <c r="AO67" s="339"/>
      <c r="AP67" s="339"/>
      <c r="AQ67" s="339"/>
      <c r="AR67" s="339"/>
      <c r="AS67" s="339"/>
      <c r="AT67" s="339"/>
      <c r="AU67" s="339"/>
      <c r="AV67" s="339"/>
      <c r="AW67" s="339"/>
      <c r="AX67" s="339"/>
      <c r="AY67" s="339"/>
      <c r="AZ67" s="339"/>
      <c r="BA67" s="339"/>
      <c r="BB67" s="339"/>
      <c r="BC67" s="339"/>
      <c r="BD67" s="339"/>
      <c r="BE67" s="339"/>
      <c r="BF67" s="339"/>
      <c r="BG67" s="339"/>
      <c r="BH67" s="339"/>
      <c r="BI67" s="339"/>
      <c r="BJ67" s="339"/>
      <c r="BK67" s="339"/>
      <c r="BL67" s="339"/>
      <c r="BM67" s="339"/>
      <c r="BN67" s="339"/>
      <c r="BO67" s="339"/>
      <c r="BP67" s="339"/>
      <c r="BQ67" s="339"/>
      <c r="BR67" s="339"/>
      <c r="BS67" s="339"/>
      <c r="BT67" s="339"/>
      <c r="BU67" s="340">
        <f>調査票①!BW57</f>
        <v>0.9285714285714286</v>
      </c>
      <c r="BV67" s="340"/>
      <c r="BW67" s="340"/>
      <c r="BX67" s="340"/>
      <c r="BY67" s="8"/>
      <c r="BZ67" s="18"/>
      <c r="CA67" s="9"/>
      <c r="CB67" s="9"/>
      <c r="CC67" s="28"/>
      <c r="CD67" s="27"/>
      <c r="CE67" s="27"/>
      <c r="CF67" s="27"/>
      <c r="CG67" s="27"/>
      <c r="CH67" s="27"/>
      <c r="CI67" s="27"/>
      <c r="CJ67" s="27"/>
      <c r="CK67" s="27"/>
      <c r="CL67" s="27"/>
      <c r="CM67" s="27"/>
      <c r="CN67" s="27"/>
      <c r="CO67" s="27"/>
      <c r="CP67" s="27"/>
      <c r="CQ67" s="27"/>
      <c r="CR67" s="27"/>
      <c r="CS67" s="27"/>
      <c r="CT67" s="27"/>
      <c r="CU67" s="27"/>
      <c r="CV67" s="27"/>
      <c r="CW67" s="27"/>
      <c r="CX67" s="27"/>
      <c r="CY67" s="27"/>
      <c r="CZ67" s="70" t="s">
        <v>786</v>
      </c>
      <c r="DA67" s="27"/>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5"/>
    </row>
    <row r="68" spans="3:152" ht="18" customHeight="1">
      <c r="C68" s="15"/>
      <c r="D68" s="342"/>
      <c r="E68" s="342"/>
      <c r="F68" s="342"/>
      <c r="G68" s="342"/>
      <c r="H68" s="342"/>
      <c r="I68" s="342"/>
      <c r="J68" s="342"/>
      <c r="K68" s="342"/>
      <c r="L68" s="330"/>
      <c r="M68" s="330"/>
      <c r="N68" s="330"/>
      <c r="O68" s="330"/>
      <c r="P68" s="330"/>
      <c r="Q68" s="330"/>
      <c r="R68" s="331"/>
      <c r="S68" s="331"/>
      <c r="T68" s="331"/>
      <c r="U68" s="335"/>
      <c r="V68" s="336"/>
      <c r="W68" s="336"/>
      <c r="X68" s="336"/>
      <c r="Y68" s="336"/>
      <c r="Z68" s="336"/>
      <c r="AA68" s="336"/>
      <c r="AB68" s="336"/>
      <c r="AC68" s="336"/>
      <c r="AD68" s="336"/>
      <c r="AE68" s="336"/>
      <c r="AF68" s="336"/>
      <c r="AG68" s="336"/>
      <c r="AH68" s="336"/>
      <c r="AI68" s="337"/>
      <c r="AJ68" s="338"/>
      <c r="AK68" s="338"/>
      <c r="AL68" s="338"/>
      <c r="AM68" s="339"/>
      <c r="AN68" s="339"/>
      <c r="AO68" s="339"/>
      <c r="AP68" s="339"/>
      <c r="AQ68" s="339"/>
      <c r="AR68" s="339"/>
      <c r="AS68" s="339"/>
      <c r="AT68" s="339"/>
      <c r="AU68" s="339"/>
      <c r="AV68" s="339"/>
      <c r="AW68" s="339"/>
      <c r="AX68" s="339"/>
      <c r="AY68" s="339"/>
      <c r="AZ68" s="339"/>
      <c r="BA68" s="339"/>
      <c r="BB68" s="339"/>
      <c r="BC68" s="339"/>
      <c r="BD68" s="339"/>
      <c r="BE68" s="339"/>
      <c r="BF68" s="339"/>
      <c r="BG68" s="339"/>
      <c r="BH68" s="339"/>
      <c r="BI68" s="339"/>
      <c r="BJ68" s="339"/>
      <c r="BK68" s="339"/>
      <c r="BL68" s="339"/>
      <c r="BM68" s="339"/>
      <c r="BN68" s="339"/>
      <c r="BO68" s="339"/>
      <c r="BP68" s="339"/>
      <c r="BQ68" s="339"/>
      <c r="BR68" s="339"/>
      <c r="BS68" s="339"/>
      <c r="BT68" s="339"/>
      <c r="BU68" s="340"/>
      <c r="BV68" s="340"/>
      <c r="BW68" s="340"/>
      <c r="BX68" s="340"/>
      <c r="BY68" s="8"/>
      <c r="BZ68" s="18"/>
      <c r="CA68" s="9"/>
      <c r="CB68" s="9"/>
      <c r="CC68" s="15"/>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18"/>
    </row>
    <row r="69" spans="3:152" ht="18" customHeight="1">
      <c r="C69" s="15"/>
      <c r="D69" s="341" t="s">
        <v>496</v>
      </c>
      <c r="E69" s="342"/>
      <c r="F69" s="342"/>
      <c r="G69" s="342"/>
      <c r="H69" s="342"/>
      <c r="I69" s="342"/>
      <c r="J69" s="342"/>
      <c r="K69" s="342"/>
      <c r="L69" s="330" t="str">
        <f>VLOOKUP($D$11,調査票①!$A$10:$GY$58,79,FALSE)&amp;""</f>
        <v>0</v>
      </c>
      <c r="M69" s="330"/>
      <c r="N69" s="330"/>
      <c r="O69" s="330" t="str">
        <f>VLOOKUP($D$11,調査票①!$A$10:$GY$58,80,FALSE)&amp;""</f>
        <v>0</v>
      </c>
      <c r="P69" s="330"/>
      <c r="Q69" s="330"/>
      <c r="R69" s="331" t="str">
        <f>VLOOKUP($D$11,調査票①!$A$10:$GY$58,81,FALSE)</f>
        <v/>
      </c>
      <c r="S69" s="331"/>
      <c r="T69" s="331"/>
      <c r="U69" s="332" t="str">
        <f>VLOOKUP($D$11,調査票①!$A$10:$GY$58,82,FALSE)&amp;""</f>
        <v>　</v>
      </c>
      <c r="V69" s="333"/>
      <c r="W69" s="333"/>
      <c r="X69" s="333"/>
      <c r="Y69" s="333"/>
      <c r="Z69" s="333"/>
      <c r="AA69" s="333"/>
      <c r="AB69" s="333"/>
      <c r="AC69" s="333"/>
      <c r="AD69" s="333"/>
      <c r="AE69" s="333"/>
      <c r="AF69" s="333"/>
      <c r="AG69" s="333"/>
      <c r="AH69" s="333"/>
      <c r="AI69" s="334"/>
      <c r="AJ69" s="338" t="str">
        <f>VLOOKUP($D$11,調査票①!$A$10:$GY$58,83,FALSE)&amp;""</f>
        <v>0</v>
      </c>
      <c r="AK69" s="338"/>
      <c r="AL69" s="338"/>
      <c r="AM69" s="339" t="str">
        <f>VLOOKUP($D$11,調査票①!$A$10:$GY$58,84,FALSE)&amp;""</f>
        <v>　</v>
      </c>
      <c r="AN69" s="339"/>
      <c r="AO69" s="339"/>
      <c r="AP69" s="339"/>
      <c r="AQ69" s="339"/>
      <c r="AR69" s="339"/>
      <c r="AS69" s="339"/>
      <c r="AT69" s="339"/>
      <c r="AU69" s="339"/>
      <c r="AV69" s="339"/>
      <c r="AW69" s="339"/>
      <c r="AX69" s="339"/>
      <c r="AY69" s="339"/>
      <c r="AZ69" s="339"/>
      <c r="BA69" s="339"/>
      <c r="BB69" s="339"/>
      <c r="BC69" s="339"/>
      <c r="BD69" s="339"/>
      <c r="BE69" s="339"/>
      <c r="BF69" s="339"/>
      <c r="BG69" s="339"/>
      <c r="BH69" s="339"/>
      <c r="BI69" s="339"/>
      <c r="BJ69" s="339"/>
      <c r="BK69" s="339"/>
      <c r="BL69" s="339"/>
      <c r="BM69" s="339"/>
      <c r="BN69" s="339"/>
      <c r="BO69" s="339"/>
      <c r="BP69" s="339"/>
      <c r="BQ69" s="339"/>
      <c r="BR69" s="339"/>
      <c r="BS69" s="339"/>
      <c r="BT69" s="339"/>
      <c r="BU69" s="340">
        <f>調査票①!CC57</f>
        <v>0.95833333333333337</v>
      </c>
      <c r="BV69" s="340"/>
      <c r="BW69" s="340"/>
      <c r="BX69" s="340"/>
      <c r="BY69" s="8"/>
      <c r="BZ69" s="18"/>
      <c r="CA69" s="9"/>
      <c r="CB69" s="9"/>
      <c r="CC69" s="15"/>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18"/>
    </row>
    <row r="70" spans="3:152" ht="18" customHeight="1">
      <c r="C70" s="15"/>
      <c r="D70" s="342"/>
      <c r="E70" s="342"/>
      <c r="F70" s="342"/>
      <c r="G70" s="342"/>
      <c r="H70" s="342"/>
      <c r="I70" s="342"/>
      <c r="J70" s="342"/>
      <c r="K70" s="342"/>
      <c r="L70" s="330"/>
      <c r="M70" s="330"/>
      <c r="N70" s="330"/>
      <c r="O70" s="330"/>
      <c r="P70" s="330"/>
      <c r="Q70" s="330"/>
      <c r="R70" s="331"/>
      <c r="S70" s="331"/>
      <c r="T70" s="331"/>
      <c r="U70" s="335"/>
      <c r="V70" s="336"/>
      <c r="W70" s="336"/>
      <c r="X70" s="336"/>
      <c r="Y70" s="336"/>
      <c r="Z70" s="336"/>
      <c r="AA70" s="336"/>
      <c r="AB70" s="336"/>
      <c r="AC70" s="336"/>
      <c r="AD70" s="336"/>
      <c r="AE70" s="336"/>
      <c r="AF70" s="336"/>
      <c r="AG70" s="336"/>
      <c r="AH70" s="336"/>
      <c r="AI70" s="337"/>
      <c r="AJ70" s="338"/>
      <c r="AK70" s="338"/>
      <c r="AL70" s="338"/>
      <c r="AM70" s="339"/>
      <c r="AN70" s="339"/>
      <c r="AO70" s="339"/>
      <c r="AP70" s="339"/>
      <c r="AQ70" s="339"/>
      <c r="AR70" s="339"/>
      <c r="AS70" s="339"/>
      <c r="AT70" s="339"/>
      <c r="AU70" s="339"/>
      <c r="AV70" s="339"/>
      <c r="AW70" s="339"/>
      <c r="AX70" s="339"/>
      <c r="AY70" s="339"/>
      <c r="AZ70" s="339"/>
      <c r="BA70" s="339"/>
      <c r="BB70" s="339"/>
      <c r="BC70" s="339"/>
      <c r="BD70" s="339"/>
      <c r="BE70" s="339"/>
      <c r="BF70" s="339"/>
      <c r="BG70" s="339"/>
      <c r="BH70" s="339"/>
      <c r="BI70" s="339"/>
      <c r="BJ70" s="339"/>
      <c r="BK70" s="339"/>
      <c r="BL70" s="339"/>
      <c r="BM70" s="339"/>
      <c r="BN70" s="339"/>
      <c r="BO70" s="339"/>
      <c r="BP70" s="339"/>
      <c r="BQ70" s="339"/>
      <c r="BR70" s="339"/>
      <c r="BS70" s="339"/>
      <c r="BT70" s="339"/>
      <c r="BU70" s="340"/>
      <c r="BV70" s="340"/>
      <c r="BW70" s="340"/>
      <c r="BX70" s="340"/>
      <c r="BY70" s="8"/>
      <c r="BZ70" s="18"/>
      <c r="CA70" s="9"/>
      <c r="CB70" s="9"/>
      <c r="CC70" s="15"/>
      <c r="CD70" s="309" t="s">
        <v>86</v>
      </c>
      <c r="CE70" s="309"/>
      <c r="CF70" s="309"/>
      <c r="CG70" s="309"/>
      <c r="CH70" s="309"/>
      <c r="CI70" s="309"/>
      <c r="CJ70" s="309"/>
      <c r="CK70" s="309"/>
      <c r="CL70" s="309"/>
      <c r="CM70" s="309"/>
      <c r="CN70" s="309" t="str">
        <f>VLOOKUP($D$11,調査票①!$A$10:$GY$58,202,FALSE)&amp;""</f>
        <v>○</v>
      </c>
      <c r="CO70" s="309"/>
      <c r="CP70" s="309"/>
      <c r="CQ70" s="309"/>
      <c r="CR70" s="309"/>
      <c r="CS70" s="309"/>
      <c r="CT70" s="309"/>
      <c r="CU70" s="309"/>
      <c r="CV70" s="309"/>
      <c r="CW70" s="309"/>
      <c r="CX70" s="309"/>
      <c r="CY70" s="309"/>
      <c r="CZ70" s="309"/>
      <c r="DA70" s="309"/>
      <c r="DB70" s="8"/>
      <c r="DC70" s="309" t="s">
        <v>5</v>
      </c>
      <c r="DD70" s="309"/>
      <c r="DE70" s="309"/>
      <c r="DF70" s="309"/>
      <c r="DG70" s="309"/>
      <c r="DH70" s="309"/>
      <c r="DI70" s="309"/>
      <c r="DJ70" s="309"/>
      <c r="DK70" s="309"/>
      <c r="DL70" s="309"/>
      <c r="DM70" s="309" t="str">
        <f>VLOOKUP($D$11,調査票①!$A$10:$GY$58,203,FALSE)&amp;""</f>
        <v/>
      </c>
      <c r="DN70" s="309"/>
      <c r="DO70" s="309"/>
      <c r="DP70" s="309"/>
      <c r="DQ70" s="309"/>
      <c r="DR70" s="309"/>
      <c r="DS70" s="309"/>
      <c r="DT70" s="309"/>
      <c r="DU70" s="309"/>
      <c r="DV70" s="309"/>
      <c r="DW70" s="8"/>
      <c r="DX70" s="8"/>
      <c r="DY70" s="8"/>
      <c r="DZ70" s="309" t="s">
        <v>85</v>
      </c>
      <c r="EA70" s="309"/>
      <c r="EB70" s="309"/>
      <c r="EC70" s="309"/>
      <c r="ED70" s="309"/>
      <c r="EE70" s="309"/>
      <c r="EF70" s="309"/>
      <c r="EG70" s="309"/>
      <c r="EH70" s="312" t="str">
        <f>VLOOKUP($D$11,調査票①!$A$10:$GY$58,204,FALSE)&amp;""</f>
        <v/>
      </c>
      <c r="EI70" s="312"/>
      <c r="EJ70" s="312"/>
      <c r="EK70" s="312"/>
      <c r="EL70" s="312"/>
      <c r="EM70" s="312"/>
      <c r="EN70" s="312"/>
      <c r="EO70" s="312"/>
      <c r="EP70" s="312"/>
      <c r="EQ70" s="8"/>
      <c r="ER70" s="8"/>
      <c r="ES70" s="8"/>
      <c r="ET70" s="18"/>
    </row>
    <row r="71" spans="3:152" ht="18" customHeight="1">
      <c r="C71" s="15"/>
      <c r="D71" s="329" t="s">
        <v>94</v>
      </c>
      <c r="E71" s="329"/>
      <c r="F71" s="329"/>
      <c r="G71" s="329"/>
      <c r="H71" s="329"/>
      <c r="I71" s="329"/>
      <c r="J71" s="329"/>
      <c r="K71" s="329"/>
      <c r="L71" s="330" t="str">
        <f>VLOOKUP($D$11,調査票①!$A$10:$GY$58,85,FALSE)&amp;""</f>
        <v>0</v>
      </c>
      <c r="M71" s="330"/>
      <c r="N71" s="330"/>
      <c r="O71" s="330" t="str">
        <f>VLOOKUP($D$11,調査票①!$A$10:$GY$58,86,FALSE)&amp;""</f>
        <v>0</v>
      </c>
      <c r="P71" s="330"/>
      <c r="Q71" s="330"/>
      <c r="R71" s="331" t="str">
        <f>VLOOKUP($D$11,調査票①!$A$10:$GY$58,87,FALSE)</f>
        <v/>
      </c>
      <c r="S71" s="331"/>
      <c r="T71" s="331"/>
      <c r="U71" s="332" t="str">
        <f>VLOOKUP($D$11,調査票①!$A$10:$GY$58,88,FALSE)&amp;""</f>
        <v>　</v>
      </c>
      <c r="V71" s="333"/>
      <c r="W71" s="333"/>
      <c r="X71" s="333"/>
      <c r="Y71" s="333"/>
      <c r="Z71" s="333"/>
      <c r="AA71" s="333"/>
      <c r="AB71" s="333"/>
      <c r="AC71" s="333"/>
      <c r="AD71" s="333"/>
      <c r="AE71" s="333"/>
      <c r="AF71" s="333"/>
      <c r="AG71" s="333"/>
      <c r="AH71" s="333"/>
      <c r="AI71" s="334"/>
      <c r="AJ71" s="338" t="str">
        <f>VLOOKUP($D$11,調査票①!$A$10:$GY$58,89,FALSE)&amp;""</f>
        <v>0</v>
      </c>
      <c r="AK71" s="338"/>
      <c r="AL71" s="338"/>
      <c r="AM71" s="339" t="str">
        <f>VLOOKUP($D$11,調査票①!$A$10:$GY$58,90,FALSE)&amp;""</f>
        <v>　</v>
      </c>
      <c r="AN71" s="339"/>
      <c r="AO71" s="339"/>
      <c r="AP71" s="339"/>
      <c r="AQ71" s="339"/>
      <c r="AR71" s="339"/>
      <c r="AS71" s="339"/>
      <c r="AT71" s="339"/>
      <c r="AU71" s="339"/>
      <c r="AV71" s="339"/>
      <c r="AW71" s="339"/>
      <c r="AX71" s="339"/>
      <c r="AY71" s="339"/>
      <c r="AZ71" s="339"/>
      <c r="BA71" s="339"/>
      <c r="BB71" s="339"/>
      <c r="BC71" s="339"/>
      <c r="BD71" s="339"/>
      <c r="BE71" s="339"/>
      <c r="BF71" s="339"/>
      <c r="BG71" s="339"/>
      <c r="BH71" s="339"/>
      <c r="BI71" s="339"/>
      <c r="BJ71" s="339"/>
      <c r="BK71" s="339"/>
      <c r="BL71" s="339"/>
      <c r="BM71" s="339"/>
      <c r="BN71" s="339"/>
      <c r="BO71" s="339"/>
      <c r="BP71" s="339"/>
      <c r="BQ71" s="339"/>
      <c r="BR71" s="339"/>
      <c r="BS71" s="339"/>
      <c r="BT71" s="339"/>
      <c r="BU71" s="340">
        <f>調査票①!CI57</f>
        <v>0.92727272727272725</v>
      </c>
      <c r="BV71" s="340"/>
      <c r="BW71" s="340"/>
      <c r="BX71" s="340"/>
      <c r="BY71" s="8"/>
      <c r="BZ71" s="18"/>
      <c r="CA71" s="9"/>
      <c r="CB71" s="9"/>
      <c r="CC71" s="15"/>
      <c r="CD71" s="309"/>
      <c r="CE71" s="309"/>
      <c r="CF71" s="309"/>
      <c r="CG71" s="309"/>
      <c r="CH71" s="309"/>
      <c r="CI71" s="309"/>
      <c r="CJ71" s="309"/>
      <c r="CK71" s="309"/>
      <c r="CL71" s="309"/>
      <c r="CM71" s="309"/>
      <c r="CN71" s="309"/>
      <c r="CO71" s="309"/>
      <c r="CP71" s="309"/>
      <c r="CQ71" s="309"/>
      <c r="CR71" s="309"/>
      <c r="CS71" s="309"/>
      <c r="CT71" s="309"/>
      <c r="CU71" s="309"/>
      <c r="CV71" s="309"/>
      <c r="CW71" s="309"/>
      <c r="CX71" s="309"/>
      <c r="CY71" s="309"/>
      <c r="CZ71" s="309"/>
      <c r="DA71" s="309"/>
      <c r="DB71" s="8"/>
      <c r="DC71" s="309"/>
      <c r="DD71" s="309"/>
      <c r="DE71" s="309"/>
      <c r="DF71" s="309"/>
      <c r="DG71" s="309"/>
      <c r="DH71" s="309"/>
      <c r="DI71" s="309"/>
      <c r="DJ71" s="309"/>
      <c r="DK71" s="309"/>
      <c r="DL71" s="309"/>
      <c r="DM71" s="309"/>
      <c r="DN71" s="309"/>
      <c r="DO71" s="309"/>
      <c r="DP71" s="309"/>
      <c r="DQ71" s="309"/>
      <c r="DR71" s="309"/>
      <c r="DS71" s="309"/>
      <c r="DT71" s="309"/>
      <c r="DU71" s="309"/>
      <c r="DV71" s="309"/>
      <c r="DW71" s="8"/>
      <c r="DX71" s="8"/>
      <c r="DY71" s="8"/>
      <c r="DZ71" s="309"/>
      <c r="EA71" s="309"/>
      <c r="EB71" s="309"/>
      <c r="EC71" s="309"/>
      <c r="ED71" s="309"/>
      <c r="EE71" s="309"/>
      <c r="EF71" s="309"/>
      <c r="EG71" s="309"/>
      <c r="EH71" s="312"/>
      <c r="EI71" s="312"/>
      <c r="EJ71" s="312"/>
      <c r="EK71" s="312"/>
      <c r="EL71" s="312"/>
      <c r="EM71" s="312"/>
      <c r="EN71" s="312"/>
      <c r="EO71" s="312"/>
      <c r="EP71" s="312"/>
      <c r="EQ71" s="8"/>
      <c r="ER71" s="8"/>
      <c r="ES71" s="8"/>
      <c r="ET71" s="18"/>
    </row>
    <row r="72" spans="3:152" ht="18" customHeight="1">
      <c r="C72" s="15"/>
      <c r="D72" s="329"/>
      <c r="E72" s="329"/>
      <c r="F72" s="329"/>
      <c r="G72" s="329"/>
      <c r="H72" s="329"/>
      <c r="I72" s="329"/>
      <c r="J72" s="329"/>
      <c r="K72" s="329"/>
      <c r="L72" s="330"/>
      <c r="M72" s="330"/>
      <c r="N72" s="330"/>
      <c r="O72" s="330"/>
      <c r="P72" s="330"/>
      <c r="Q72" s="330"/>
      <c r="R72" s="331"/>
      <c r="S72" s="331"/>
      <c r="T72" s="331"/>
      <c r="U72" s="335"/>
      <c r="V72" s="336"/>
      <c r="W72" s="336"/>
      <c r="X72" s="336"/>
      <c r="Y72" s="336"/>
      <c r="Z72" s="336"/>
      <c r="AA72" s="336"/>
      <c r="AB72" s="336"/>
      <c r="AC72" s="336"/>
      <c r="AD72" s="336"/>
      <c r="AE72" s="336"/>
      <c r="AF72" s="336"/>
      <c r="AG72" s="336"/>
      <c r="AH72" s="336"/>
      <c r="AI72" s="337"/>
      <c r="AJ72" s="338"/>
      <c r="AK72" s="338"/>
      <c r="AL72" s="338"/>
      <c r="AM72" s="339"/>
      <c r="AN72" s="339"/>
      <c r="AO72" s="339"/>
      <c r="AP72" s="339"/>
      <c r="AQ72" s="339"/>
      <c r="AR72" s="339"/>
      <c r="AS72" s="339"/>
      <c r="AT72" s="339"/>
      <c r="AU72" s="339"/>
      <c r="AV72" s="339"/>
      <c r="AW72" s="339"/>
      <c r="AX72" s="339"/>
      <c r="AY72" s="339"/>
      <c r="AZ72" s="339"/>
      <c r="BA72" s="339"/>
      <c r="BB72" s="339"/>
      <c r="BC72" s="339"/>
      <c r="BD72" s="339"/>
      <c r="BE72" s="339"/>
      <c r="BF72" s="339"/>
      <c r="BG72" s="339"/>
      <c r="BH72" s="339"/>
      <c r="BI72" s="339"/>
      <c r="BJ72" s="339"/>
      <c r="BK72" s="339"/>
      <c r="BL72" s="339"/>
      <c r="BM72" s="339"/>
      <c r="BN72" s="339"/>
      <c r="BO72" s="339"/>
      <c r="BP72" s="339"/>
      <c r="BQ72" s="339"/>
      <c r="BR72" s="339"/>
      <c r="BS72" s="339"/>
      <c r="BT72" s="339"/>
      <c r="BU72" s="340"/>
      <c r="BV72" s="340"/>
      <c r="BW72" s="340"/>
      <c r="BX72" s="340"/>
      <c r="BY72" s="8"/>
      <c r="BZ72" s="18"/>
      <c r="CA72" s="9"/>
      <c r="CB72" s="9"/>
      <c r="CC72" s="15"/>
      <c r="CD72" s="309"/>
      <c r="CE72" s="309"/>
      <c r="CF72" s="309"/>
      <c r="CG72" s="309"/>
      <c r="CH72" s="309"/>
      <c r="CI72" s="309"/>
      <c r="CJ72" s="309"/>
      <c r="CK72" s="309"/>
      <c r="CL72" s="309"/>
      <c r="CM72" s="309"/>
      <c r="CN72" s="309"/>
      <c r="CO72" s="309"/>
      <c r="CP72" s="309"/>
      <c r="CQ72" s="309"/>
      <c r="CR72" s="309"/>
      <c r="CS72" s="309"/>
      <c r="CT72" s="309"/>
      <c r="CU72" s="309"/>
      <c r="CV72" s="309"/>
      <c r="CW72" s="309"/>
      <c r="CX72" s="309"/>
      <c r="CY72" s="309"/>
      <c r="CZ72" s="309"/>
      <c r="DA72" s="309"/>
      <c r="DB72" s="8"/>
      <c r="DC72" s="309"/>
      <c r="DD72" s="309"/>
      <c r="DE72" s="309"/>
      <c r="DF72" s="309"/>
      <c r="DG72" s="309"/>
      <c r="DH72" s="309"/>
      <c r="DI72" s="309"/>
      <c r="DJ72" s="309"/>
      <c r="DK72" s="309"/>
      <c r="DL72" s="309"/>
      <c r="DM72" s="309"/>
      <c r="DN72" s="309"/>
      <c r="DO72" s="309"/>
      <c r="DP72" s="309"/>
      <c r="DQ72" s="309"/>
      <c r="DR72" s="309"/>
      <c r="DS72" s="309"/>
      <c r="DT72" s="309"/>
      <c r="DU72" s="309"/>
      <c r="DV72" s="309"/>
      <c r="DW72" s="8"/>
      <c r="DX72" s="8"/>
      <c r="DY72" s="8"/>
      <c r="DZ72" s="309"/>
      <c r="EA72" s="309"/>
      <c r="EB72" s="309"/>
      <c r="EC72" s="309"/>
      <c r="ED72" s="309"/>
      <c r="EE72" s="309"/>
      <c r="EF72" s="309"/>
      <c r="EG72" s="309"/>
      <c r="EH72" s="312"/>
      <c r="EI72" s="312"/>
      <c r="EJ72" s="312"/>
      <c r="EK72" s="312"/>
      <c r="EL72" s="312"/>
      <c r="EM72" s="312"/>
      <c r="EN72" s="312"/>
      <c r="EO72" s="312"/>
      <c r="EP72" s="312"/>
      <c r="EQ72" s="8"/>
      <c r="ER72" s="8"/>
      <c r="ES72" s="8"/>
      <c r="ET72" s="18"/>
    </row>
    <row r="73" spans="3:152" ht="18" customHeight="1">
      <c r="C73" s="15"/>
      <c r="D73" s="329" t="s">
        <v>93</v>
      </c>
      <c r="E73" s="329"/>
      <c r="F73" s="329"/>
      <c r="G73" s="329"/>
      <c r="H73" s="329"/>
      <c r="I73" s="329"/>
      <c r="J73" s="329"/>
      <c r="K73" s="329"/>
      <c r="L73" s="330" t="str">
        <f>VLOOKUP($D$11,調査票①!$A$10:$GY$58,91,FALSE)&amp;""</f>
        <v>1</v>
      </c>
      <c r="M73" s="330"/>
      <c r="N73" s="330"/>
      <c r="O73" s="330" t="str">
        <f>VLOOKUP($D$11,調査票①!$A$10:$GY$58,92,FALSE)&amp;""</f>
        <v>1</v>
      </c>
      <c r="P73" s="330"/>
      <c r="Q73" s="330"/>
      <c r="R73" s="331">
        <f>VLOOKUP($D$11,調査票①!$A$10:$GY$58,93,FALSE)</f>
        <v>1</v>
      </c>
      <c r="S73" s="331"/>
      <c r="T73" s="331"/>
      <c r="U73" s="332" t="str">
        <f>VLOOKUP($D$11,調査票①!$A$10:$GY$58,94,FALSE)&amp;""</f>
        <v>　</v>
      </c>
      <c r="V73" s="333"/>
      <c r="W73" s="333"/>
      <c r="X73" s="333"/>
      <c r="Y73" s="333"/>
      <c r="Z73" s="333"/>
      <c r="AA73" s="333"/>
      <c r="AB73" s="333"/>
      <c r="AC73" s="333"/>
      <c r="AD73" s="333"/>
      <c r="AE73" s="333"/>
      <c r="AF73" s="333"/>
      <c r="AG73" s="333"/>
      <c r="AH73" s="333"/>
      <c r="AI73" s="334"/>
      <c r="AJ73" s="338" t="str">
        <f>VLOOKUP($D$11,調査票①!$A$10:$GY$58,95,FALSE)&amp;""</f>
        <v>0</v>
      </c>
      <c r="AK73" s="338"/>
      <c r="AL73" s="338"/>
      <c r="AM73" s="339" t="str">
        <f>VLOOKUP($D$11,調査票①!$A$10:$GY$58,96,FALSE)&amp;""</f>
        <v>　</v>
      </c>
      <c r="AN73" s="339"/>
      <c r="AO73" s="339"/>
      <c r="AP73" s="339"/>
      <c r="AQ73" s="339"/>
      <c r="AR73" s="339"/>
      <c r="AS73" s="339"/>
      <c r="AT73" s="339"/>
      <c r="AU73" s="339"/>
      <c r="AV73" s="339"/>
      <c r="AW73" s="339"/>
      <c r="AX73" s="339"/>
      <c r="AY73" s="339"/>
      <c r="AZ73" s="339"/>
      <c r="BA73" s="339"/>
      <c r="BB73" s="339"/>
      <c r="BC73" s="339"/>
      <c r="BD73" s="339"/>
      <c r="BE73" s="339"/>
      <c r="BF73" s="339"/>
      <c r="BG73" s="339"/>
      <c r="BH73" s="339"/>
      <c r="BI73" s="339"/>
      <c r="BJ73" s="339"/>
      <c r="BK73" s="339"/>
      <c r="BL73" s="339"/>
      <c r="BM73" s="339"/>
      <c r="BN73" s="339"/>
      <c r="BO73" s="339"/>
      <c r="BP73" s="339"/>
      <c r="BQ73" s="339"/>
      <c r="BR73" s="339"/>
      <c r="BS73" s="339"/>
      <c r="BT73" s="339"/>
      <c r="BU73" s="340">
        <f>調査票①!CO57</f>
        <v>0.52941176470588236</v>
      </c>
      <c r="BV73" s="340"/>
      <c r="BW73" s="340"/>
      <c r="BX73" s="340"/>
      <c r="BY73" s="8"/>
      <c r="BZ73" s="18"/>
      <c r="CA73" s="9"/>
      <c r="CB73" s="9"/>
      <c r="CC73" s="15"/>
      <c r="CD73" s="309"/>
      <c r="CE73" s="309"/>
      <c r="CF73" s="309"/>
      <c r="CG73" s="309"/>
      <c r="CH73" s="309"/>
      <c r="CI73" s="309"/>
      <c r="CJ73" s="309"/>
      <c r="CK73" s="309"/>
      <c r="CL73" s="309"/>
      <c r="CM73" s="309"/>
      <c r="CN73" s="309"/>
      <c r="CO73" s="309"/>
      <c r="CP73" s="309"/>
      <c r="CQ73" s="309"/>
      <c r="CR73" s="309"/>
      <c r="CS73" s="309"/>
      <c r="CT73" s="309"/>
      <c r="CU73" s="309"/>
      <c r="CV73" s="309"/>
      <c r="CW73" s="309"/>
      <c r="CX73" s="309"/>
      <c r="CY73" s="309"/>
      <c r="CZ73" s="309"/>
      <c r="DA73" s="309"/>
      <c r="DB73" s="8"/>
      <c r="DC73" s="309"/>
      <c r="DD73" s="309"/>
      <c r="DE73" s="309"/>
      <c r="DF73" s="309"/>
      <c r="DG73" s="309"/>
      <c r="DH73" s="309"/>
      <c r="DI73" s="309"/>
      <c r="DJ73" s="309"/>
      <c r="DK73" s="309"/>
      <c r="DL73" s="309"/>
      <c r="DM73" s="309"/>
      <c r="DN73" s="309"/>
      <c r="DO73" s="309"/>
      <c r="DP73" s="309"/>
      <c r="DQ73" s="309"/>
      <c r="DR73" s="309"/>
      <c r="DS73" s="309"/>
      <c r="DT73" s="309"/>
      <c r="DU73" s="309"/>
      <c r="DV73" s="309"/>
      <c r="DW73" s="8"/>
      <c r="DX73" s="8"/>
      <c r="DY73" s="8"/>
      <c r="DZ73" s="309"/>
      <c r="EA73" s="309"/>
      <c r="EB73" s="309"/>
      <c r="EC73" s="309"/>
      <c r="ED73" s="309"/>
      <c r="EE73" s="309"/>
      <c r="EF73" s="309"/>
      <c r="EG73" s="309"/>
      <c r="EH73" s="312"/>
      <c r="EI73" s="312"/>
      <c r="EJ73" s="312"/>
      <c r="EK73" s="312"/>
      <c r="EL73" s="312"/>
      <c r="EM73" s="312"/>
      <c r="EN73" s="312"/>
      <c r="EO73" s="312"/>
      <c r="EP73" s="312"/>
      <c r="EQ73" s="8"/>
      <c r="ER73" s="8"/>
      <c r="ES73" s="8"/>
      <c r="ET73" s="18"/>
    </row>
    <row r="74" spans="3:152" ht="18" customHeight="1">
      <c r="C74" s="15"/>
      <c r="D74" s="329"/>
      <c r="E74" s="329"/>
      <c r="F74" s="329"/>
      <c r="G74" s="329"/>
      <c r="H74" s="329"/>
      <c r="I74" s="329"/>
      <c r="J74" s="329"/>
      <c r="K74" s="329"/>
      <c r="L74" s="330"/>
      <c r="M74" s="330"/>
      <c r="N74" s="330"/>
      <c r="O74" s="330"/>
      <c r="P74" s="330"/>
      <c r="Q74" s="330"/>
      <c r="R74" s="331"/>
      <c r="S74" s="331"/>
      <c r="T74" s="331"/>
      <c r="U74" s="335"/>
      <c r="V74" s="336"/>
      <c r="W74" s="336"/>
      <c r="X74" s="336"/>
      <c r="Y74" s="336"/>
      <c r="Z74" s="336"/>
      <c r="AA74" s="336"/>
      <c r="AB74" s="336"/>
      <c r="AC74" s="336"/>
      <c r="AD74" s="336"/>
      <c r="AE74" s="336"/>
      <c r="AF74" s="336"/>
      <c r="AG74" s="336"/>
      <c r="AH74" s="336"/>
      <c r="AI74" s="337"/>
      <c r="AJ74" s="338"/>
      <c r="AK74" s="338"/>
      <c r="AL74" s="338"/>
      <c r="AM74" s="339"/>
      <c r="AN74" s="339"/>
      <c r="AO74" s="339"/>
      <c r="AP74" s="339"/>
      <c r="AQ74" s="339"/>
      <c r="AR74" s="339"/>
      <c r="AS74" s="339"/>
      <c r="AT74" s="339"/>
      <c r="AU74" s="339"/>
      <c r="AV74" s="339"/>
      <c r="AW74" s="339"/>
      <c r="AX74" s="339"/>
      <c r="AY74" s="339"/>
      <c r="AZ74" s="339"/>
      <c r="BA74" s="339"/>
      <c r="BB74" s="339"/>
      <c r="BC74" s="339"/>
      <c r="BD74" s="339"/>
      <c r="BE74" s="339"/>
      <c r="BF74" s="339"/>
      <c r="BG74" s="339"/>
      <c r="BH74" s="339"/>
      <c r="BI74" s="339"/>
      <c r="BJ74" s="339"/>
      <c r="BK74" s="339"/>
      <c r="BL74" s="339"/>
      <c r="BM74" s="339"/>
      <c r="BN74" s="339"/>
      <c r="BO74" s="339"/>
      <c r="BP74" s="339"/>
      <c r="BQ74" s="339"/>
      <c r="BR74" s="339"/>
      <c r="BS74" s="339"/>
      <c r="BT74" s="339"/>
      <c r="BU74" s="340"/>
      <c r="BV74" s="340"/>
      <c r="BW74" s="340"/>
      <c r="BX74" s="340"/>
      <c r="BY74" s="8"/>
      <c r="BZ74" s="18"/>
      <c r="CA74" s="9"/>
      <c r="CB74" s="9"/>
      <c r="CC74" s="15"/>
      <c r="CD74" s="22"/>
      <c r="CE74" s="22"/>
      <c r="CF74" s="22"/>
      <c r="CG74" s="22"/>
      <c r="CH74" s="22"/>
      <c r="CI74" s="22"/>
      <c r="CJ74" s="22"/>
      <c r="CK74" s="22"/>
      <c r="CL74" s="22"/>
      <c r="CM74" s="22"/>
      <c r="CN74" s="22"/>
      <c r="CO74" s="22"/>
      <c r="CP74" s="22"/>
      <c r="CQ74" s="22"/>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18"/>
    </row>
    <row r="75" spans="3:152" ht="18" customHeight="1">
      <c r="C75" s="15"/>
      <c r="D75" s="342" t="s">
        <v>92</v>
      </c>
      <c r="E75" s="342"/>
      <c r="F75" s="342"/>
      <c r="G75" s="342"/>
      <c r="H75" s="342"/>
      <c r="I75" s="342"/>
      <c r="J75" s="342"/>
      <c r="K75" s="342"/>
      <c r="L75" s="330" t="str">
        <f>VLOOKUP($D$11,調査票①!$A$10:$GY$58,97,FALSE)&amp;""</f>
        <v>0</v>
      </c>
      <c r="M75" s="330"/>
      <c r="N75" s="330"/>
      <c r="O75" s="330" t="str">
        <f>VLOOKUP($D$11,調査票①!$A$10:$GY$58,98,FALSE)&amp;""</f>
        <v>0</v>
      </c>
      <c r="P75" s="330"/>
      <c r="Q75" s="330"/>
      <c r="R75" s="331" t="str">
        <f>VLOOKUP($D$11,調査票①!$A$10:$GY$58,99,FALSE)</f>
        <v/>
      </c>
      <c r="S75" s="331"/>
      <c r="T75" s="331"/>
      <c r="U75" s="332" t="str">
        <f>VLOOKUP($D$11,調査票①!$A$10:$GY$58,100,FALSE)&amp;""</f>
        <v>　</v>
      </c>
      <c r="V75" s="333"/>
      <c r="W75" s="333"/>
      <c r="X75" s="333"/>
      <c r="Y75" s="333"/>
      <c r="Z75" s="333"/>
      <c r="AA75" s="333"/>
      <c r="AB75" s="333"/>
      <c r="AC75" s="333"/>
      <c r="AD75" s="333"/>
      <c r="AE75" s="333"/>
      <c r="AF75" s="333"/>
      <c r="AG75" s="333"/>
      <c r="AH75" s="333"/>
      <c r="AI75" s="334"/>
      <c r="AJ75" s="338" t="str">
        <f>VLOOKUP($D$11,調査票①!$A$10:$GY$58,101,FALSE)&amp;""</f>
        <v>0</v>
      </c>
      <c r="AK75" s="338"/>
      <c r="AL75" s="338"/>
      <c r="AM75" s="339" t="str">
        <f>VLOOKUP($D$11,調査票①!$A$10:$GY$58,102,FALSE)&amp;""</f>
        <v>　</v>
      </c>
      <c r="AN75" s="339"/>
      <c r="AO75" s="339"/>
      <c r="AP75" s="339"/>
      <c r="AQ75" s="339"/>
      <c r="AR75" s="339"/>
      <c r="AS75" s="339"/>
      <c r="AT75" s="339"/>
      <c r="AU75" s="339"/>
      <c r="AV75" s="339"/>
      <c r="AW75" s="339"/>
      <c r="AX75" s="339"/>
      <c r="AY75" s="339"/>
      <c r="AZ75" s="339"/>
      <c r="BA75" s="339"/>
      <c r="BB75" s="339"/>
      <c r="BC75" s="339"/>
      <c r="BD75" s="339"/>
      <c r="BE75" s="339"/>
      <c r="BF75" s="339"/>
      <c r="BG75" s="339"/>
      <c r="BH75" s="339"/>
      <c r="BI75" s="339"/>
      <c r="BJ75" s="339"/>
      <c r="BK75" s="339"/>
      <c r="BL75" s="339"/>
      <c r="BM75" s="339"/>
      <c r="BN75" s="339"/>
      <c r="BO75" s="339"/>
      <c r="BP75" s="339"/>
      <c r="BQ75" s="339"/>
      <c r="BR75" s="339"/>
      <c r="BS75" s="339"/>
      <c r="BT75" s="339"/>
      <c r="BU75" s="340">
        <f>調査票①!CU57</f>
        <v>1</v>
      </c>
      <c r="BV75" s="340"/>
      <c r="BW75" s="340"/>
      <c r="BX75" s="340"/>
      <c r="BY75" s="8"/>
      <c r="BZ75" s="18"/>
      <c r="CA75" s="9"/>
      <c r="CC75" s="15"/>
      <c r="CD75" s="22"/>
      <c r="CE75" s="22"/>
      <c r="CF75" s="22"/>
      <c r="CG75" s="22"/>
      <c r="CH75" s="22"/>
      <c r="CI75" s="22"/>
      <c r="CJ75" s="22"/>
      <c r="CK75" s="22"/>
      <c r="CL75" s="22"/>
      <c r="CM75" s="22"/>
      <c r="CN75" s="22"/>
      <c r="CO75" s="22"/>
      <c r="CP75" s="22"/>
      <c r="CQ75" s="22"/>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18"/>
    </row>
    <row r="76" spans="3:152" ht="18" customHeight="1">
      <c r="C76" s="15"/>
      <c r="D76" s="342"/>
      <c r="E76" s="342"/>
      <c r="F76" s="342"/>
      <c r="G76" s="342"/>
      <c r="H76" s="342"/>
      <c r="I76" s="342"/>
      <c r="J76" s="342"/>
      <c r="K76" s="342"/>
      <c r="L76" s="330"/>
      <c r="M76" s="330"/>
      <c r="N76" s="330"/>
      <c r="O76" s="330"/>
      <c r="P76" s="330"/>
      <c r="Q76" s="330"/>
      <c r="R76" s="331"/>
      <c r="S76" s="331"/>
      <c r="T76" s="331"/>
      <c r="U76" s="335"/>
      <c r="V76" s="336"/>
      <c r="W76" s="336"/>
      <c r="X76" s="336"/>
      <c r="Y76" s="336"/>
      <c r="Z76" s="336"/>
      <c r="AA76" s="336"/>
      <c r="AB76" s="336"/>
      <c r="AC76" s="336"/>
      <c r="AD76" s="336"/>
      <c r="AE76" s="336"/>
      <c r="AF76" s="336"/>
      <c r="AG76" s="336"/>
      <c r="AH76" s="336"/>
      <c r="AI76" s="337"/>
      <c r="AJ76" s="338"/>
      <c r="AK76" s="338"/>
      <c r="AL76" s="338"/>
      <c r="AM76" s="339"/>
      <c r="AN76" s="339"/>
      <c r="AO76" s="339"/>
      <c r="AP76" s="339"/>
      <c r="AQ76" s="339"/>
      <c r="AR76" s="339"/>
      <c r="AS76" s="339"/>
      <c r="AT76" s="339"/>
      <c r="AU76" s="339"/>
      <c r="AV76" s="339"/>
      <c r="AW76" s="339"/>
      <c r="AX76" s="339"/>
      <c r="AY76" s="339"/>
      <c r="AZ76" s="339"/>
      <c r="BA76" s="339"/>
      <c r="BB76" s="339"/>
      <c r="BC76" s="339"/>
      <c r="BD76" s="339"/>
      <c r="BE76" s="339"/>
      <c r="BF76" s="339"/>
      <c r="BG76" s="339"/>
      <c r="BH76" s="339"/>
      <c r="BI76" s="339"/>
      <c r="BJ76" s="339"/>
      <c r="BK76" s="339"/>
      <c r="BL76" s="339"/>
      <c r="BM76" s="339"/>
      <c r="BN76" s="339"/>
      <c r="BO76" s="339"/>
      <c r="BP76" s="339"/>
      <c r="BQ76" s="339"/>
      <c r="BR76" s="339"/>
      <c r="BS76" s="339"/>
      <c r="BT76" s="339"/>
      <c r="BU76" s="340"/>
      <c r="BV76" s="340"/>
      <c r="BW76" s="340"/>
      <c r="BX76" s="340"/>
      <c r="BY76" s="8"/>
      <c r="BZ76" s="18"/>
      <c r="CA76" s="9"/>
      <c r="CC76" s="15"/>
      <c r="CD76" s="8" t="s">
        <v>75</v>
      </c>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18"/>
    </row>
    <row r="77" spans="3:152" ht="18" customHeight="1">
      <c r="C77" s="15"/>
      <c r="D77" s="329" t="s">
        <v>91</v>
      </c>
      <c r="E77" s="329"/>
      <c r="F77" s="329"/>
      <c r="G77" s="329"/>
      <c r="H77" s="329"/>
      <c r="I77" s="329"/>
      <c r="J77" s="329"/>
      <c r="K77" s="329"/>
      <c r="L77" s="330" t="str">
        <f>VLOOKUP($D$11,調査票①!$A$10:$GY$58,103,FALSE)&amp;""</f>
        <v>4</v>
      </c>
      <c r="M77" s="330"/>
      <c r="N77" s="330"/>
      <c r="O77" s="330" t="str">
        <f>VLOOKUP($D$11,調査票①!$A$10:$GY$58,104,FALSE)&amp;""</f>
        <v>3</v>
      </c>
      <c r="P77" s="330"/>
      <c r="Q77" s="330"/>
      <c r="R77" s="331">
        <f>VLOOKUP($D$11,調査票①!$A$10:$GY$58,105,FALSE)</f>
        <v>0.75</v>
      </c>
      <c r="S77" s="331"/>
      <c r="T77" s="331"/>
      <c r="U77" s="332" t="str">
        <f>VLOOKUP($D$11,調査票①!$A$10:$GY$58,106,FALSE)&amp;""</f>
        <v>参入する者が見込めないため</v>
      </c>
      <c r="V77" s="333"/>
      <c r="W77" s="333"/>
      <c r="X77" s="333"/>
      <c r="Y77" s="333"/>
      <c r="Z77" s="333"/>
      <c r="AA77" s="333"/>
      <c r="AB77" s="333"/>
      <c r="AC77" s="333"/>
      <c r="AD77" s="333"/>
      <c r="AE77" s="333"/>
      <c r="AF77" s="333"/>
      <c r="AG77" s="333"/>
      <c r="AH77" s="333"/>
      <c r="AI77" s="334"/>
      <c r="AJ77" s="338" t="str">
        <f>VLOOKUP($D$11,調査票①!$A$10:$GY$58,107,FALSE)&amp;""</f>
        <v>1</v>
      </c>
      <c r="AK77" s="338"/>
      <c r="AL77" s="338"/>
      <c r="AM77" s="350" t="str">
        <f>VLOOKUP($D$11,調査票①!$A$10:$GY$58,108,FALSE)&amp;""</f>
        <v>研修生へ教務等の対応や施設の管理等のため職員の常駐が必要。</v>
      </c>
      <c r="AN77" s="350"/>
      <c r="AO77" s="350"/>
      <c r="AP77" s="350"/>
      <c r="AQ77" s="350"/>
      <c r="AR77" s="350"/>
      <c r="AS77" s="350"/>
      <c r="AT77" s="350"/>
      <c r="AU77" s="350"/>
      <c r="AV77" s="350"/>
      <c r="AW77" s="350"/>
      <c r="AX77" s="350"/>
      <c r="AY77" s="350"/>
      <c r="AZ77" s="350"/>
      <c r="BA77" s="350"/>
      <c r="BB77" s="350"/>
      <c r="BC77" s="350"/>
      <c r="BD77" s="350"/>
      <c r="BE77" s="350"/>
      <c r="BF77" s="350"/>
      <c r="BG77" s="350"/>
      <c r="BH77" s="350"/>
      <c r="BI77" s="350"/>
      <c r="BJ77" s="350"/>
      <c r="BK77" s="350"/>
      <c r="BL77" s="350"/>
      <c r="BM77" s="350"/>
      <c r="BN77" s="350"/>
      <c r="BO77" s="350"/>
      <c r="BP77" s="350"/>
      <c r="BQ77" s="350"/>
      <c r="BR77" s="350"/>
      <c r="BS77" s="350"/>
      <c r="BT77" s="350"/>
      <c r="BU77" s="340">
        <f>調査票①!DA57</f>
        <v>0.30379746835443039</v>
      </c>
      <c r="BV77" s="340"/>
      <c r="BW77" s="340"/>
      <c r="BX77" s="340"/>
      <c r="BY77" s="8"/>
      <c r="BZ77" s="18"/>
      <c r="CA77" s="9"/>
      <c r="CC77" s="15"/>
      <c r="CD77" s="310" t="s">
        <v>83</v>
      </c>
      <c r="CE77" s="310"/>
      <c r="CF77" s="310"/>
      <c r="CG77" s="310"/>
      <c r="CH77" s="310"/>
      <c r="CI77" s="310"/>
      <c r="CJ77" s="310"/>
      <c r="CK77" s="310"/>
      <c r="CL77" s="310"/>
      <c r="CM77" s="310"/>
      <c r="CN77" s="310"/>
      <c r="CO77" s="310"/>
      <c r="CP77" s="310"/>
      <c r="CQ77" s="310"/>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18"/>
    </row>
    <row r="78" spans="3:152" ht="18" customHeight="1">
      <c r="C78" s="15"/>
      <c r="D78" s="329"/>
      <c r="E78" s="329"/>
      <c r="F78" s="329"/>
      <c r="G78" s="329"/>
      <c r="H78" s="329"/>
      <c r="I78" s="329"/>
      <c r="J78" s="329"/>
      <c r="K78" s="329"/>
      <c r="L78" s="330"/>
      <c r="M78" s="330"/>
      <c r="N78" s="330"/>
      <c r="O78" s="330"/>
      <c r="P78" s="330"/>
      <c r="Q78" s="330"/>
      <c r="R78" s="331"/>
      <c r="S78" s="331"/>
      <c r="T78" s="331"/>
      <c r="U78" s="335"/>
      <c r="V78" s="336"/>
      <c r="W78" s="336"/>
      <c r="X78" s="336"/>
      <c r="Y78" s="336"/>
      <c r="Z78" s="336"/>
      <c r="AA78" s="336"/>
      <c r="AB78" s="336"/>
      <c r="AC78" s="336"/>
      <c r="AD78" s="336"/>
      <c r="AE78" s="336"/>
      <c r="AF78" s="336"/>
      <c r="AG78" s="336"/>
      <c r="AH78" s="336"/>
      <c r="AI78" s="337"/>
      <c r="AJ78" s="338"/>
      <c r="AK78" s="338"/>
      <c r="AL78" s="338"/>
      <c r="AM78" s="350"/>
      <c r="AN78" s="350"/>
      <c r="AO78" s="350"/>
      <c r="AP78" s="350"/>
      <c r="AQ78" s="350"/>
      <c r="AR78" s="350"/>
      <c r="AS78" s="350"/>
      <c r="AT78" s="350"/>
      <c r="AU78" s="350"/>
      <c r="AV78" s="350"/>
      <c r="AW78" s="350"/>
      <c r="AX78" s="350"/>
      <c r="AY78" s="350"/>
      <c r="AZ78" s="350"/>
      <c r="BA78" s="350"/>
      <c r="BB78" s="350"/>
      <c r="BC78" s="350"/>
      <c r="BD78" s="350"/>
      <c r="BE78" s="350"/>
      <c r="BF78" s="350"/>
      <c r="BG78" s="350"/>
      <c r="BH78" s="350"/>
      <c r="BI78" s="350"/>
      <c r="BJ78" s="350"/>
      <c r="BK78" s="350"/>
      <c r="BL78" s="350"/>
      <c r="BM78" s="350"/>
      <c r="BN78" s="350"/>
      <c r="BO78" s="350"/>
      <c r="BP78" s="350"/>
      <c r="BQ78" s="350"/>
      <c r="BR78" s="350"/>
      <c r="BS78" s="350"/>
      <c r="BT78" s="350"/>
      <c r="BU78" s="340"/>
      <c r="BV78" s="340"/>
      <c r="BW78" s="340"/>
      <c r="BX78" s="340"/>
      <c r="BY78" s="8"/>
      <c r="BZ78" s="18"/>
      <c r="CA78" s="9"/>
      <c r="CC78" s="15"/>
      <c r="CD78" s="310"/>
      <c r="CE78" s="310"/>
      <c r="CF78" s="310"/>
      <c r="CG78" s="310"/>
      <c r="CH78" s="310"/>
      <c r="CI78" s="310"/>
      <c r="CJ78" s="310"/>
      <c r="CK78" s="310"/>
      <c r="CL78" s="310"/>
      <c r="CM78" s="310"/>
      <c r="CN78" s="310"/>
      <c r="CO78" s="310"/>
      <c r="CP78" s="310"/>
      <c r="CQ78" s="310"/>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18"/>
    </row>
    <row r="79" spans="3:152" ht="18" customHeight="1">
      <c r="C79" s="15"/>
      <c r="D79" s="329" t="s">
        <v>90</v>
      </c>
      <c r="E79" s="329"/>
      <c r="F79" s="329"/>
      <c r="G79" s="329"/>
      <c r="H79" s="329"/>
      <c r="I79" s="329"/>
      <c r="J79" s="329"/>
      <c r="K79" s="329"/>
      <c r="L79" s="330" t="str">
        <f>VLOOKUP($D$11,調査票①!$A$10:$GY$58,109,FALSE)&amp;""</f>
        <v>12</v>
      </c>
      <c r="M79" s="330"/>
      <c r="N79" s="330"/>
      <c r="O79" s="330" t="str">
        <f>VLOOKUP($D$11,調査票①!$A$10:$GY$58,110,FALSE)&amp;""</f>
        <v>12</v>
      </c>
      <c r="P79" s="330"/>
      <c r="Q79" s="330"/>
      <c r="R79" s="331">
        <f>VLOOKUP($D$11,調査票①!$A$10:$GY$58,111,FALSE)</f>
        <v>1</v>
      </c>
      <c r="S79" s="331"/>
      <c r="T79" s="331"/>
      <c r="U79" s="332" t="str">
        <f>VLOOKUP($D$11,調査票①!$A$10:$GY$58,112,FALSE)&amp;""</f>
        <v>　</v>
      </c>
      <c r="V79" s="333"/>
      <c r="W79" s="333"/>
      <c r="X79" s="333"/>
      <c r="Y79" s="333"/>
      <c r="Z79" s="333"/>
      <c r="AA79" s="333"/>
      <c r="AB79" s="333"/>
      <c r="AC79" s="333"/>
      <c r="AD79" s="333"/>
      <c r="AE79" s="333"/>
      <c r="AF79" s="333"/>
      <c r="AG79" s="333"/>
      <c r="AH79" s="333"/>
      <c r="AI79" s="334"/>
      <c r="AJ79" s="338" t="str">
        <f>VLOOKUP($D$11,調査票①!$A$10:$GY$58,113,FALSE)&amp;""</f>
        <v>0</v>
      </c>
      <c r="AK79" s="338"/>
      <c r="AL79" s="338"/>
      <c r="AM79" s="339" t="str">
        <f>VLOOKUP($D$11,調査票①!$A$10:$GY$58,114,FALSE)&amp;""</f>
        <v>　</v>
      </c>
      <c r="AN79" s="339"/>
      <c r="AO79" s="339"/>
      <c r="AP79" s="339"/>
      <c r="AQ79" s="339"/>
      <c r="AR79" s="339"/>
      <c r="AS79" s="339"/>
      <c r="AT79" s="339"/>
      <c r="AU79" s="339"/>
      <c r="AV79" s="339"/>
      <c r="AW79" s="339"/>
      <c r="AX79" s="339"/>
      <c r="AY79" s="339"/>
      <c r="AZ79" s="339"/>
      <c r="BA79" s="339"/>
      <c r="BB79" s="339"/>
      <c r="BC79" s="339"/>
      <c r="BD79" s="339"/>
      <c r="BE79" s="339"/>
      <c r="BF79" s="339"/>
      <c r="BG79" s="339"/>
      <c r="BH79" s="339"/>
      <c r="BI79" s="339"/>
      <c r="BJ79" s="339"/>
      <c r="BK79" s="339"/>
      <c r="BL79" s="339"/>
      <c r="BM79" s="339"/>
      <c r="BN79" s="339"/>
      <c r="BO79" s="339"/>
      <c r="BP79" s="339"/>
      <c r="BQ79" s="339"/>
      <c r="BR79" s="339"/>
      <c r="BS79" s="339"/>
      <c r="BT79" s="339"/>
      <c r="BU79" s="340">
        <f>調査票①!DG57</f>
        <v>0.88270377733598404</v>
      </c>
      <c r="BV79" s="340"/>
      <c r="BW79" s="340"/>
      <c r="BX79" s="340"/>
      <c r="BY79" s="8"/>
      <c r="BZ79" s="18"/>
      <c r="CA79" s="9"/>
      <c r="CC79" s="15"/>
      <c r="CD79" s="310"/>
      <c r="CE79" s="310"/>
      <c r="CF79" s="310"/>
      <c r="CG79" s="310"/>
      <c r="CH79" s="310"/>
      <c r="CI79" s="310"/>
      <c r="CJ79" s="310"/>
      <c r="CK79" s="310"/>
      <c r="CL79" s="310"/>
      <c r="CM79" s="310"/>
      <c r="CN79" s="310"/>
      <c r="CO79" s="310"/>
      <c r="CP79" s="310"/>
      <c r="CQ79" s="310"/>
      <c r="CR79" s="81"/>
      <c r="CS79" s="81"/>
      <c r="CT79" s="81"/>
      <c r="CU79" s="81"/>
      <c r="CV79" s="81"/>
      <c r="CW79" s="81"/>
      <c r="CX79" s="81"/>
      <c r="CY79" s="81"/>
      <c r="CZ79" s="82"/>
      <c r="DA79" s="81"/>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18"/>
      <c r="EU79" s="7"/>
    </row>
    <row r="80" spans="3:152" ht="18" customHeight="1">
      <c r="C80" s="15"/>
      <c r="D80" s="329"/>
      <c r="E80" s="329"/>
      <c r="F80" s="329"/>
      <c r="G80" s="329"/>
      <c r="H80" s="329"/>
      <c r="I80" s="329"/>
      <c r="J80" s="329"/>
      <c r="K80" s="329"/>
      <c r="L80" s="330"/>
      <c r="M80" s="330"/>
      <c r="N80" s="330"/>
      <c r="O80" s="330"/>
      <c r="P80" s="330"/>
      <c r="Q80" s="330"/>
      <c r="R80" s="331"/>
      <c r="S80" s="331"/>
      <c r="T80" s="331"/>
      <c r="U80" s="335"/>
      <c r="V80" s="336"/>
      <c r="W80" s="336"/>
      <c r="X80" s="336"/>
      <c r="Y80" s="336"/>
      <c r="Z80" s="336"/>
      <c r="AA80" s="336"/>
      <c r="AB80" s="336"/>
      <c r="AC80" s="336"/>
      <c r="AD80" s="336"/>
      <c r="AE80" s="336"/>
      <c r="AF80" s="336"/>
      <c r="AG80" s="336"/>
      <c r="AH80" s="336"/>
      <c r="AI80" s="337"/>
      <c r="AJ80" s="338"/>
      <c r="AK80" s="338"/>
      <c r="AL80" s="338"/>
      <c r="AM80" s="339"/>
      <c r="AN80" s="339"/>
      <c r="AO80" s="339"/>
      <c r="AP80" s="339"/>
      <c r="AQ80" s="339"/>
      <c r="AR80" s="339"/>
      <c r="AS80" s="339"/>
      <c r="AT80" s="339"/>
      <c r="AU80" s="339"/>
      <c r="AV80" s="339"/>
      <c r="AW80" s="339"/>
      <c r="AX80" s="339"/>
      <c r="AY80" s="339"/>
      <c r="AZ80" s="339"/>
      <c r="BA80" s="339"/>
      <c r="BB80" s="339"/>
      <c r="BC80" s="339"/>
      <c r="BD80" s="339"/>
      <c r="BE80" s="339"/>
      <c r="BF80" s="339"/>
      <c r="BG80" s="339"/>
      <c r="BH80" s="339"/>
      <c r="BI80" s="339"/>
      <c r="BJ80" s="339"/>
      <c r="BK80" s="339"/>
      <c r="BL80" s="339"/>
      <c r="BM80" s="339"/>
      <c r="BN80" s="339"/>
      <c r="BO80" s="339"/>
      <c r="BP80" s="339"/>
      <c r="BQ80" s="339"/>
      <c r="BR80" s="339"/>
      <c r="BS80" s="339"/>
      <c r="BT80" s="339"/>
      <c r="BU80" s="340"/>
      <c r="BV80" s="340"/>
      <c r="BW80" s="340"/>
      <c r="BX80" s="340"/>
      <c r="BY80" s="8"/>
      <c r="BZ80" s="18"/>
      <c r="CA80" s="9"/>
      <c r="CC80" s="15"/>
      <c r="CD80" s="311">
        <f>調査票①!GT58</f>
        <v>1</v>
      </c>
      <c r="CE80" s="311"/>
      <c r="CF80" s="311"/>
      <c r="CG80" s="311"/>
      <c r="CH80" s="311"/>
      <c r="CI80" s="311"/>
      <c r="CJ80" s="311"/>
      <c r="CK80" s="311"/>
      <c r="CL80" s="311"/>
      <c r="CM80" s="311"/>
      <c r="CN80" s="311"/>
      <c r="CO80" s="311"/>
      <c r="CP80" s="311"/>
      <c r="CQ80" s="311"/>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18"/>
      <c r="EU80" s="7"/>
      <c r="EV80" s="7"/>
    </row>
    <row r="81" spans="3:153" ht="18" customHeight="1">
      <c r="C81" s="15"/>
      <c r="D81" s="329" t="s">
        <v>89</v>
      </c>
      <c r="E81" s="329"/>
      <c r="F81" s="329"/>
      <c r="G81" s="329"/>
      <c r="H81" s="329"/>
      <c r="I81" s="329"/>
      <c r="J81" s="329"/>
      <c r="K81" s="329"/>
      <c r="L81" s="330" t="str">
        <f>VLOOKUP($D$11,調査票①!$A$10:$GY$58,115,FALSE)&amp;""</f>
        <v>52</v>
      </c>
      <c r="M81" s="330"/>
      <c r="N81" s="330"/>
      <c r="O81" s="330" t="str">
        <f>VLOOKUP($D$11,調査票①!$A$10:$GY$58,116,FALSE)&amp;""</f>
        <v>51</v>
      </c>
      <c r="P81" s="330"/>
      <c r="Q81" s="330"/>
      <c r="R81" s="331">
        <f>VLOOKUP($D$11,調査票①!$A$10:$GY$58,117,FALSE)</f>
        <v>0.98076923076923073</v>
      </c>
      <c r="S81" s="331"/>
      <c r="T81" s="331"/>
      <c r="U81" s="332" t="str">
        <f>VLOOKUP($D$11,調査票①!$A$10:$GY$58,118,FALSE)&amp;""</f>
        <v>応札者がなく、今期（R4～R8）は直営としたため。来期も公募を実施する。</v>
      </c>
      <c r="V81" s="333"/>
      <c r="W81" s="333"/>
      <c r="X81" s="333"/>
      <c r="Y81" s="333"/>
      <c r="Z81" s="333"/>
      <c r="AA81" s="333"/>
      <c r="AB81" s="333"/>
      <c r="AC81" s="333"/>
      <c r="AD81" s="333"/>
      <c r="AE81" s="333"/>
      <c r="AF81" s="333"/>
      <c r="AG81" s="333"/>
      <c r="AH81" s="333"/>
      <c r="AI81" s="334"/>
      <c r="AJ81" s="338" t="str">
        <f>VLOOKUP($D$11,調査票①!$A$10:$GY$58,119,FALSE)&amp;""</f>
        <v>0</v>
      </c>
      <c r="AK81" s="338"/>
      <c r="AL81" s="338"/>
      <c r="AM81" s="339" t="str">
        <f>VLOOKUP($D$11,調査票①!$A$10:$GY$58,120,FALSE)&amp;""</f>
        <v>　</v>
      </c>
      <c r="AN81" s="339"/>
      <c r="AO81" s="339"/>
      <c r="AP81" s="339"/>
      <c r="AQ81" s="339"/>
      <c r="AR81" s="339"/>
      <c r="AS81" s="339"/>
      <c r="AT81" s="339"/>
      <c r="AU81" s="339"/>
      <c r="AV81" s="339"/>
      <c r="AW81" s="339"/>
      <c r="AX81" s="339"/>
      <c r="AY81" s="339"/>
      <c r="AZ81" s="339"/>
      <c r="BA81" s="339"/>
      <c r="BB81" s="339"/>
      <c r="BC81" s="339"/>
      <c r="BD81" s="339"/>
      <c r="BE81" s="339"/>
      <c r="BF81" s="339"/>
      <c r="BG81" s="339"/>
      <c r="BH81" s="339"/>
      <c r="BI81" s="339"/>
      <c r="BJ81" s="339"/>
      <c r="BK81" s="339"/>
      <c r="BL81" s="339"/>
      <c r="BM81" s="339"/>
      <c r="BN81" s="339"/>
      <c r="BO81" s="339"/>
      <c r="BP81" s="339"/>
      <c r="BQ81" s="339"/>
      <c r="BR81" s="339"/>
      <c r="BS81" s="339"/>
      <c r="BT81" s="339"/>
      <c r="BU81" s="340">
        <f>調査票①!DM57</f>
        <v>0.65724955349894465</v>
      </c>
      <c r="BV81" s="340"/>
      <c r="BW81" s="340"/>
      <c r="BX81" s="340"/>
      <c r="BY81" s="8"/>
      <c r="BZ81" s="18"/>
      <c r="CA81" s="9"/>
      <c r="CC81" s="15"/>
      <c r="CD81" s="311"/>
      <c r="CE81" s="311"/>
      <c r="CF81" s="311"/>
      <c r="CG81" s="311"/>
      <c r="CH81" s="311"/>
      <c r="CI81" s="311"/>
      <c r="CJ81" s="311"/>
      <c r="CK81" s="311"/>
      <c r="CL81" s="311"/>
      <c r="CM81" s="311"/>
      <c r="CN81" s="311"/>
      <c r="CO81" s="311"/>
      <c r="CP81" s="311"/>
      <c r="CQ81" s="311"/>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18"/>
      <c r="EU81" s="7"/>
      <c r="EV81" s="7"/>
    </row>
    <row r="82" spans="3:153" ht="18" customHeight="1">
      <c r="C82" s="15"/>
      <c r="D82" s="329"/>
      <c r="E82" s="329"/>
      <c r="F82" s="329"/>
      <c r="G82" s="329"/>
      <c r="H82" s="329"/>
      <c r="I82" s="329"/>
      <c r="J82" s="329"/>
      <c r="K82" s="329"/>
      <c r="L82" s="330"/>
      <c r="M82" s="330"/>
      <c r="N82" s="330"/>
      <c r="O82" s="330"/>
      <c r="P82" s="330"/>
      <c r="Q82" s="330"/>
      <c r="R82" s="331"/>
      <c r="S82" s="331"/>
      <c r="T82" s="331"/>
      <c r="U82" s="335"/>
      <c r="V82" s="336"/>
      <c r="W82" s="336"/>
      <c r="X82" s="336"/>
      <c r="Y82" s="336"/>
      <c r="Z82" s="336"/>
      <c r="AA82" s="336"/>
      <c r="AB82" s="336"/>
      <c r="AC82" s="336"/>
      <c r="AD82" s="336"/>
      <c r="AE82" s="336"/>
      <c r="AF82" s="336"/>
      <c r="AG82" s="336"/>
      <c r="AH82" s="336"/>
      <c r="AI82" s="337"/>
      <c r="AJ82" s="338"/>
      <c r="AK82" s="338"/>
      <c r="AL82" s="338"/>
      <c r="AM82" s="339"/>
      <c r="AN82" s="339"/>
      <c r="AO82" s="339"/>
      <c r="AP82" s="339"/>
      <c r="AQ82" s="339"/>
      <c r="AR82" s="339"/>
      <c r="AS82" s="339"/>
      <c r="AT82" s="339"/>
      <c r="AU82" s="339"/>
      <c r="AV82" s="339"/>
      <c r="AW82" s="339"/>
      <c r="AX82" s="339"/>
      <c r="AY82" s="339"/>
      <c r="AZ82" s="339"/>
      <c r="BA82" s="339"/>
      <c r="BB82" s="339"/>
      <c r="BC82" s="339"/>
      <c r="BD82" s="339"/>
      <c r="BE82" s="339"/>
      <c r="BF82" s="339"/>
      <c r="BG82" s="339"/>
      <c r="BH82" s="339"/>
      <c r="BI82" s="339"/>
      <c r="BJ82" s="339"/>
      <c r="BK82" s="339"/>
      <c r="BL82" s="339"/>
      <c r="BM82" s="339"/>
      <c r="BN82" s="339"/>
      <c r="BO82" s="339"/>
      <c r="BP82" s="339"/>
      <c r="BQ82" s="339"/>
      <c r="BR82" s="339"/>
      <c r="BS82" s="339"/>
      <c r="BT82" s="339"/>
      <c r="BU82" s="340"/>
      <c r="BV82" s="340"/>
      <c r="BW82" s="340"/>
      <c r="BX82" s="340"/>
      <c r="BY82" s="8"/>
      <c r="BZ82" s="18"/>
      <c r="CA82" s="9"/>
      <c r="CC82" s="15"/>
      <c r="CD82" s="311"/>
      <c r="CE82" s="311"/>
      <c r="CF82" s="311"/>
      <c r="CG82" s="311"/>
      <c r="CH82" s="311"/>
      <c r="CI82" s="311"/>
      <c r="CJ82" s="311"/>
      <c r="CK82" s="311"/>
      <c r="CL82" s="311"/>
      <c r="CM82" s="311"/>
      <c r="CN82" s="311"/>
      <c r="CO82" s="311"/>
      <c r="CP82" s="311"/>
      <c r="CQ82" s="311"/>
      <c r="CR82" s="84"/>
      <c r="CS82" s="84"/>
      <c r="CT82" s="84"/>
      <c r="CU82" s="84"/>
      <c r="CV82" s="84"/>
      <c r="CW82" s="84"/>
      <c r="CX82" s="84"/>
      <c r="CY82" s="84"/>
      <c r="CZ82" s="84"/>
      <c r="DA82" s="84"/>
      <c r="DB82" s="8"/>
      <c r="DC82" s="84"/>
      <c r="DD82" s="84"/>
      <c r="DE82" s="84"/>
      <c r="DF82" s="84"/>
      <c r="DG82" s="84"/>
      <c r="DH82" s="84"/>
      <c r="DI82" s="84"/>
      <c r="DJ82" s="84"/>
      <c r="DK82" s="84"/>
      <c r="DL82" s="84"/>
      <c r="DM82" s="84"/>
      <c r="DN82" s="84"/>
      <c r="DO82" s="84"/>
      <c r="DP82" s="84"/>
      <c r="DQ82" s="84"/>
      <c r="DR82" s="84"/>
      <c r="DS82" s="84"/>
      <c r="DT82" s="84"/>
      <c r="DU82" s="84"/>
      <c r="DV82" s="84"/>
      <c r="DW82" s="8"/>
      <c r="DX82" s="8"/>
      <c r="DY82" s="8"/>
      <c r="DZ82" s="84"/>
      <c r="EA82" s="84"/>
      <c r="EB82" s="84"/>
      <c r="EC82" s="84"/>
      <c r="ED82" s="84"/>
      <c r="EE82" s="84"/>
      <c r="EF82" s="84"/>
      <c r="EG82" s="84"/>
      <c r="EH82" s="85"/>
      <c r="EI82" s="85"/>
      <c r="EJ82" s="85"/>
      <c r="EK82" s="85"/>
      <c r="EL82" s="85"/>
      <c r="EM82" s="85"/>
      <c r="EN82" s="85"/>
      <c r="EO82" s="85"/>
      <c r="EP82" s="85"/>
      <c r="EQ82" s="8"/>
      <c r="ER82" s="8"/>
      <c r="ES82" s="8"/>
      <c r="ET82" s="18"/>
      <c r="EU82" s="7"/>
      <c r="EV82" s="7"/>
    </row>
    <row r="83" spans="3:153" ht="18" customHeight="1">
      <c r="C83" s="15"/>
      <c r="D83" s="329" t="s">
        <v>88</v>
      </c>
      <c r="E83" s="329"/>
      <c r="F83" s="329"/>
      <c r="G83" s="329"/>
      <c r="H83" s="329"/>
      <c r="I83" s="329"/>
      <c r="J83" s="329"/>
      <c r="K83" s="329"/>
      <c r="L83" s="330" t="str">
        <f>VLOOKUP($D$11,調査票①!$A$10:$GY$58,121,FALSE)&amp;""</f>
        <v>0</v>
      </c>
      <c r="M83" s="330"/>
      <c r="N83" s="330"/>
      <c r="O83" s="330" t="str">
        <f>VLOOKUP($D$11,調査票①!$A$10:$GY$58,122,FALSE)&amp;""</f>
        <v>0</v>
      </c>
      <c r="P83" s="330"/>
      <c r="Q83" s="330"/>
      <c r="R83" s="331" t="str">
        <f>VLOOKUP($D$11,調査票①!$A$10:$GY$58,123,FALSE)</f>
        <v/>
      </c>
      <c r="S83" s="331"/>
      <c r="T83" s="331"/>
      <c r="U83" s="332" t="str">
        <f>VLOOKUP($D$11,調査票①!$A$10:$GY$58,124,FALSE)&amp;""</f>
        <v>　</v>
      </c>
      <c r="V83" s="333"/>
      <c r="W83" s="333"/>
      <c r="X83" s="333"/>
      <c r="Y83" s="333"/>
      <c r="Z83" s="333"/>
      <c r="AA83" s="333"/>
      <c r="AB83" s="333"/>
      <c r="AC83" s="333"/>
      <c r="AD83" s="333"/>
      <c r="AE83" s="333"/>
      <c r="AF83" s="333"/>
      <c r="AG83" s="333"/>
      <c r="AH83" s="333"/>
      <c r="AI83" s="334"/>
      <c r="AJ83" s="338" t="str">
        <f>VLOOKUP($D$11,調査票①!$A$10:$GY$58,125,FALSE)&amp;""</f>
        <v>0</v>
      </c>
      <c r="AK83" s="338"/>
      <c r="AL83" s="338"/>
      <c r="AM83" s="339" t="str">
        <f>VLOOKUP($D$11,調査票①!$A$10:$GY$58,126,FALSE)&amp;""</f>
        <v>　</v>
      </c>
      <c r="AN83" s="339"/>
      <c r="AO83" s="339"/>
      <c r="AP83" s="339"/>
      <c r="AQ83" s="339"/>
      <c r="AR83" s="339"/>
      <c r="AS83" s="339"/>
      <c r="AT83" s="339"/>
      <c r="AU83" s="339"/>
      <c r="AV83" s="339"/>
      <c r="AW83" s="339"/>
      <c r="AX83" s="339"/>
      <c r="AY83" s="339"/>
      <c r="AZ83" s="339"/>
      <c r="BA83" s="339"/>
      <c r="BB83" s="339"/>
      <c r="BC83" s="339"/>
      <c r="BD83" s="339"/>
      <c r="BE83" s="339"/>
      <c r="BF83" s="339"/>
      <c r="BG83" s="339"/>
      <c r="BH83" s="339"/>
      <c r="BI83" s="339"/>
      <c r="BJ83" s="339"/>
      <c r="BK83" s="339"/>
      <c r="BL83" s="339"/>
      <c r="BM83" s="339"/>
      <c r="BN83" s="339"/>
      <c r="BO83" s="339"/>
      <c r="BP83" s="339"/>
      <c r="BQ83" s="339"/>
      <c r="BR83" s="339"/>
      <c r="BS83" s="339"/>
      <c r="BT83" s="339"/>
      <c r="BU83" s="340">
        <f>調査票①!DS57</f>
        <v>0.84536082474226804</v>
      </c>
      <c r="BV83" s="340"/>
      <c r="BW83" s="340"/>
      <c r="BX83" s="340"/>
      <c r="BY83" s="8"/>
      <c r="BZ83" s="18"/>
      <c r="CA83" s="9"/>
      <c r="CC83" s="15"/>
      <c r="CD83" s="308"/>
      <c r="CE83" s="308"/>
      <c r="CF83" s="308"/>
      <c r="CG83" s="308"/>
      <c r="CH83" s="308"/>
      <c r="CI83" s="308"/>
      <c r="CJ83" s="308"/>
      <c r="CK83" s="308"/>
      <c r="CL83" s="308"/>
      <c r="CM83" s="308"/>
      <c r="CN83" s="308"/>
      <c r="CO83" s="308"/>
      <c r="CP83" s="308"/>
      <c r="CQ83" s="308"/>
      <c r="CR83" s="84"/>
      <c r="CS83" s="84"/>
      <c r="CT83" s="84"/>
      <c r="CU83" s="84"/>
      <c r="CV83" s="84"/>
      <c r="CW83" s="84"/>
      <c r="CX83" s="84"/>
      <c r="CY83" s="84"/>
      <c r="CZ83" s="84"/>
      <c r="DA83" s="84"/>
      <c r="DB83" s="8"/>
      <c r="DC83" s="84"/>
      <c r="DD83" s="84"/>
      <c r="DE83" s="84"/>
      <c r="DF83" s="84"/>
      <c r="DG83" s="84"/>
      <c r="DH83" s="84"/>
      <c r="DI83" s="84"/>
      <c r="DJ83" s="84"/>
      <c r="DK83" s="84"/>
      <c r="DL83" s="84"/>
      <c r="DM83" s="84"/>
      <c r="DN83" s="84"/>
      <c r="DO83" s="84"/>
      <c r="DP83" s="84"/>
      <c r="DQ83" s="84"/>
      <c r="DR83" s="84"/>
      <c r="DS83" s="84"/>
      <c r="DT83" s="84"/>
      <c r="DU83" s="84"/>
      <c r="DV83" s="84"/>
      <c r="DW83" s="8"/>
      <c r="DX83" s="8"/>
      <c r="DY83" s="8"/>
      <c r="DZ83" s="84"/>
      <c r="EA83" s="84"/>
      <c r="EB83" s="84"/>
      <c r="EC83" s="84"/>
      <c r="ED83" s="84"/>
      <c r="EE83" s="84"/>
      <c r="EF83" s="84"/>
      <c r="EG83" s="84"/>
      <c r="EH83" s="85"/>
      <c r="EI83" s="85"/>
      <c r="EJ83" s="85"/>
      <c r="EK83" s="85"/>
      <c r="EL83" s="85"/>
      <c r="EM83" s="85"/>
      <c r="EN83" s="85"/>
      <c r="EO83" s="85"/>
      <c r="EP83" s="85"/>
      <c r="EQ83" s="8"/>
      <c r="ER83" s="8"/>
      <c r="ES83" s="8"/>
      <c r="ET83" s="18"/>
      <c r="EU83" s="7"/>
      <c r="EV83" s="7"/>
    </row>
    <row r="84" spans="3:153" ht="18" customHeight="1">
      <c r="C84" s="15"/>
      <c r="D84" s="329"/>
      <c r="E84" s="329"/>
      <c r="F84" s="329"/>
      <c r="G84" s="329"/>
      <c r="H84" s="329"/>
      <c r="I84" s="329"/>
      <c r="J84" s="329"/>
      <c r="K84" s="329"/>
      <c r="L84" s="330"/>
      <c r="M84" s="330"/>
      <c r="N84" s="330"/>
      <c r="O84" s="330"/>
      <c r="P84" s="330"/>
      <c r="Q84" s="330"/>
      <c r="R84" s="331"/>
      <c r="S84" s="331"/>
      <c r="T84" s="331"/>
      <c r="U84" s="335"/>
      <c r="V84" s="336"/>
      <c r="W84" s="336"/>
      <c r="X84" s="336"/>
      <c r="Y84" s="336"/>
      <c r="Z84" s="336"/>
      <c r="AA84" s="336"/>
      <c r="AB84" s="336"/>
      <c r="AC84" s="336"/>
      <c r="AD84" s="336"/>
      <c r="AE84" s="336"/>
      <c r="AF84" s="336"/>
      <c r="AG84" s="336"/>
      <c r="AH84" s="336"/>
      <c r="AI84" s="337"/>
      <c r="AJ84" s="338"/>
      <c r="AK84" s="338"/>
      <c r="AL84" s="338"/>
      <c r="AM84" s="339"/>
      <c r="AN84" s="339"/>
      <c r="AO84" s="339"/>
      <c r="AP84" s="339"/>
      <c r="AQ84" s="339"/>
      <c r="AR84" s="339"/>
      <c r="AS84" s="339"/>
      <c r="AT84" s="339"/>
      <c r="AU84" s="339"/>
      <c r="AV84" s="339"/>
      <c r="AW84" s="339"/>
      <c r="AX84" s="339"/>
      <c r="AY84" s="339"/>
      <c r="AZ84" s="339"/>
      <c r="BA84" s="339"/>
      <c r="BB84" s="339"/>
      <c r="BC84" s="339"/>
      <c r="BD84" s="339"/>
      <c r="BE84" s="339"/>
      <c r="BF84" s="339"/>
      <c r="BG84" s="339"/>
      <c r="BH84" s="339"/>
      <c r="BI84" s="339"/>
      <c r="BJ84" s="339"/>
      <c r="BK84" s="339"/>
      <c r="BL84" s="339"/>
      <c r="BM84" s="339"/>
      <c r="BN84" s="339"/>
      <c r="BO84" s="339"/>
      <c r="BP84" s="339"/>
      <c r="BQ84" s="339"/>
      <c r="BR84" s="339"/>
      <c r="BS84" s="339"/>
      <c r="BT84" s="339"/>
      <c r="BU84" s="340"/>
      <c r="BV84" s="340"/>
      <c r="BW84" s="340"/>
      <c r="BX84" s="340"/>
      <c r="BY84" s="8"/>
      <c r="BZ84" s="18"/>
      <c r="CA84" s="9"/>
      <c r="CC84" s="15"/>
      <c r="CD84" s="308"/>
      <c r="CE84" s="308"/>
      <c r="CF84" s="308"/>
      <c r="CG84" s="308"/>
      <c r="CH84" s="308"/>
      <c r="CI84" s="308"/>
      <c r="CJ84" s="308"/>
      <c r="CK84" s="308"/>
      <c r="CL84" s="308"/>
      <c r="CM84" s="308"/>
      <c r="CN84" s="308"/>
      <c r="CO84" s="308"/>
      <c r="CP84" s="308"/>
      <c r="CQ84" s="30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18"/>
      <c r="EU84" s="7"/>
      <c r="EV84" s="7"/>
    </row>
    <row r="85" spans="3:153" ht="18" customHeight="1">
      <c r="C85" s="15"/>
      <c r="D85" s="329" t="s">
        <v>87</v>
      </c>
      <c r="E85" s="329"/>
      <c r="F85" s="329"/>
      <c r="G85" s="329"/>
      <c r="H85" s="329"/>
      <c r="I85" s="329"/>
      <c r="J85" s="329"/>
      <c r="K85" s="329"/>
      <c r="L85" s="330" t="str">
        <f>VLOOKUP($D$11,調査票①!$A$10:$GY$58,127,FALSE)&amp;""</f>
        <v>0</v>
      </c>
      <c r="M85" s="330"/>
      <c r="N85" s="330"/>
      <c r="O85" s="330" t="str">
        <f>VLOOKUP($D$11,調査票①!$A$10:$GY$58,128,FALSE)&amp;""</f>
        <v>0</v>
      </c>
      <c r="P85" s="330"/>
      <c r="Q85" s="330"/>
      <c r="R85" s="331" t="str">
        <f>VLOOKUP($D$11,調査票①!$A$10:$GY$58,129,FALSE)</f>
        <v/>
      </c>
      <c r="S85" s="331"/>
      <c r="T85" s="331"/>
      <c r="U85" s="332" t="str">
        <f>VLOOKUP($D$11,調査票①!$A$10:$GY$58,130,FALSE)&amp;""</f>
        <v>　</v>
      </c>
      <c r="V85" s="333"/>
      <c r="W85" s="333"/>
      <c r="X85" s="333"/>
      <c r="Y85" s="333"/>
      <c r="Z85" s="333"/>
      <c r="AA85" s="333"/>
      <c r="AB85" s="333"/>
      <c r="AC85" s="333"/>
      <c r="AD85" s="333"/>
      <c r="AE85" s="333"/>
      <c r="AF85" s="333"/>
      <c r="AG85" s="333"/>
      <c r="AH85" s="333"/>
      <c r="AI85" s="334"/>
      <c r="AJ85" s="338" t="str">
        <f>VLOOKUP($D$11,調査票①!$A$10:$GY$58,131,FALSE)&amp;""</f>
        <v>0</v>
      </c>
      <c r="AK85" s="338"/>
      <c r="AL85" s="338"/>
      <c r="AM85" s="339" t="str">
        <f>VLOOKUP($D$11,調査票①!$A$10:$GY$58,132,FALSE)&amp;""</f>
        <v>　</v>
      </c>
      <c r="AN85" s="339"/>
      <c r="AO85" s="339"/>
      <c r="AP85" s="339"/>
      <c r="AQ85" s="339"/>
      <c r="AR85" s="339"/>
      <c r="AS85" s="339"/>
      <c r="AT85" s="339"/>
      <c r="AU85" s="339"/>
      <c r="AV85" s="339"/>
      <c r="AW85" s="339"/>
      <c r="AX85" s="339"/>
      <c r="AY85" s="339"/>
      <c r="AZ85" s="339"/>
      <c r="BA85" s="339"/>
      <c r="BB85" s="339"/>
      <c r="BC85" s="339"/>
      <c r="BD85" s="339"/>
      <c r="BE85" s="339"/>
      <c r="BF85" s="339"/>
      <c r="BG85" s="339"/>
      <c r="BH85" s="339"/>
      <c r="BI85" s="339"/>
      <c r="BJ85" s="339"/>
      <c r="BK85" s="339"/>
      <c r="BL85" s="339"/>
      <c r="BM85" s="339"/>
      <c r="BN85" s="339"/>
      <c r="BO85" s="339"/>
      <c r="BP85" s="339"/>
      <c r="BQ85" s="339"/>
      <c r="BR85" s="339"/>
      <c r="BS85" s="339"/>
      <c r="BT85" s="339"/>
      <c r="BU85" s="340">
        <f>調査票①!DY57</f>
        <v>0.9</v>
      </c>
      <c r="BV85" s="340"/>
      <c r="BW85" s="340"/>
      <c r="BX85" s="340"/>
      <c r="BY85" s="8"/>
      <c r="BZ85" s="18"/>
      <c r="CA85" s="9"/>
      <c r="CC85" s="15"/>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18"/>
      <c r="EU85" s="7"/>
      <c r="EV85" s="7"/>
    </row>
    <row r="86" spans="3:153" ht="18" customHeight="1">
      <c r="C86" s="15"/>
      <c r="D86" s="329"/>
      <c r="E86" s="329"/>
      <c r="F86" s="329"/>
      <c r="G86" s="329"/>
      <c r="H86" s="329"/>
      <c r="I86" s="329"/>
      <c r="J86" s="329"/>
      <c r="K86" s="329"/>
      <c r="L86" s="330"/>
      <c r="M86" s="330"/>
      <c r="N86" s="330"/>
      <c r="O86" s="330"/>
      <c r="P86" s="330"/>
      <c r="Q86" s="330"/>
      <c r="R86" s="331"/>
      <c r="S86" s="331"/>
      <c r="T86" s="331"/>
      <c r="U86" s="335"/>
      <c r="V86" s="336"/>
      <c r="W86" s="336"/>
      <c r="X86" s="336"/>
      <c r="Y86" s="336"/>
      <c r="Z86" s="336"/>
      <c r="AA86" s="336"/>
      <c r="AB86" s="336"/>
      <c r="AC86" s="336"/>
      <c r="AD86" s="336"/>
      <c r="AE86" s="336"/>
      <c r="AF86" s="336"/>
      <c r="AG86" s="336"/>
      <c r="AH86" s="336"/>
      <c r="AI86" s="337"/>
      <c r="AJ86" s="338"/>
      <c r="AK86" s="338"/>
      <c r="AL86" s="338"/>
      <c r="AM86" s="339"/>
      <c r="AN86" s="339"/>
      <c r="AO86" s="339"/>
      <c r="AP86" s="339"/>
      <c r="AQ86" s="339"/>
      <c r="AR86" s="339"/>
      <c r="AS86" s="339"/>
      <c r="AT86" s="339"/>
      <c r="AU86" s="339"/>
      <c r="AV86" s="339"/>
      <c r="AW86" s="339"/>
      <c r="AX86" s="339"/>
      <c r="AY86" s="339"/>
      <c r="AZ86" s="339"/>
      <c r="BA86" s="339"/>
      <c r="BB86" s="339"/>
      <c r="BC86" s="339"/>
      <c r="BD86" s="339"/>
      <c r="BE86" s="339"/>
      <c r="BF86" s="339"/>
      <c r="BG86" s="339"/>
      <c r="BH86" s="339"/>
      <c r="BI86" s="339"/>
      <c r="BJ86" s="339"/>
      <c r="BK86" s="339"/>
      <c r="BL86" s="339"/>
      <c r="BM86" s="339"/>
      <c r="BN86" s="339"/>
      <c r="BO86" s="339"/>
      <c r="BP86" s="339"/>
      <c r="BQ86" s="339"/>
      <c r="BR86" s="339"/>
      <c r="BS86" s="339"/>
      <c r="BT86" s="339"/>
      <c r="BU86" s="340"/>
      <c r="BV86" s="340"/>
      <c r="BW86" s="340"/>
      <c r="BX86" s="340"/>
      <c r="BY86" s="8"/>
      <c r="BZ86" s="18"/>
      <c r="CA86" s="9"/>
      <c r="CC86" s="15"/>
      <c r="CD86" s="22"/>
      <c r="CE86" s="22"/>
      <c r="CF86" s="22"/>
      <c r="CG86" s="22"/>
      <c r="CH86" s="22"/>
      <c r="CI86" s="22"/>
      <c r="CJ86" s="22"/>
      <c r="CK86" s="22"/>
      <c r="CL86" s="22"/>
      <c r="CM86" s="22"/>
      <c r="CN86" s="22"/>
      <c r="CO86" s="22"/>
      <c r="CP86" s="22"/>
      <c r="CQ86" s="22"/>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18"/>
      <c r="EU86" s="7"/>
      <c r="EV86" s="7"/>
    </row>
    <row r="87" spans="3:153" ht="18" customHeight="1">
      <c r="C87" s="15"/>
      <c r="D87" s="329" t="s">
        <v>84</v>
      </c>
      <c r="E87" s="329"/>
      <c r="F87" s="329"/>
      <c r="G87" s="329"/>
      <c r="H87" s="329"/>
      <c r="I87" s="329"/>
      <c r="J87" s="329"/>
      <c r="K87" s="329"/>
      <c r="L87" s="330" t="str">
        <f>VLOOKUP($D$11,調査票①!$A$10:$GY$58,133,FALSE)&amp;""</f>
        <v>1</v>
      </c>
      <c r="M87" s="330"/>
      <c r="N87" s="330"/>
      <c r="O87" s="330" t="str">
        <f>VLOOKUP($D$11,調査票①!$A$10:$GY$58,134,FALSE)&amp;""</f>
        <v>0</v>
      </c>
      <c r="P87" s="330"/>
      <c r="Q87" s="330"/>
      <c r="R87" s="331">
        <f>VLOOKUP($D$11,調査票①!$A$10:$GY$58,135,FALSE)</f>
        <v>0</v>
      </c>
      <c r="S87" s="331"/>
      <c r="T87" s="331"/>
      <c r="U87" s="344" t="str">
        <f>VLOOKUP($D$11,調査票①!$A$10:$GY$58,136,FALSE)&amp;""</f>
        <v>指定管理者制度の導入検討の結果、道立図書館の役割等に鑑み、一部民間委託を活用した直営が望ましいとの結論に至ったため。</v>
      </c>
      <c r="V87" s="345"/>
      <c r="W87" s="345"/>
      <c r="X87" s="345"/>
      <c r="Y87" s="345"/>
      <c r="Z87" s="345"/>
      <c r="AA87" s="345"/>
      <c r="AB87" s="345"/>
      <c r="AC87" s="345"/>
      <c r="AD87" s="345"/>
      <c r="AE87" s="345"/>
      <c r="AF87" s="345"/>
      <c r="AG87" s="345"/>
      <c r="AH87" s="345"/>
      <c r="AI87" s="346"/>
      <c r="AJ87" s="338" t="str">
        <f>VLOOKUP($D$11,調査票①!$A$10:$GY$58,137,FALSE)&amp;""</f>
        <v>1</v>
      </c>
      <c r="AK87" s="338"/>
      <c r="AL87" s="338"/>
      <c r="AM87" s="339" t="str">
        <f>VLOOKUP($D$11,調査票①!$A$10:$GY$58,138,FALSE)&amp;""</f>
        <v>市町村立図書館等への支援や資料収集及び高度なレファレンス業務等、道内図書館の中心的役割を担うためには、長期的かつ継続的な視点で専門的知識・経験を有した職員の配置が必要なため。</v>
      </c>
      <c r="AN87" s="339"/>
      <c r="AO87" s="339"/>
      <c r="AP87" s="339"/>
      <c r="AQ87" s="339"/>
      <c r="AR87" s="339"/>
      <c r="AS87" s="339"/>
      <c r="AT87" s="339"/>
      <c r="AU87" s="339"/>
      <c r="AV87" s="339"/>
      <c r="AW87" s="339"/>
      <c r="AX87" s="339"/>
      <c r="AY87" s="339"/>
      <c r="AZ87" s="339"/>
      <c r="BA87" s="339"/>
      <c r="BB87" s="339"/>
      <c r="BC87" s="339"/>
      <c r="BD87" s="339"/>
      <c r="BE87" s="339"/>
      <c r="BF87" s="339"/>
      <c r="BG87" s="339"/>
      <c r="BH87" s="339"/>
      <c r="BI87" s="339"/>
      <c r="BJ87" s="339"/>
      <c r="BK87" s="339"/>
      <c r="BL87" s="339"/>
      <c r="BM87" s="339"/>
      <c r="BN87" s="339"/>
      <c r="BO87" s="339"/>
      <c r="BP87" s="339"/>
      <c r="BQ87" s="339"/>
      <c r="BR87" s="339"/>
      <c r="BS87" s="339"/>
      <c r="BT87" s="339"/>
      <c r="BU87" s="340">
        <f>調査票①!EE57</f>
        <v>0.12903225806451613</v>
      </c>
      <c r="BV87" s="340"/>
      <c r="BW87" s="340"/>
      <c r="BX87" s="340"/>
      <c r="BY87" s="8"/>
      <c r="BZ87" s="18"/>
      <c r="CA87" s="9"/>
      <c r="CB87" s="24"/>
      <c r="CC87" s="13"/>
      <c r="CD87" s="87"/>
      <c r="CE87" s="87"/>
      <c r="CF87" s="87"/>
      <c r="CG87" s="87"/>
      <c r="CH87" s="87"/>
      <c r="CI87" s="87"/>
      <c r="CJ87" s="87"/>
      <c r="CK87" s="87"/>
      <c r="CL87" s="87"/>
      <c r="CM87" s="87"/>
      <c r="CN87" s="87"/>
      <c r="CO87" s="87"/>
      <c r="CP87" s="87"/>
      <c r="CQ87" s="87"/>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9"/>
      <c r="EU87" s="7"/>
      <c r="EV87" s="7"/>
    </row>
    <row r="88" spans="3:153" ht="18" customHeight="1">
      <c r="C88" s="15"/>
      <c r="D88" s="329"/>
      <c r="E88" s="329"/>
      <c r="F88" s="329"/>
      <c r="G88" s="329"/>
      <c r="H88" s="329"/>
      <c r="I88" s="329"/>
      <c r="J88" s="329"/>
      <c r="K88" s="329"/>
      <c r="L88" s="330"/>
      <c r="M88" s="330"/>
      <c r="N88" s="330"/>
      <c r="O88" s="330"/>
      <c r="P88" s="330"/>
      <c r="Q88" s="330"/>
      <c r="R88" s="331"/>
      <c r="S88" s="331"/>
      <c r="T88" s="331"/>
      <c r="U88" s="347"/>
      <c r="V88" s="348"/>
      <c r="W88" s="348"/>
      <c r="X88" s="348"/>
      <c r="Y88" s="348"/>
      <c r="Z88" s="348"/>
      <c r="AA88" s="348"/>
      <c r="AB88" s="348"/>
      <c r="AC88" s="348"/>
      <c r="AD88" s="348"/>
      <c r="AE88" s="348"/>
      <c r="AF88" s="348"/>
      <c r="AG88" s="348"/>
      <c r="AH88" s="348"/>
      <c r="AI88" s="349"/>
      <c r="AJ88" s="338"/>
      <c r="AK88" s="338"/>
      <c r="AL88" s="338"/>
      <c r="AM88" s="339"/>
      <c r="AN88" s="339"/>
      <c r="AO88" s="339"/>
      <c r="AP88" s="339"/>
      <c r="AQ88" s="339"/>
      <c r="AR88" s="339"/>
      <c r="AS88" s="339"/>
      <c r="AT88" s="339"/>
      <c r="AU88" s="339"/>
      <c r="AV88" s="339"/>
      <c r="AW88" s="339"/>
      <c r="AX88" s="339"/>
      <c r="AY88" s="339"/>
      <c r="AZ88" s="339"/>
      <c r="BA88" s="339"/>
      <c r="BB88" s="339"/>
      <c r="BC88" s="339"/>
      <c r="BD88" s="339"/>
      <c r="BE88" s="339"/>
      <c r="BF88" s="339"/>
      <c r="BG88" s="339"/>
      <c r="BH88" s="339"/>
      <c r="BI88" s="339"/>
      <c r="BJ88" s="339"/>
      <c r="BK88" s="339"/>
      <c r="BL88" s="339"/>
      <c r="BM88" s="339"/>
      <c r="BN88" s="339"/>
      <c r="BO88" s="339"/>
      <c r="BP88" s="339"/>
      <c r="BQ88" s="339"/>
      <c r="BR88" s="339"/>
      <c r="BS88" s="339"/>
      <c r="BT88" s="339"/>
      <c r="BU88" s="340"/>
      <c r="BV88" s="340"/>
      <c r="BW88" s="340"/>
      <c r="BX88" s="340"/>
      <c r="BY88" s="8"/>
      <c r="BZ88" s="18"/>
      <c r="CA88" s="9"/>
      <c r="CC88" s="9"/>
      <c r="CD88" s="86"/>
      <c r="CE88" s="86"/>
      <c r="CF88" s="86"/>
      <c r="CG88" s="86"/>
      <c r="CH88" s="86"/>
      <c r="CI88" s="86"/>
      <c r="CJ88" s="86"/>
      <c r="CK88" s="86"/>
      <c r="CL88" s="86"/>
      <c r="CM88" s="86"/>
      <c r="CN88" s="86"/>
      <c r="CO88" s="86"/>
      <c r="CP88" s="86"/>
      <c r="CQ88" s="86"/>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7"/>
      <c r="EV88" s="7"/>
    </row>
    <row r="89" spans="3:153" ht="18" customHeight="1">
      <c r="C89" s="15"/>
      <c r="D89" s="343" t="s">
        <v>497</v>
      </c>
      <c r="E89" s="329"/>
      <c r="F89" s="329"/>
      <c r="G89" s="329"/>
      <c r="H89" s="329"/>
      <c r="I89" s="329"/>
      <c r="J89" s="329"/>
      <c r="K89" s="329"/>
      <c r="L89" s="330" t="str">
        <f>VLOOKUP($D$11,調査票①!$A$10:$GY$58,139,FALSE)&amp;""</f>
        <v>7</v>
      </c>
      <c r="M89" s="330"/>
      <c r="N89" s="330"/>
      <c r="O89" s="330" t="str">
        <f>VLOOKUP($D$11,調査票①!$A$10:$GY$58,140,FALSE)&amp;""</f>
        <v>3</v>
      </c>
      <c r="P89" s="330"/>
      <c r="Q89" s="330"/>
      <c r="R89" s="331">
        <f>VLOOKUP($D$11,調査票①!$A$10:$GY$58,141,FALSE)</f>
        <v>0.42857142857142855</v>
      </c>
      <c r="S89" s="331"/>
      <c r="T89" s="331"/>
      <c r="U89" s="344" t="str">
        <f>VLOOKUP($D$11,調査票①!$A$10:$GY$58,142,FALSE)&amp;""</f>
        <v>指定管理者制度の導入検討の結果、直営が望ましいとの結論に至ったため。</v>
      </c>
      <c r="V89" s="345"/>
      <c r="W89" s="345"/>
      <c r="X89" s="345"/>
      <c r="Y89" s="345"/>
      <c r="Z89" s="345"/>
      <c r="AA89" s="345"/>
      <c r="AB89" s="345"/>
      <c r="AC89" s="345"/>
      <c r="AD89" s="345"/>
      <c r="AE89" s="345"/>
      <c r="AF89" s="345"/>
      <c r="AG89" s="345"/>
      <c r="AH89" s="345"/>
      <c r="AI89" s="346"/>
      <c r="AJ89" s="338" t="str">
        <f>VLOOKUP($D$11,調査票①!$A$10:$GY$58,143,FALSE)&amp;""</f>
        <v>4</v>
      </c>
      <c r="AK89" s="338"/>
      <c r="AL89" s="338"/>
      <c r="AM89" s="339" t="str">
        <f>VLOOKUP($D$11,調査票①!$A$10:$GY$58,144,FALSE)&amp;""</f>
        <v>様々な機関、団体と連携協力して実施する展覧会事業や専門的・技術的な事項に関する調査研究の実施等のために、専門的職員の配置が必要なため。</v>
      </c>
      <c r="AN89" s="339"/>
      <c r="AO89" s="339"/>
      <c r="AP89" s="339"/>
      <c r="AQ89" s="339"/>
      <c r="AR89" s="339"/>
      <c r="AS89" s="339"/>
      <c r="AT89" s="339"/>
      <c r="AU89" s="339"/>
      <c r="AV89" s="339"/>
      <c r="AW89" s="339"/>
      <c r="AX89" s="339"/>
      <c r="AY89" s="339"/>
      <c r="AZ89" s="339"/>
      <c r="BA89" s="339"/>
      <c r="BB89" s="339"/>
      <c r="BC89" s="339"/>
      <c r="BD89" s="339"/>
      <c r="BE89" s="339"/>
      <c r="BF89" s="339"/>
      <c r="BG89" s="339"/>
      <c r="BH89" s="339"/>
      <c r="BI89" s="339"/>
      <c r="BJ89" s="339"/>
      <c r="BK89" s="339"/>
      <c r="BL89" s="339"/>
      <c r="BM89" s="339"/>
      <c r="BN89" s="339"/>
      <c r="BO89" s="339"/>
      <c r="BP89" s="339"/>
      <c r="BQ89" s="339"/>
      <c r="BR89" s="339"/>
      <c r="BS89" s="339"/>
      <c r="BT89" s="339"/>
      <c r="BU89" s="340">
        <f>調査票①!EK57</f>
        <v>0.49484536082474229</v>
      </c>
      <c r="BV89" s="340"/>
      <c r="BW89" s="340"/>
      <c r="BX89" s="340"/>
      <c r="BY89" s="8"/>
      <c r="BZ89" s="18"/>
      <c r="CA89" s="9"/>
      <c r="CC89" s="9"/>
      <c r="CD89" s="86"/>
      <c r="CE89" s="86"/>
      <c r="CF89" s="86"/>
      <c r="CG89" s="86"/>
      <c r="CH89" s="86"/>
      <c r="CI89" s="86"/>
      <c r="CJ89" s="86"/>
      <c r="CK89" s="86"/>
      <c r="CL89" s="86"/>
      <c r="CM89" s="86"/>
      <c r="CN89" s="86"/>
      <c r="CO89" s="86"/>
      <c r="CP89" s="86"/>
      <c r="CQ89" s="86"/>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7"/>
      <c r="EV89" s="7"/>
    </row>
    <row r="90" spans="3:153" ht="18" customHeight="1">
      <c r="C90" s="15"/>
      <c r="D90" s="329"/>
      <c r="E90" s="329"/>
      <c r="F90" s="329"/>
      <c r="G90" s="329"/>
      <c r="H90" s="329"/>
      <c r="I90" s="329"/>
      <c r="J90" s="329"/>
      <c r="K90" s="329"/>
      <c r="L90" s="330"/>
      <c r="M90" s="330"/>
      <c r="N90" s="330"/>
      <c r="O90" s="330"/>
      <c r="P90" s="330"/>
      <c r="Q90" s="330"/>
      <c r="R90" s="331"/>
      <c r="S90" s="331"/>
      <c r="T90" s="331"/>
      <c r="U90" s="347"/>
      <c r="V90" s="348"/>
      <c r="W90" s="348"/>
      <c r="X90" s="348"/>
      <c r="Y90" s="348"/>
      <c r="Z90" s="348"/>
      <c r="AA90" s="348"/>
      <c r="AB90" s="348"/>
      <c r="AC90" s="348"/>
      <c r="AD90" s="348"/>
      <c r="AE90" s="348"/>
      <c r="AF90" s="348"/>
      <c r="AG90" s="348"/>
      <c r="AH90" s="348"/>
      <c r="AI90" s="349"/>
      <c r="AJ90" s="338"/>
      <c r="AK90" s="338"/>
      <c r="AL90" s="338"/>
      <c r="AM90" s="339"/>
      <c r="AN90" s="339"/>
      <c r="AO90" s="339"/>
      <c r="AP90" s="339"/>
      <c r="AQ90" s="339"/>
      <c r="AR90" s="339"/>
      <c r="AS90" s="339"/>
      <c r="AT90" s="339"/>
      <c r="AU90" s="339"/>
      <c r="AV90" s="339"/>
      <c r="AW90" s="339"/>
      <c r="AX90" s="339"/>
      <c r="AY90" s="339"/>
      <c r="AZ90" s="339"/>
      <c r="BA90" s="339"/>
      <c r="BB90" s="339"/>
      <c r="BC90" s="339"/>
      <c r="BD90" s="339"/>
      <c r="BE90" s="339"/>
      <c r="BF90" s="339"/>
      <c r="BG90" s="339"/>
      <c r="BH90" s="339"/>
      <c r="BI90" s="339"/>
      <c r="BJ90" s="339"/>
      <c r="BK90" s="339"/>
      <c r="BL90" s="339"/>
      <c r="BM90" s="339"/>
      <c r="BN90" s="339"/>
      <c r="BO90" s="339"/>
      <c r="BP90" s="339"/>
      <c r="BQ90" s="339"/>
      <c r="BR90" s="339"/>
      <c r="BS90" s="339"/>
      <c r="BT90" s="339"/>
      <c r="BU90" s="340"/>
      <c r="BV90" s="340"/>
      <c r="BW90" s="340"/>
      <c r="BX90" s="340"/>
      <c r="BY90" s="8"/>
      <c r="BZ90" s="18"/>
      <c r="CA90" s="9"/>
      <c r="CC90" s="28"/>
      <c r="CD90" s="27"/>
      <c r="CE90" s="27"/>
      <c r="CF90" s="27"/>
      <c r="CG90" s="27"/>
      <c r="CH90" s="27"/>
      <c r="CI90" s="27"/>
      <c r="CJ90" s="27"/>
      <c r="CK90" s="27"/>
      <c r="CL90" s="27"/>
      <c r="CM90" s="27"/>
      <c r="CN90" s="27"/>
      <c r="CO90" s="27"/>
      <c r="CP90" s="27"/>
      <c r="CQ90" s="27"/>
      <c r="CR90" s="70" t="s">
        <v>786</v>
      </c>
      <c r="CS90" s="27"/>
      <c r="CT90" s="27"/>
      <c r="CU90" s="27"/>
      <c r="CV90" s="27"/>
      <c r="CW90" s="27"/>
      <c r="CX90" s="27"/>
      <c r="CY90" s="27"/>
      <c r="CZ90" s="27"/>
      <c r="DA90" s="27"/>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5"/>
      <c r="EU90" s="7"/>
      <c r="EV90" s="7"/>
    </row>
    <row r="91" spans="3:153" ht="18" customHeight="1">
      <c r="C91" s="15"/>
      <c r="D91" s="329" t="s">
        <v>82</v>
      </c>
      <c r="E91" s="329"/>
      <c r="F91" s="329"/>
      <c r="G91" s="329"/>
      <c r="H91" s="329"/>
      <c r="I91" s="329"/>
      <c r="J91" s="329"/>
      <c r="K91" s="329"/>
      <c r="L91" s="330" t="str">
        <f>VLOOKUP($D$11,調査票①!$A$10:$GY$58,145,FALSE)&amp;""</f>
        <v>0</v>
      </c>
      <c r="M91" s="330"/>
      <c r="N91" s="330"/>
      <c r="O91" s="330" t="str">
        <f>VLOOKUP($D$11,調査票①!$A$10:$GY$58,146,FALSE)&amp;""</f>
        <v>0</v>
      </c>
      <c r="P91" s="330"/>
      <c r="Q91" s="330"/>
      <c r="R91" s="331" t="str">
        <f>VLOOKUP($D$11,調査票①!$A$10:$GY$58,147,FALSE)</f>
        <v/>
      </c>
      <c r="S91" s="331"/>
      <c r="T91" s="331"/>
      <c r="U91" s="332" t="str">
        <f>VLOOKUP($D$11,調査票①!$A$10:$GY$58,148,FALSE)&amp;""</f>
        <v>　</v>
      </c>
      <c r="V91" s="333"/>
      <c r="W91" s="333"/>
      <c r="X91" s="333"/>
      <c r="Y91" s="333"/>
      <c r="Z91" s="333"/>
      <c r="AA91" s="333"/>
      <c r="AB91" s="333"/>
      <c r="AC91" s="333"/>
      <c r="AD91" s="333"/>
      <c r="AE91" s="333"/>
      <c r="AF91" s="333"/>
      <c r="AG91" s="333"/>
      <c r="AH91" s="333"/>
      <c r="AI91" s="334"/>
      <c r="AJ91" s="338" t="str">
        <f>VLOOKUP($D$11,調査票①!$A$10:$GY$58,149,FALSE)&amp;""</f>
        <v>0</v>
      </c>
      <c r="AK91" s="338"/>
      <c r="AL91" s="338"/>
      <c r="AM91" s="339" t="str">
        <f>VLOOKUP($D$11,調査票①!$A$10:$GY$58,150,FALSE)&amp;""</f>
        <v>　</v>
      </c>
      <c r="AN91" s="339"/>
      <c r="AO91" s="339"/>
      <c r="AP91" s="339"/>
      <c r="AQ91" s="339"/>
      <c r="AR91" s="339"/>
      <c r="AS91" s="339"/>
      <c r="AT91" s="339"/>
      <c r="AU91" s="339"/>
      <c r="AV91" s="339"/>
      <c r="AW91" s="339"/>
      <c r="AX91" s="339"/>
      <c r="AY91" s="339"/>
      <c r="AZ91" s="339"/>
      <c r="BA91" s="339"/>
      <c r="BB91" s="339"/>
      <c r="BC91" s="339"/>
      <c r="BD91" s="339"/>
      <c r="BE91" s="339"/>
      <c r="BF91" s="339"/>
      <c r="BG91" s="339"/>
      <c r="BH91" s="339"/>
      <c r="BI91" s="339"/>
      <c r="BJ91" s="339"/>
      <c r="BK91" s="339"/>
      <c r="BL91" s="339"/>
      <c r="BM91" s="339"/>
      <c r="BN91" s="339"/>
      <c r="BO91" s="339"/>
      <c r="BP91" s="339"/>
      <c r="BQ91" s="339"/>
      <c r="BR91" s="339"/>
      <c r="BS91" s="339"/>
      <c r="BT91" s="339"/>
      <c r="BU91" s="340">
        <f>調査票①!EQ57</f>
        <v>0</v>
      </c>
      <c r="BV91" s="340"/>
      <c r="BW91" s="340"/>
      <c r="BX91" s="340"/>
      <c r="BY91" s="8"/>
      <c r="BZ91" s="18"/>
      <c r="CA91" s="9"/>
      <c r="CC91" s="15"/>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18"/>
      <c r="EU91" s="7"/>
      <c r="EV91" s="7"/>
    </row>
    <row r="92" spans="3:153" ht="18" customHeight="1">
      <c r="C92" s="15"/>
      <c r="D92" s="329"/>
      <c r="E92" s="329"/>
      <c r="F92" s="329"/>
      <c r="G92" s="329"/>
      <c r="H92" s="329"/>
      <c r="I92" s="329"/>
      <c r="J92" s="329"/>
      <c r="K92" s="329"/>
      <c r="L92" s="330"/>
      <c r="M92" s="330"/>
      <c r="N92" s="330"/>
      <c r="O92" s="330"/>
      <c r="P92" s="330"/>
      <c r="Q92" s="330"/>
      <c r="R92" s="331"/>
      <c r="S92" s="331"/>
      <c r="T92" s="331"/>
      <c r="U92" s="335"/>
      <c r="V92" s="336"/>
      <c r="W92" s="336"/>
      <c r="X92" s="336"/>
      <c r="Y92" s="336"/>
      <c r="Z92" s="336"/>
      <c r="AA92" s="336"/>
      <c r="AB92" s="336"/>
      <c r="AC92" s="336"/>
      <c r="AD92" s="336"/>
      <c r="AE92" s="336"/>
      <c r="AF92" s="336"/>
      <c r="AG92" s="336"/>
      <c r="AH92" s="336"/>
      <c r="AI92" s="337"/>
      <c r="AJ92" s="338"/>
      <c r="AK92" s="338"/>
      <c r="AL92" s="338"/>
      <c r="AM92" s="339"/>
      <c r="AN92" s="339"/>
      <c r="AO92" s="339"/>
      <c r="AP92" s="339"/>
      <c r="AQ92" s="339"/>
      <c r="AR92" s="339"/>
      <c r="AS92" s="339"/>
      <c r="AT92" s="339"/>
      <c r="AU92" s="339"/>
      <c r="AV92" s="339"/>
      <c r="AW92" s="339"/>
      <c r="AX92" s="339"/>
      <c r="AY92" s="339"/>
      <c r="AZ92" s="339"/>
      <c r="BA92" s="339"/>
      <c r="BB92" s="339"/>
      <c r="BC92" s="339"/>
      <c r="BD92" s="339"/>
      <c r="BE92" s="339"/>
      <c r="BF92" s="339"/>
      <c r="BG92" s="339"/>
      <c r="BH92" s="339"/>
      <c r="BI92" s="339"/>
      <c r="BJ92" s="339"/>
      <c r="BK92" s="339"/>
      <c r="BL92" s="339"/>
      <c r="BM92" s="339"/>
      <c r="BN92" s="339"/>
      <c r="BO92" s="339"/>
      <c r="BP92" s="339"/>
      <c r="BQ92" s="339"/>
      <c r="BR92" s="339"/>
      <c r="BS92" s="339"/>
      <c r="BT92" s="339"/>
      <c r="BU92" s="340"/>
      <c r="BV92" s="340"/>
      <c r="BW92" s="340"/>
      <c r="BX92" s="340"/>
      <c r="BY92" s="8"/>
      <c r="BZ92" s="18"/>
      <c r="CA92" s="9"/>
      <c r="CC92" s="15"/>
      <c r="CD92" s="76" t="s">
        <v>545</v>
      </c>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18"/>
      <c r="EU92" s="7"/>
      <c r="EV92" s="7"/>
    </row>
    <row r="93" spans="3:153" ht="18" customHeight="1">
      <c r="C93" s="15"/>
      <c r="D93" s="329" t="s">
        <v>81</v>
      </c>
      <c r="E93" s="329"/>
      <c r="F93" s="329"/>
      <c r="G93" s="329"/>
      <c r="H93" s="329"/>
      <c r="I93" s="329"/>
      <c r="J93" s="329"/>
      <c r="K93" s="329"/>
      <c r="L93" s="330" t="str">
        <f>VLOOKUP($D$11,調査票①!$A$10:$GY$58,151,FALSE)&amp;""</f>
        <v>0</v>
      </c>
      <c r="M93" s="330"/>
      <c r="N93" s="330"/>
      <c r="O93" s="330" t="str">
        <f>VLOOKUP($D$11,調査票①!$A$10:$GY$58,152,FALSE)&amp;""</f>
        <v>0</v>
      </c>
      <c r="P93" s="330"/>
      <c r="Q93" s="330"/>
      <c r="R93" s="331" t="str">
        <f>VLOOKUP($D$11,調査票①!$A$10:$GY$58,153,FALSE)</f>
        <v/>
      </c>
      <c r="S93" s="331"/>
      <c r="T93" s="331"/>
      <c r="U93" s="332" t="str">
        <f>VLOOKUP($D$11,調査票①!$A$10:$GY$58,154,FALSE)&amp;""</f>
        <v>　</v>
      </c>
      <c r="V93" s="333"/>
      <c r="W93" s="333"/>
      <c r="X93" s="333"/>
      <c r="Y93" s="333"/>
      <c r="Z93" s="333"/>
      <c r="AA93" s="333"/>
      <c r="AB93" s="333"/>
      <c r="AC93" s="333"/>
      <c r="AD93" s="333"/>
      <c r="AE93" s="333"/>
      <c r="AF93" s="333"/>
      <c r="AG93" s="333"/>
      <c r="AH93" s="333"/>
      <c r="AI93" s="334"/>
      <c r="AJ93" s="338" t="str">
        <f>VLOOKUP($D$11,調査票①!$A$10:$GY$58,155,FALSE)&amp;""</f>
        <v>0</v>
      </c>
      <c r="AK93" s="338"/>
      <c r="AL93" s="338"/>
      <c r="AM93" s="339" t="str">
        <f>VLOOKUP($D$11,調査票①!$A$10:$GY$58,156,FALSE)&amp;""</f>
        <v>　</v>
      </c>
      <c r="AN93" s="339"/>
      <c r="AO93" s="339"/>
      <c r="AP93" s="339"/>
      <c r="AQ93" s="339"/>
      <c r="AR93" s="339"/>
      <c r="AS93" s="339"/>
      <c r="AT93" s="339"/>
      <c r="AU93" s="339"/>
      <c r="AV93" s="339"/>
      <c r="AW93" s="339"/>
      <c r="AX93" s="339"/>
      <c r="AY93" s="339"/>
      <c r="AZ93" s="339"/>
      <c r="BA93" s="339"/>
      <c r="BB93" s="339"/>
      <c r="BC93" s="339"/>
      <c r="BD93" s="339"/>
      <c r="BE93" s="339"/>
      <c r="BF93" s="339"/>
      <c r="BG93" s="339"/>
      <c r="BH93" s="339"/>
      <c r="BI93" s="339"/>
      <c r="BJ93" s="339"/>
      <c r="BK93" s="339"/>
      <c r="BL93" s="339"/>
      <c r="BM93" s="339"/>
      <c r="BN93" s="339"/>
      <c r="BO93" s="339"/>
      <c r="BP93" s="339"/>
      <c r="BQ93" s="339"/>
      <c r="BR93" s="339"/>
      <c r="BS93" s="339"/>
      <c r="BT93" s="339"/>
      <c r="BU93" s="340">
        <f>調査票①!EW57</f>
        <v>0.92307692307692313</v>
      </c>
      <c r="BV93" s="340"/>
      <c r="BW93" s="340"/>
      <c r="BX93" s="340"/>
      <c r="BY93" s="8"/>
      <c r="BZ93" s="18"/>
      <c r="CA93" s="9"/>
      <c r="CC93" s="15"/>
      <c r="CD93" s="290" t="s">
        <v>77</v>
      </c>
      <c r="CE93" s="290"/>
      <c r="CF93" s="290"/>
      <c r="CG93" s="290"/>
      <c r="CH93" s="290"/>
      <c r="CI93" s="290"/>
      <c r="CJ93" s="290"/>
      <c r="CK93" s="290"/>
      <c r="CL93" s="290"/>
      <c r="CM93" s="307" t="str">
        <f>VLOOKUP($D$11,調査票①!$A$10:$GY$58,205,FALSE)&amp;""</f>
        <v>○</v>
      </c>
      <c r="CN93" s="307"/>
      <c r="CO93" s="307"/>
      <c r="CP93" s="307"/>
      <c r="CQ93" s="307"/>
      <c r="CR93" s="307"/>
      <c r="CS93" s="307"/>
      <c r="CT93" s="307"/>
      <c r="CU93" s="307"/>
      <c r="CV93" s="307"/>
      <c r="CW93" s="307"/>
      <c r="CX93" s="307"/>
      <c r="CY93" s="307"/>
      <c r="CZ93" s="307"/>
      <c r="DA93" s="307"/>
      <c r="DB93" s="59"/>
      <c r="DC93" s="290" t="s">
        <v>499</v>
      </c>
      <c r="DD93" s="290"/>
      <c r="DE93" s="290"/>
      <c r="DF93" s="290"/>
      <c r="DG93" s="290"/>
      <c r="DH93" s="290"/>
      <c r="DI93" s="290"/>
      <c r="DJ93" s="290"/>
      <c r="DK93" s="290"/>
      <c r="DL93" s="290"/>
      <c r="DM93" s="290" t="str">
        <f>VLOOKUP($D$11,調査票①!$A$10:$GY$58,206,FALSE)&amp;""</f>
        <v/>
      </c>
      <c r="DN93" s="290"/>
      <c r="DO93" s="290"/>
      <c r="DP93" s="290"/>
      <c r="DQ93" s="290"/>
      <c r="DR93" s="290"/>
      <c r="DS93" s="290"/>
      <c r="DT93" s="290"/>
      <c r="DU93" s="290"/>
      <c r="DV93" s="290"/>
      <c r="DW93" s="59"/>
      <c r="DX93" s="59"/>
      <c r="DY93" s="59"/>
      <c r="DZ93" s="290" t="s">
        <v>500</v>
      </c>
      <c r="EA93" s="290"/>
      <c r="EB93" s="290"/>
      <c r="EC93" s="290"/>
      <c r="ED93" s="290"/>
      <c r="EE93" s="290"/>
      <c r="EF93" s="290"/>
      <c r="EG93" s="290"/>
      <c r="EH93" s="290"/>
      <c r="EI93" s="290"/>
      <c r="EJ93" s="290" t="str">
        <f>VLOOKUP($D$11,調査票①!$A$10:$GY$58,207,FALSE)&amp;""</f>
        <v/>
      </c>
      <c r="EK93" s="290"/>
      <c r="EL93" s="290"/>
      <c r="EM93" s="290"/>
      <c r="EN93" s="290"/>
      <c r="EO93" s="290"/>
      <c r="EP93" s="290"/>
      <c r="EQ93" s="290"/>
      <c r="ER93" s="8"/>
      <c r="ES93" s="8"/>
      <c r="ET93" s="18"/>
      <c r="EU93" s="7"/>
      <c r="EV93" s="7"/>
    </row>
    <row r="94" spans="3:153" ht="18" customHeight="1">
      <c r="C94" s="15"/>
      <c r="D94" s="329"/>
      <c r="E94" s="329"/>
      <c r="F94" s="329"/>
      <c r="G94" s="329"/>
      <c r="H94" s="329"/>
      <c r="I94" s="329"/>
      <c r="J94" s="329"/>
      <c r="K94" s="329"/>
      <c r="L94" s="330"/>
      <c r="M94" s="330"/>
      <c r="N94" s="330"/>
      <c r="O94" s="330"/>
      <c r="P94" s="330"/>
      <c r="Q94" s="330"/>
      <c r="R94" s="331"/>
      <c r="S94" s="331"/>
      <c r="T94" s="331"/>
      <c r="U94" s="335"/>
      <c r="V94" s="336"/>
      <c r="W94" s="336"/>
      <c r="X94" s="336"/>
      <c r="Y94" s="336"/>
      <c r="Z94" s="336"/>
      <c r="AA94" s="336"/>
      <c r="AB94" s="336"/>
      <c r="AC94" s="336"/>
      <c r="AD94" s="336"/>
      <c r="AE94" s="336"/>
      <c r="AF94" s="336"/>
      <c r="AG94" s="336"/>
      <c r="AH94" s="336"/>
      <c r="AI94" s="337"/>
      <c r="AJ94" s="338"/>
      <c r="AK94" s="338"/>
      <c r="AL94" s="338"/>
      <c r="AM94" s="339"/>
      <c r="AN94" s="339"/>
      <c r="AO94" s="339"/>
      <c r="AP94" s="339"/>
      <c r="AQ94" s="339"/>
      <c r="AR94" s="339"/>
      <c r="AS94" s="339"/>
      <c r="AT94" s="339"/>
      <c r="AU94" s="339"/>
      <c r="AV94" s="339"/>
      <c r="AW94" s="339"/>
      <c r="AX94" s="339"/>
      <c r="AY94" s="339"/>
      <c r="AZ94" s="339"/>
      <c r="BA94" s="339"/>
      <c r="BB94" s="339"/>
      <c r="BC94" s="339"/>
      <c r="BD94" s="339"/>
      <c r="BE94" s="339"/>
      <c r="BF94" s="339"/>
      <c r="BG94" s="339"/>
      <c r="BH94" s="339"/>
      <c r="BI94" s="339"/>
      <c r="BJ94" s="339"/>
      <c r="BK94" s="339"/>
      <c r="BL94" s="339"/>
      <c r="BM94" s="339"/>
      <c r="BN94" s="339"/>
      <c r="BO94" s="339"/>
      <c r="BP94" s="339"/>
      <c r="BQ94" s="339"/>
      <c r="BR94" s="339"/>
      <c r="BS94" s="339"/>
      <c r="BT94" s="339"/>
      <c r="BU94" s="340"/>
      <c r="BV94" s="340"/>
      <c r="BW94" s="340"/>
      <c r="BX94" s="340"/>
      <c r="BY94" s="8"/>
      <c r="BZ94" s="18"/>
      <c r="CA94" s="9"/>
      <c r="CC94" s="15"/>
      <c r="CD94" s="290"/>
      <c r="CE94" s="290"/>
      <c r="CF94" s="290"/>
      <c r="CG94" s="290"/>
      <c r="CH94" s="290"/>
      <c r="CI94" s="290"/>
      <c r="CJ94" s="290"/>
      <c r="CK94" s="290"/>
      <c r="CL94" s="290"/>
      <c r="CM94" s="307"/>
      <c r="CN94" s="307"/>
      <c r="CO94" s="307"/>
      <c r="CP94" s="307"/>
      <c r="CQ94" s="307"/>
      <c r="CR94" s="307"/>
      <c r="CS94" s="307"/>
      <c r="CT94" s="307"/>
      <c r="CU94" s="307"/>
      <c r="CV94" s="307"/>
      <c r="CW94" s="307"/>
      <c r="CX94" s="307"/>
      <c r="CY94" s="307"/>
      <c r="CZ94" s="307"/>
      <c r="DA94" s="307"/>
      <c r="DB94" s="59"/>
      <c r="DC94" s="290"/>
      <c r="DD94" s="290"/>
      <c r="DE94" s="290"/>
      <c r="DF94" s="290"/>
      <c r="DG94" s="290"/>
      <c r="DH94" s="290"/>
      <c r="DI94" s="290"/>
      <c r="DJ94" s="290"/>
      <c r="DK94" s="290"/>
      <c r="DL94" s="290"/>
      <c r="DM94" s="290"/>
      <c r="DN94" s="290"/>
      <c r="DO94" s="290"/>
      <c r="DP94" s="290"/>
      <c r="DQ94" s="290"/>
      <c r="DR94" s="290"/>
      <c r="DS94" s="290"/>
      <c r="DT94" s="290"/>
      <c r="DU94" s="290"/>
      <c r="DV94" s="290"/>
      <c r="DW94" s="59"/>
      <c r="DX94" s="59"/>
      <c r="DY94" s="59"/>
      <c r="DZ94" s="290"/>
      <c r="EA94" s="290"/>
      <c r="EB94" s="290"/>
      <c r="EC94" s="290"/>
      <c r="ED94" s="290"/>
      <c r="EE94" s="290"/>
      <c r="EF94" s="290"/>
      <c r="EG94" s="290"/>
      <c r="EH94" s="290"/>
      <c r="EI94" s="290"/>
      <c r="EJ94" s="290"/>
      <c r="EK94" s="290"/>
      <c r="EL94" s="290"/>
      <c r="EM94" s="290"/>
      <c r="EN94" s="290"/>
      <c r="EO94" s="290"/>
      <c r="EP94" s="290"/>
      <c r="EQ94" s="290"/>
      <c r="ER94" s="8"/>
      <c r="ES94" s="8"/>
      <c r="ET94" s="18"/>
      <c r="EU94" s="7"/>
      <c r="EV94" s="7"/>
    </row>
    <row r="95" spans="3:153" ht="18" customHeight="1">
      <c r="C95" s="15"/>
      <c r="D95" s="341" t="s">
        <v>498</v>
      </c>
      <c r="E95" s="342"/>
      <c r="F95" s="342"/>
      <c r="G95" s="342"/>
      <c r="H95" s="342"/>
      <c r="I95" s="342"/>
      <c r="J95" s="342"/>
      <c r="K95" s="342"/>
      <c r="L95" s="330" t="str">
        <f>VLOOKUP($D$11,調査票①!$A$10:$GY$58,157,FALSE)&amp;""</f>
        <v>6</v>
      </c>
      <c r="M95" s="330"/>
      <c r="N95" s="330"/>
      <c r="O95" s="330" t="str">
        <f>VLOOKUP($D$11,調査票①!$A$10:$GY$58,158,FALSE)&amp;""</f>
        <v>6</v>
      </c>
      <c r="P95" s="330"/>
      <c r="Q95" s="330"/>
      <c r="R95" s="331">
        <f>VLOOKUP($D$11,調査票①!$A$10:$GY$58,159,FALSE)</f>
        <v>1</v>
      </c>
      <c r="S95" s="331"/>
      <c r="T95" s="331"/>
      <c r="U95" s="332" t="str">
        <f>VLOOKUP($D$11,調査票①!$A$10:$GY$58,160,FALSE)&amp;""</f>
        <v>　</v>
      </c>
      <c r="V95" s="333"/>
      <c r="W95" s="333"/>
      <c r="X95" s="333"/>
      <c r="Y95" s="333"/>
      <c r="Z95" s="333"/>
      <c r="AA95" s="333"/>
      <c r="AB95" s="333"/>
      <c r="AC95" s="333"/>
      <c r="AD95" s="333"/>
      <c r="AE95" s="333"/>
      <c r="AF95" s="333"/>
      <c r="AG95" s="333"/>
      <c r="AH95" s="333"/>
      <c r="AI95" s="334"/>
      <c r="AJ95" s="338" t="str">
        <f>VLOOKUP($D$11,調査票①!$A$10:$GY$58,161,FALSE)&amp;""</f>
        <v>0</v>
      </c>
      <c r="AK95" s="338"/>
      <c r="AL95" s="338"/>
      <c r="AM95" s="339" t="str">
        <f>VLOOKUP($D$11,調査票①!$A$10:$GY$58,162,FALSE)&amp;""</f>
        <v>　</v>
      </c>
      <c r="AN95" s="339"/>
      <c r="AO95" s="339"/>
      <c r="AP95" s="339"/>
      <c r="AQ95" s="339"/>
      <c r="AR95" s="339"/>
      <c r="AS95" s="339"/>
      <c r="AT95" s="339"/>
      <c r="AU95" s="339"/>
      <c r="AV95" s="339"/>
      <c r="AW95" s="339"/>
      <c r="AX95" s="339"/>
      <c r="AY95" s="339"/>
      <c r="AZ95" s="339"/>
      <c r="BA95" s="339"/>
      <c r="BB95" s="339"/>
      <c r="BC95" s="339"/>
      <c r="BD95" s="339"/>
      <c r="BE95" s="339"/>
      <c r="BF95" s="339"/>
      <c r="BG95" s="339"/>
      <c r="BH95" s="339"/>
      <c r="BI95" s="339"/>
      <c r="BJ95" s="339"/>
      <c r="BK95" s="339"/>
      <c r="BL95" s="339"/>
      <c r="BM95" s="339"/>
      <c r="BN95" s="339"/>
      <c r="BO95" s="339"/>
      <c r="BP95" s="339"/>
      <c r="BQ95" s="339"/>
      <c r="BR95" s="339"/>
      <c r="BS95" s="339"/>
      <c r="BT95" s="339"/>
      <c r="BU95" s="340">
        <f>調査票①!FC57</f>
        <v>0.73232323232323238</v>
      </c>
      <c r="BV95" s="340"/>
      <c r="BW95" s="340"/>
      <c r="BX95" s="340"/>
      <c r="BY95" s="8"/>
      <c r="BZ95" s="18"/>
      <c r="CA95" s="9"/>
      <c r="CC95" s="15"/>
      <c r="CD95" s="290"/>
      <c r="CE95" s="290"/>
      <c r="CF95" s="290"/>
      <c r="CG95" s="290"/>
      <c r="CH95" s="290"/>
      <c r="CI95" s="290"/>
      <c r="CJ95" s="290"/>
      <c r="CK95" s="290"/>
      <c r="CL95" s="290"/>
      <c r="CM95" s="307"/>
      <c r="CN95" s="307"/>
      <c r="CO95" s="307"/>
      <c r="CP95" s="307"/>
      <c r="CQ95" s="307"/>
      <c r="CR95" s="307"/>
      <c r="CS95" s="307"/>
      <c r="CT95" s="307"/>
      <c r="CU95" s="307"/>
      <c r="CV95" s="307"/>
      <c r="CW95" s="307"/>
      <c r="CX95" s="307"/>
      <c r="CY95" s="307"/>
      <c r="CZ95" s="307"/>
      <c r="DA95" s="307"/>
      <c r="DB95" s="8"/>
      <c r="DC95" s="290"/>
      <c r="DD95" s="290"/>
      <c r="DE95" s="290"/>
      <c r="DF95" s="290"/>
      <c r="DG95" s="290"/>
      <c r="DH95" s="290"/>
      <c r="DI95" s="290"/>
      <c r="DJ95" s="290"/>
      <c r="DK95" s="290"/>
      <c r="DL95" s="290"/>
      <c r="DM95" s="290"/>
      <c r="DN95" s="290"/>
      <c r="DO95" s="290"/>
      <c r="DP95" s="290"/>
      <c r="DQ95" s="290"/>
      <c r="DR95" s="290"/>
      <c r="DS95" s="290"/>
      <c r="DT95" s="290"/>
      <c r="DU95" s="290"/>
      <c r="DV95" s="290"/>
      <c r="DW95" s="8"/>
      <c r="DX95" s="8"/>
      <c r="DY95" s="8"/>
      <c r="DZ95" s="290"/>
      <c r="EA95" s="290"/>
      <c r="EB95" s="290"/>
      <c r="EC95" s="290"/>
      <c r="ED95" s="290"/>
      <c r="EE95" s="290"/>
      <c r="EF95" s="290"/>
      <c r="EG95" s="290"/>
      <c r="EH95" s="290"/>
      <c r="EI95" s="290"/>
      <c r="EJ95" s="290"/>
      <c r="EK95" s="290"/>
      <c r="EL95" s="290"/>
      <c r="EM95" s="290"/>
      <c r="EN95" s="290"/>
      <c r="EO95" s="290"/>
      <c r="EP95" s="290"/>
      <c r="EQ95" s="290"/>
      <c r="ER95" s="8"/>
      <c r="ES95" s="8"/>
      <c r="ET95" s="18"/>
      <c r="EU95" s="9"/>
      <c r="EV95" s="7"/>
      <c r="EW95" s="7"/>
    </row>
    <row r="96" spans="3:153" ht="18" customHeight="1">
      <c r="C96" s="15"/>
      <c r="D96" s="342"/>
      <c r="E96" s="342"/>
      <c r="F96" s="342"/>
      <c r="G96" s="342"/>
      <c r="H96" s="342"/>
      <c r="I96" s="342"/>
      <c r="J96" s="342"/>
      <c r="K96" s="342"/>
      <c r="L96" s="330"/>
      <c r="M96" s="330"/>
      <c r="N96" s="330"/>
      <c r="O96" s="330"/>
      <c r="P96" s="330"/>
      <c r="Q96" s="330"/>
      <c r="R96" s="331"/>
      <c r="S96" s="331"/>
      <c r="T96" s="331"/>
      <c r="U96" s="335"/>
      <c r="V96" s="336"/>
      <c r="W96" s="336"/>
      <c r="X96" s="336"/>
      <c r="Y96" s="336"/>
      <c r="Z96" s="336"/>
      <c r="AA96" s="336"/>
      <c r="AB96" s="336"/>
      <c r="AC96" s="336"/>
      <c r="AD96" s="336"/>
      <c r="AE96" s="336"/>
      <c r="AF96" s="336"/>
      <c r="AG96" s="336"/>
      <c r="AH96" s="336"/>
      <c r="AI96" s="337"/>
      <c r="AJ96" s="338"/>
      <c r="AK96" s="338"/>
      <c r="AL96" s="338"/>
      <c r="AM96" s="339"/>
      <c r="AN96" s="339"/>
      <c r="AO96" s="339"/>
      <c r="AP96" s="339"/>
      <c r="AQ96" s="339"/>
      <c r="AR96" s="339"/>
      <c r="AS96" s="339"/>
      <c r="AT96" s="339"/>
      <c r="AU96" s="339"/>
      <c r="AV96" s="339"/>
      <c r="AW96" s="339"/>
      <c r="AX96" s="339"/>
      <c r="AY96" s="339"/>
      <c r="AZ96" s="339"/>
      <c r="BA96" s="339"/>
      <c r="BB96" s="339"/>
      <c r="BC96" s="339"/>
      <c r="BD96" s="339"/>
      <c r="BE96" s="339"/>
      <c r="BF96" s="339"/>
      <c r="BG96" s="339"/>
      <c r="BH96" s="339"/>
      <c r="BI96" s="339"/>
      <c r="BJ96" s="339"/>
      <c r="BK96" s="339"/>
      <c r="BL96" s="339"/>
      <c r="BM96" s="339"/>
      <c r="BN96" s="339"/>
      <c r="BO96" s="339"/>
      <c r="BP96" s="339"/>
      <c r="BQ96" s="339"/>
      <c r="BR96" s="339"/>
      <c r="BS96" s="339"/>
      <c r="BT96" s="339"/>
      <c r="BU96" s="340"/>
      <c r="BV96" s="340"/>
      <c r="BW96" s="340"/>
      <c r="BX96" s="340"/>
      <c r="BY96" s="8"/>
      <c r="BZ96" s="18"/>
      <c r="CA96" s="9"/>
      <c r="CC96" s="15"/>
      <c r="CD96" s="290"/>
      <c r="CE96" s="290"/>
      <c r="CF96" s="290"/>
      <c r="CG96" s="290"/>
      <c r="CH96" s="290"/>
      <c r="CI96" s="290"/>
      <c r="CJ96" s="290"/>
      <c r="CK96" s="290"/>
      <c r="CL96" s="290"/>
      <c r="CM96" s="307"/>
      <c r="CN96" s="307"/>
      <c r="CO96" s="307"/>
      <c r="CP96" s="307"/>
      <c r="CQ96" s="307"/>
      <c r="CR96" s="307"/>
      <c r="CS96" s="307"/>
      <c r="CT96" s="307"/>
      <c r="CU96" s="307"/>
      <c r="CV96" s="307"/>
      <c r="CW96" s="307"/>
      <c r="CX96" s="307"/>
      <c r="CY96" s="307"/>
      <c r="CZ96" s="307"/>
      <c r="DA96" s="307"/>
      <c r="DB96" s="8"/>
      <c r="DC96" s="290"/>
      <c r="DD96" s="290"/>
      <c r="DE96" s="290"/>
      <c r="DF96" s="290"/>
      <c r="DG96" s="290"/>
      <c r="DH96" s="290"/>
      <c r="DI96" s="290"/>
      <c r="DJ96" s="290"/>
      <c r="DK96" s="290"/>
      <c r="DL96" s="290"/>
      <c r="DM96" s="290"/>
      <c r="DN96" s="290"/>
      <c r="DO96" s="290"/>
      <c r="DP96" s="290"/>
      <c r="DQ96" s="290"/>
      <c r="DR96" s="290"/>
      <c r="DS96" s="290"/>
      <c r="DT96" s="290"/>
      <c r="DU96" s="290"/>
      <c r="DV96" s="290"/>
      <c r="DW96" s="8"/>
      <c r="DX96" s="8"/>
      <c r="DY96" s="8"/>
      <c r="DZ96" s="290"/>
      <c r="EA96" s="290"/>
      <c r="EB96" s="290"/>
      <c r="EC96" s="290"/>
      <c r="ED96" s="290"/>
      <c r="EE96" s="290"/>
      <c r="EF96" s="290"/>
      <c r="EG96" s="290"/>
      <c r="EH96" s="290"/>
      <c r="EI96" s="290"/>
      <c r="EJ96" s="290"/>
      <c r="EK96" s="290"/>
      <c r="EL96" s="290"/>
      <c r="EM96" s="290"/>
      <c r="EN96" s="290"/>
      <c r="EO96" s="290"/>
      <c r="EP96" s="290"/>
      <c r="EQ96" s="290"/>
      <c r="ER96" s="8"/>
      <c r="ES96" s="8"/>
      <c r="ET96" s="18"/>
      <c r="EU96" s="9"/>
      <c r="EV96" s="9"/>
      <c r="EW96" s="7"/>
    </row>
    <row r="97" spans="2:153" ht="18" customHeight="1">
      <c r="C97" s="15"/>
      <c r="D97" s="329" t="s">
        <v>80</v>
      </c>
      <c r="E97" s="329"/>
      <c r="F97" s="329"/>
      <c r="G97" s="329"/>
      <c r="H97" s="329"/>
      <c r="I97" s="329"/>
      <c r="J97" s="329"/>
      <c r="K97" s="329"/>
      <c r="L97" s="330" t="str">
        <f>VLOOKUP($D$11,調査票①!$A$10:$GY$58,163,FALSE)&amp;""</f>
        <v>0</v>
      </c>
      <c r="M97" s="330"/>
      <c r="N97" s="330"/>
      <c r="O97" s="330" t="str">
        <f>VLOOKUP($D$11,調査票①!$A$10:$GY$58,164,FALSE)&amp;""</f>
        <v>0</v>
      </c>
      <c r="P97" s="330"/>
      <c r="Q97" s="330"/>
      <c r="R97" s="331" t="str">
        <f>VLOOKUP($D$11,調査票①!$A$10:$GY$58,165,FALSE)</f>
        <v/>
      </c>
      <c r="S97" s="331"/>
      <c r="T97" s="331"/>
      <c r="U97" s="332" t="str">
        <f>VLOOKUP($D$11,調査票①!$A$10:$GY$58,166,FALSE)&amp;""</f>
        <v>　</v>
      </c>
      <c r="V97" s="333"/>
      <c r="W97" s="333"/>
      <c r="X97" s="333"/>
      <c r="Y97" s="333"/>
      <c r="Z97" s="333"/>
      <c r="AA97" s="333"/>
      <c r="AB97" s="333"/>
      <c r="AC97" s="333"/>
      <c r="AD97" s="333"/>
      <c r="AE97" s="333"/>
      <c r="AF97" s="333"/>
      <c r="AG97" s="333"/>
      <c r="AH97" s="333"/>
      <c r="AI97" s="334"/>
      <c r="AJ97" s="338" t="str">
        <f>VLOOKUP($D$11,調査票①!$A$10:$GY$58,167,FALSE)&amp;""</f>
        <v>0</v>
      </c>
      <c r="AK97" s="338"/>
      <c r="AL97" s="338"/>
      <c r="AM97" s="339" t="str">
        <f>VLOOKUP($D$11,調査票①!$A$10:$GY$58,168,FALSE)&amp;""</f>
        <v>　</v>
      </c>
      <c r="AN97" s="339"/>
      <c r="AO97" s="339"/>
      <c r="AP97" s="339"/>
      <c r="AQ97" s="339"/>
      <c r="AR97" s="339"/>
      <c r="AS97" s="339"/>
      <c r="AT97" s="339"/>
      <c r="AU97" s="339"/>
      <c r="AV97" s="339"/>
      <c r="AW97" s="339"/>
      <c r="AX97" s="339"/>
      <c r="AY97" s="339"/>
      <c r="AZ97" s="339"/>
      <c r="BA97" s="339"/>
      <c r="BB97" s="339"/>
      <c r="BC97" s="339"/>
      <c r="BD97" s="339"/>
      <c r="BE97" s="339"/>
      <c r="BF97" s="339"/>
      <c r="BG97" s="339"/>
      <c r="BH97" s="339"/>
      <c r="BI97" s="339"/>
      <c r="BJ97" s="339"/>
      <c r="BK97" s="339"/>
      <c r="BL97" s="339"/>
      <c r="BM97" s="339"/>
      <c r="BN97" s="339"/>
      <c r="BO97" s="339"/>
      <c r="BP97" s="339"/>
      <c r="BQ97" s="339"/>
      <c r="BR97" s="339"/>
      <c r="BS97" s="339"/>
      <c r="BT97" s="339"/>
      <c r="BU97" s="340">
        <f>調査票①!FI57</f>
        <v>1</v>
      </c>
      <c r="BV97" s="340"/>
      <c r="BW97" s="340"/>
      <c r="BX97" s="340"/>
      <c r="BY97" s="8"/>
      <c r="BZ97" s="18"/>
      <c r="CA97" s="9"/>
      <c r="CC97" s="15"/>
      <c r="CD97" s="83"/>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18"/>
      <c r="EU97" s="9"/>
      <c r="EV97" s="9"/>
      <c r="EW97" s="7"/>
    </row>
    <row r="98" spans="2:153" ht="18" customHeight="1">
      <c r="C98" s="15"/>
      <c r="D98" s="329"/>
      <c r="E98" s="329"/>
      <c r="F98" s="329"/>
      <c r="G98" s="329"/>
      <c r="H98" s="329"/>
      <c r="I98" s="329"/>
      <c r="J98" s="329"/>
      <c r="K98" s="329"/>
      <c r="L98" s="330"/>
      <c r="M98" s="330"/>
      <c r="N98" s="330"/>
      <c r="O98" s="330"/>
      <c r="P98" s="330"/>
      <c r="Q98" s="330"/>
      <c r="R98" s="331"/>
      <c r="S98" s="331"/>
      <c r="T98" s="331"/>
      <c r="U98" s="335"/>
      <c r="V98" s="336"/>
      <c r="W98" s="336"/>
      <c r="X98" s="336"/>
      <c r="Y98" s="336"/>
      <c r="Z98" s="336"/>
      <c r="AA98" s="336"/>
      <c r="AB98" s="336"/>
      <c r="AC98" s="336"/>
      <c r="AD98" s="336"/>
      <c r="AE98" s="336"/>
      <c r="AF98" s="336"/>
      <c r="AG98" s="336"/>
      <c r="AH98" s="336"/>
      <c r="AI98" s="337"/>
      <c r="AJ98" s="338"/>
      <c r="AK98" s="338"/>
      <c r="AL98" s="338"/>
      <c r="AM98" s="339"/>
      <c r="AN98" s="339"/>
      <c r="AO98" s="339"/>
      <c r="AP98" s="339"/>
      <c r="AQ98" s="339"/>
      <c r="AR98" s="339"/>
      <c r="AS98" s="339"/>
      <c r="AT98" s="339"/>
      <c r="AU98" s="339"/>
      <c r="AV98" s="339"/>
      <c r="AW98" s="339"/>
      <c r="AX98" s="339"/>
      <c r="AY98" s="339"/>
      <c r="AZ98" s="339"/>
      <c r="BA98" s="339"/>
      <c r="BB98" s="339"/>
      <c r="BC98" s="339"/>
      <c r="BD98" s="339"/>
      <c r="BE98" s="339"/>
      <c r="BF98" s="339"/>
      <c r="BG98" s="339"/>
      <c r="BH98" s="339"/>
      <c r="BI98" s="339"/>
      <c r="BJ98" s="339"/>
      <c r="BK98" s="339"/>
      <c r="BL98" s="339"/>
      <c r="BM98" s="339"/>
      <c r="BN98" s="339"/>
      <c r="BO98" s="339"/>
      <c r="BP98" s="339"/>
      <c r="BQ98" s="339"/>
      <c r="BR98" s="339"/>
      <c r="BS98" s="339"/>
      <c r="BT98" s="339"/>
      <c r="BU98" s="340"/>
      <c r="BV98" s="340"/>
      <c r="BW98" s="340"/>
      <c r="BX98" s="340"/>
      <c r="BY98" s="8"/>
      <c r="BZ98" s="18"/>
      <c r="CA98" s="9"/>
      <c r="CC98" s="15"/>
      <c r="CD98" s="59"/>
      <c r="CE98" s="59"/>
      <c r="CF98" s="59"/>
      <c r="CG98" s="59"/>
      <c r="CH98" s="59"/>
      <c r="CI98" s="59"/>
      <c r="CJ98" s="59"/>
      <c r="CK98" s="59"/>
      <c r="CL98" s="59"/>
      <c r="CM98" s="59"/>
      <c r="CN98" s="59"/>
      <c r="CO98" s="59"/>
      <c r="CP98" s="59"/>
      <c r="CQ98" s="59"/>
      <c r="CR98" s="59"/>
      <c r="CS98" s="66"/>
      <c r="CT98" s="66"/>
      <c r="CU98" s="66"/>
      <c r="CV98" s="66"/>
      <c r="CW98" s="66"/>
      <c r="CX98" s="66"/>
      <c r="CY98" s="66"/>
      <c r="CZ98" s="66"/>
      <c r="DA98" s="66"/>
      <c r="DB98" s="59"/>
      <c r="DC98" s="88"/>
      <c r="DD98" s="66"/>
      <c r="DE98" s="66"/>
      <c r="DF98" s="66"/>
      <c r="DG98" s="66"/>
      <c r="DH98" s="66"/>
      <c r="DI98" s="66"/>
      <c r="DJ98" s="66"/>
      <c r="DK98" s="66"/>
      <c r="DL98" s="66"/>
      <c r="DM98" s="88"/>
      <c r="DN98" s="66"/>
      <c r="DO98" s="66"/>
      <c r="DP98" s="66"/>
      <c r="DQ98" s="66"/>
      <c r="DR98" s="66"/>
      <c r="DS98" s="66"/>
      <c r="DT98" s="66"/>
      <c r="DU98" s="66"/>
      <c r="DV98" s="66"/>
      <c r="DW98" s="59"/>
      <c r="DX98" s="59"/>
      <c r="DY98" s="59"/>
      <c r="DZ98" s="88"/>
      <c r="EA98" s="66"/>
      <c r="EB98" s="66"/>
      <c r="EC98" s="66"/>
      <c r="ED98" s="66"/>
      <c r="EE98" s="66"/>
      <c r="EF98" s="66"/>
      <c r="EG98" s="66"/>
      <c r="EH98" s="66"/>
      <c r="EI98" s="66"/>
      <c r="EJ98" s="88"/>
      <c r="EK98" s="66"/>
      <c r="EL98" s="66"/>
      <c r="EM98" s="66"/>
      <c r="EN98" s="66"/>
      <c r="EO98" s="66"/>
      <c r="EP98" s="66"/>
      <c r="EQ98" s="66"/>
      <c r="ER98" s="8"/>
      <c r="ES98" s="8"/>
      <c r="ET98" s="18"/>
      <c r="EU98" s="9"/>
      <c r="EV98" s="9"/>
      <c r="EW98" s="7"/>
    </row>
    <row r="99" spans="2:153" ht="18" customHeight="1">
      <c r="C99" s="15"/>
      <c r="D99" s="329" t="s">
        <v>79</v>
      </c>
      <c r="E99" s="329"/>
      <c r="F99" s="329"/>
      <c r="G99" s="329"/>
      <c r="H99" s="329"/>
      <c r="I99" s="329"/>
      <c r="J99" s="329"/>
      <c r="K99" s="329"/>
      <c r="L99" s="330" t="str">
        <f>VLOOKUP($D$11,調査票①!$A$10:$GY$58,169,FALSE)&amp;""</f>
        <v>0</v>
      </c>
      <c r="M99" s="330"/>
      <c r="N99" s="330"/>
      <c r="O99" s="330" t="str">
        <f>VLOOKUP($D$11,調査票①!$A$10:$GY$58,170,FALSE)&amp;""</f>
        <v>0</v>
      </c>
      <c r="P99" s="330"/>
      <c r="Q99" s="330"/>
      <c r="R99" s="331" t="str">
        <f>VLOOKUP($D$11,調査票①!$A$10:$GY$58,171,FALSE)</f>
        <v/>
      </c>
      <c r="S99" s="331"/>
      <c r="T99" s="331"/>
      <c r="U99" s="332" t="str">
        <f>VLOOKUP($D$11,調査票①!$A$10:$GY$58,172,FALSE)&amp;""</f>
        <v>　</v>
      </c>
      <c r="V99" s="333"/>
      <c r="W99" s="333"/>
      <c r="X99" s="333"/>
      <c r="Y99" s="333"/>
      <c r="Z99" s="333"/>
      <c r="AA99" s="333"/>
      <c r="AB99" s="333"/>
      <c r="AC99" s="333"/>
      <c r="AD99" s="333"/>
      <c r="AE99" s="333"/>
      <c r="AF99" s="333"/>
      <c r="AG99" s="333"/>
      <c r="AH99" s="333"/>
      <c r="AI99" s="334"/>
      <c r="AJ99" s="338" t="str">
        <f>VLOOKUP($D$11,調査票①!$A$10:$GY$58,173,FALSE)&amp;""</f>
        <v>0</v>
      </c>
      <c r="AK99" s="338"/>
      <c r="AL99" s="338"/>
      <c r="AM99" s="339" t="str">
        <f>VLOOKUP($D$11,調査票①!$A$10:$GY$58,174,FALSE)&amp;""</f>
        <v>　</v>
      </c>
      <c r="AN99" s="339"/>
      <c r="AO99" s="339"/>
      <c r="AP99" s="339"/>
      <c r="AQ99" s="339"/>
      <c r="AR99" s="339"/>
      <c r="AS99" s="339"/>
      <c r="AT99" s="339"/>
      <c r="AU99" s="339"/>
      <c r="AV99" s="339"/>
      <c r="AW99" s="339"/>
      <c r="AX99" s="339"/>
      <c r="AY99" s="339"/>
      <c r="AZ99" s="339"/>
      <c r="BA99" s="339"/>
      <c r="BB99" s="339"/>
      <c r="BC99" s="339"/>
      <c r="BD99" s="339"/>
      <c r="BE99" s="339"/>
      <c r="BF99" s="339"/>
      <c r="BG99" s="339"/>
      <c r="BH99" s="339"/>
      <c r="BI99" s="339"/>
      <c r="BJ99" s="339"/>
      <c r="BK99" s="339"/>
      <c r="BL99" s="339"/>
      <c r="BM99" s="339"/>
      <c r="BN99" s="339"/>
      <c r="BO99" s="339"/>
      <c r="BP99" s="339"/>
      <c r="BQ99" s="339"/>
      <c r="BR99" s="339"/>
      <c r="BS99" s="339"/>
      <c r="BT99" s="339"/>
      <c r="BU99" s="340">
        <f>調査票①!FO57</f>
        <v>1</v>
      </c>
      <c r="BV99" s="340"/>
      <c r="BW99" s="340"/>
      <c r="BX99" s="340"/>
      <c r="BY99" s="8"/>
      <c r="BZ99" s="18"/>
      <c r="CA99" s="9"/>
      <c r="CC99" s="15"/>
      <c r="CD99" s="59" t="s">
        <v>75</v>
      </c>
      <c r="CE99" s="59"/>
      <c r="CF99" s="59"/>
      <c r="CG99" s="59"/>
      <c r="CH99" s="59"/>
      <c r="CI99" s="59"/>
      <c r="CJ99" s="59"/>
      <c r="CK99" s="59"/>
      <c r="CL99" s="59"/>
      <c r="CM99" s="59"/>
      <c r="CN99" s="59"/>
      <c r="CO99" s="59"/>
      <c r="CP99" s="59"/>
      <c r="CQ99" s="59"/>
      <c r="CR99" s="59"/>
      <c r="CS99" s="66"/>
      <c r="CT99" s="66"/>
      <c r="CU99" s="66"/>
      <c r="CV99" s="66"/>
      <c r="CW99" s="66"/>
      <c r="CX99" s="66"/>
      <c r="CY99" s="66"/>
      <c r="CZ99" s="66"/>
      <c r="DA99" s="66"/>
      <c r="DB99" s="59"/>
      <c r="DC99" s="66"/>
      <c r="DD99" s="66"/>
      <c r="DE99" s="66"/>
      <c r="DF99" s="66"/>
      <c r="DG99" s="66"/>
      <c r="DH99" s="66"/>
      <c r="DI99" s="66"/>
      <c r="DJ99" s="66"/>
      <c r="DK99" s="66"/>
      <c r="DL99" s="66"/>
      <c r="DM99" s="66"/>
      <c r="DN99" s="66"/>
      <c r="DO99" s="66"/>
      <c r="DP99" s="66"/>
      <c r="DQ99" s="66"/>
      <c r="DR99" s="66"/>
      <c r="DS99" s="66"/>
      <c r="DT99" s="66"/>
      <c r="DU99" s="66"/>
      <c r="DV99" s="66"/>
      <c r="DW99" s="59"/>
      <c r="DX99" s="59"/>
      <c r="DY99" s="59"/>
      <c r="DZ99" s="66"/>
      <c r="EA99" s="66"/>
      <c r="EB99" s="66"/>
      <c r="EC99" s="66"/>
      <c r="ED99" s="66"/>
      <c r="EE99" s="66"/>
      <c r="EF99" s="66"/>
      <c r="EG99" s="66"/>
      <c r="EH99" s="66"/>
      <c r="EI99" s="66"/>
      <c r="EJ99" s="66"/>
      <c r="EK99" s="66"/>
      <c r="EL99" s="66"/>
      <c r="EM99" s="66"/>
      <c r="EN99" s="66"/>
      <c r="EO99" s="66"/>
      <c r="EP99" s="66"/>
      <c r="EQ99" s="66"/>
      <c r="ER99" s="8"/>
      <c r="ES99" s="8"/>
      <c r="ET99" s="18"/>
      <c r="EU99" s="9"/>
      <c r="EV99" s="9"/>
      <c r="EW99" s="7"/>
    </row>
    <row r="100" spans="2:153" ht="18" customHeight="1">
      <c r="C100" s="15"/>
      <c r="D100" s="329"/>
      <c r="E100" s="329"/>
      <c r="F100" s="329"/>
      <c r="G100" s="329"/>
      <c r="H100" s="329"/>
      <c r="I100" s="329"/>
      <c r="J100" s="329"/>
      <c r="K100" s="329"/>
      <c r="L100" s="330"/>
      <c r="M100" s="330"/>
      <c r="N100" s="330"/>
      <c r="O100" s="330"/>
      <c r="P100" s="330"/>
      <c r="Q100" s="330"/>
      <c r="R100" s="331"/>
      <c r="S100" s="331"/>
      <c r="T100" s="331"/>
      <c r="U100" s="335"/>
      <c r="V100" s="336"/>
      <c r="W100" s="336"/>
      <c r="X100" s="336"/>
      <c r="Y100" s="336"/>
      <c r="Z100" s="336"/>
      <c r="AA100" s="336"/>
      <c r="AB100" s="336"/>
      <c r="AC100" s="336"/>
      <c r="AD100" s="336"/>
      <c r="AE100" s="336"/>
      <c r="AF100" s="336"/>
      <c r="AG100" s="336"/>
      <c r="AH100" s="336"/>
      <c r="AI100" s="337"/>
      <c r="AJ100" s="338"/>
      <c r="AK100" s="338"/>
      <c r="AL100" s="338"/>
      <c r="AM100" s="339"/>
      <c r="AN100" s="339"/>
      <c r="AO100" s="339"/>
      <c r="AP100" s="339"/>
      <c r="AQ100" s="339"/>
      <c r="AR100" s="339"/>
      <c r="AS100" s="339"/>
      <c r="AT100" s="339"/>
      <c r="AU100" s="339"/>
      <c r="AV100" s="339"/>
      <c r="AW100" s="339"/>
      <c r="AX100" s="339"/>
      <c r="AY100" s="339"/>
      <c r="AZ100" s="339"/>
      <c r="BA100" s="339"/>
      <c r="BB100" s="339"/>
      <c r="BC100" s="339"/>
      <c r="BD100" s="339"/>
      <c r="BE100" s="339"/>
      <c r="BF100" s="339"/>
      <c r="BG100" s="339"/>
      <c r="BH100" s="339"/>
      <c r="BI100" s="339"/>
      <c r="BJ100" s="339"/>
      <c r="BK100" s="339"/>
      <c r="BL100" s="339"/>
      <c r="BM100" s="339"/>
      <c r="BN100" s="339"/>
      <c r="BO100" s="339"/>
      <c r="BP100" s="339"/>
      <c r="BQ100" s="339"/>
      <c r="BR100" s="339"/>
      <c r="BS100" s="339"/>
      <c r="BT100" s="339"/>
      <c r="BU100" s="340"/>
      <c r="BV100" s="340"/>
      <c r="BW100" s="340"/>
      <c r="BX100" s="340"/>
      <c r="BY100" s="8"/>
      <c r="BZ100" s="18"/>
      <c r="CA100" s="9"/>
      <c r="CC100" s="15"/>
      <c r="CD100" s="297" t="s">
        <v>74</v>
      </c>
      <c r="CE100" s="298"/>
      <c r="CF100" s="298"/>
      <c r="CG100" s="298"/>
      <c r="CH100" s="298"/>
      <c r="CI100" s="298"/>
      <c r="CJ100" s="298"/>
      <c r="CK100" s="298"/>
      <c r="CL100" s="298"/>
      <c r="CM100" s="298"/>
      <c r="CN100" s="298"/>
      <c r="CO100" s="298"/>
      <c r="CP100" s="298"/>
      <c r="CQ100" s="298"/>
      <c r="CR100" s="299"/>
      <c r="CS100" s="59"/>
      <c r="CT100" s="59"/>
      <c r="CU100" s="59"/>
      <c r="CV100" s="59"/>
      <c r="CW100" s="59"/>
      <c r="CX100" s="59"/>
      <c r="CY100" s="59"/>
      <c r="CZ100" s="59"/>
      <c r="DA100" s="59"/>
      <c r="DB100" s="59"/>
      <c r="DC100" s="59"/>
      <c r="DD100" s="59"/>
      <c r="DE100" s="59"/>
      <c r="DF100" s="59"/>
      <c r="DG100" s="59"/>
      <c r="DH100" s="59"/>
      <c r="DI100" s="59"/>
      <c r="DJ100" s="59"/>
      <c r="DK100" s="59"/>
      <c r="DL100" s="59"/>
      <c r="DM100" s="59"/>
      <c r="DN100" s="59"/>
      <c r="DO100" s="59"/>
      <c r="DP100" s="59"/>
      <c r="DQ100" s="59"/>
      <c r="DR100" s="59"/>
      <c r="DS100" s="59"/>
      <c r="DT100" s="59"/>
      <c r="DU100" s="59"/>
      <c r="DV100" s="59"/>
      <c r="DW100" s="59"/>
      <c r="DX100" s="59"/>
      <c r="DY100" s="59"/>
      <c r="DZ100" s="59"/>
      <c r="EA100" s="59"/>
      <c r="EB100" s="59"/>
      <c r="EC100" s="59"/>
      <c r="ED100" s="59"/>
      <c r="EE100" s="59"/>
      <c r="EF100" s="59"/>
      <c r="EG100" s="59"/>
      <c r="EH100" s="59"/>
      <c r="EI100" s="59"/>
      <c r="EJ100" s="59"/>
      <c r="EK100" s="59"/>
      <c r="EL100" s="59"/>
      <c r="EM100" s="59"/>
      <c r="EN100" s="59"/>
      <c r="EO100" s="59"/>
      <c r="EP100" s="59"/>
      <c r="EQ100" s="59"/>
      <c r="ER100" s="8"/>
      <c r="ES100" s="8"/>
      <c r="ET100" s="18"/>
      <c r="EU100" s="23"/>
      <c r="EV100" s="9"/>
      <c r="EW100" s="7"/>
    </row>
    <row r="101" spans="2:153" ht="18" customHeight="1">
      <c r="C101" s="15"/>
      <c r="D101" s="329" t="s">
        <v>78</v>
      </c>
      <c r="E101" s="329"/>
      <c r="F101" s="329"/>
      <c r="G101" s="329"/>
      <c r="H101" s="329"/>
      <c r="I101" s="329"/>
      <c r="J101" s="329"/>
      <c r="K101" s="329"/>
      <c r="L101" s="330" t="str">
        <f>VLOOKUP($D$11,調査票①!$A$10:$GY$58,175,FALSE)&amp;""</f>
        <v>0</v>
      </c>
      <c r="M101" s="330"/>
      <c r="N101" s="330"/>
      <c r="O101" s="330" t="str">
        <f>VLOOKUP($D$11,調査票①!$A$10:$GY$58,176,FALSE)&amp;""</f>
        <v>0</v>
      </c>
      <c r="P101" s="330"/>
      <c r="Q101" s="330"/>
      <c r="R101" s="331" t="str">
        <f>VLOOKUP($D$11,調査票①!$A$10:$GY$58,177,FALSE)</f>
        <v/>
      </c>
      <c r="S101" s="331"/>
      <c r="T101" s="331"/>
      <c r="U101" s="332" t="str">
        <f>VLOOKUP($D$11,調査票①!$A$10:$GY$58,178,FALSE)&amp;""</f>
        <v>　</v>
      </c>
      <c r="V101" s="333"/>
      <c r="W101" s="333"/>
      <c r="X101" s="333"/>
      <c r="Y101" s="333"/>
      <c r="Z101" s="333"/>
      <c r="AA101" s="333"/>
      <c r="AB101" s="333"/>
      <c r="AC101" s="333"/>
      <c r="AD101" s="333"/>
      <c r="AE101" s="333"/>
      <c r="AF101" s="333"/>
      <c r="AG101" s="333"/>
      <c r="AH101" s="333"/>
      <c r="AI101" s="334"/>
      <c r="AJ101" s="338" t="str">
        <f>VLOOKUP($D$11,調査票①!$A$10:$GY$58,179,FALSE)&amp;""</f>
        <v>0</v>
      </c>
      <c r="AK101" s="338"/>
      <c r="AL101" s="338"/>
      <c r="AM101" s="339" t="str">
        <f>VLOOKUP($D$11,調査票①!$A$10:$GY$58,180,FALSE)&amp;""</f>
        <v>　</v>
      </c>
      <c r="AN101" s="339"/>
      <c r="AO101" s="339"/>
      <c r="AP101" s="339"/>
      <c r="AQ101" s="339"/>
      <c r="AR101" s="339"/>
      <c r="AS101" s="339"/>
      <c r="AT101" s="339"/>
      <c r="AU101" s="339"/>
      <c r="AV101" s="339"/>
      <c r="AW101" s="339"/>
      <c r="AX101" s="339"/>
      <c r="AY101" s="339"/>
      <c r="AZ101" s="339"/>
      <c r="BA101" s="339"/>
      <c r="BB101" s="339"/>
      <c r="BC101" s="339"/>
      <c r="BD101" s="339"/>
      <c r="BE101" s="339"/>
      <c r="BF101" s="339"/>
      <c r="BG101" s="339"/>
      <c r="BH101" s="339"/>
      <c r="BI101" s="339"/>
      <c r="BJ101" s="339"/>
      <c r="BK101" s="339"/>
      <c r="BL101" s="339"/>
      <c r="BM101" s="339"/>
      <c r="BN101" s="339"/>
      <c r="BO101" s="339"/>
      <c r="BP101" s="339"/>
      <c r="BQ101" s="339"/>
      <c r="BR101" s="339"/>
      <c r="BS101" s="339"/>
      <c r="BT101" s="339"/>
      <c r="BU101" s="340">
        <f>調査票①!FU57</f>
        <v>0.72058823529411764</v>
      </c>
      <c r="BV101" s="340"/>
      <c r="BW101" s="340"/>
      <c r="BX101" s="340"/>
      <c r="BY101" s="8"/>
      <c r="BZ101" s="18"/>
      <c r="CA101" s="9"/>
      <c r="CB101" s="24"/>
      <c r="CC101" s="15"/>
      <c r="CD101" s="300"/>
      <c r="CE101" s="301"/>
      <c r="CF101" s="301"/>
      <c r="CG101" s="301"/>
      <c r="CH101" s="301"/>
      <c r="CI101" s="301"/>
      <c r="CJ101" s="301"/>
      <c r="CK101" s="301"/>
      <c r="CL101" s="301"/>
      <c r="CM101" s="301"/>
      <c r="CN101" s="301"/>
      <c r="CO101" s="301"/>
      <c r="CP101" s="301"/>
      <c r="CQ101" s="301"/>
      <c r="CR101" s="302"/>
      <c r="CS101" s="59"/>
      <c r="CT101" s="59"/>
      <c r="CU101" s="59"/>
      <c r="CV101" s="59"/>
      <c r="CW101" s="59"/>
      <c r="CX101" s="59"/>
      <c r="CY101" s="59"/>
      <c r="CZ101" s="59"/>
      <c r="DA101" s="59"/>
      <c r="DB101" s="59"/>
      <c r="DC101" s="59"/>
      <c r="DD101" s="328"/>
      <c r="DE101" s="328"/>
      <c r="DF101" s="328"/>
      <c r="DG101" s="328"/>
      <c r="DH101" s="328"/>
      <c r="DI101" s="328"/>
      <c r="DJ101" s="328"/>
      <c r="DK101" s="328"/>
      <c r="DL101" s="328"/>
      <c r="DM101" s="328"/>
      <c r="DN101" s="328"/>
      <c r="DO101" s="328"/>
      <c r="DP101" s="328"/>
      <c r="DQ101" s="328"/>
      <c r="DR101" s="328"/>
      <c r="DS101" s="328"/>
      <c r="DT101" s="328"/>
      <c r="DU101" s="328"/>
      <c r="DV101" s="328"/>
      <c r="DW101" s="328"/>
      <c r="DX101" s="328"/>
      <c r="DY101" s="328"/>
      <c r="DZ101" s="328"/>
      <c r="EA101" s="328"/>
      <c r="EB101" s="328"/>
      <c r="EC101" s="328"/>
      <c r="ED101" s="328"/>
      <c r="EE101" s="328"/>
      <c r="EF101" s="328"/>
      <c r="EG101" s="328"/>
      <c r="EH101" s="328"/>
      <c r="EI101" s="328"/>
      <c r="EJ101" s="328"/>
      <c r="EK101" s="328"/>
      <c r="EL101" s="328"/>
      <c r="EM101" s="328"/>
      <c r="EN101" s="328"/>
      <c r="EO101" s="328"/>
      <c r="EP101" s="328"/>
      <c r="EQ101" s="328"/>
      <c r="ER101" s="8"/>
      <c r="ES101" s="8"/>
      <c r="ET101" s="18"/>
      <c r="EU101" s="23"/>
      <c r="EV101" s="9"/>
      <c r="EW101" s="7"/>
    </row>
    <row r="102" spans="2:153" ht="18" customHeight="1">
      <c r="C102" s="15"/>
      <c r="D102" s="329"/>
      <c r="E102" s="329"/>
      <c r="F102" s="329"/>
      <c r="G102" s="329"/>
      <c r="H102" s="329"/>
      <c r="I102" s="329"/>
      <c r="J102" s="329"/>
      <c r="K102" s="329"/>
      <c r="L102" s="330"/>
      <c r="M102" s="330"/>
      <c r="N102" s="330"/>
      <c r="O102" s="330"/>
      <c r="P102" s="330"/>
      <c r="Q102" s="330"/>
      <c r="R102" s="331"/>
      <c r="S102" s="331"/>
      <c r="T102" s="331"/>
      <c r="U102" s="335"/>
      <c r="V102" s="336"/>
      <c r="W102" s="336"/>
      <c r="X102" s="336"/>
      <c r="Y102" s="336"/>
      <c r="Z102" s="336"/>
      <c r="AA102" s="336"/>
      <c r="AB102" s="336"/>
      <c r="AC102" s="336"/>
      <c r="AD102" s="336"/>
      <c r="AE102" s="336"/>
      <c r="AF102" s="336"/>
      <c r="AG102" s="336"/>
      <c r="AH102" s="336"/>
      <c r="AI102" s="337"/>
      <c r="AJ102" s="338"/>
      <c r="AK102" s="338"/>
      <c r="AL102" s="338"/>
      <c r="AM102" s="339"/>
      <c r="AN102" s="339"/>
      <c r="AO102" s="339"/>
      <c r="AP102" s="339"/>
      <c r="AQ102" s="339"/>
      <c r="AR102" s="339"/>
      <c r="AS102" s="339"/>
      <c r="AT102" s="339"/>
      <c r="AU102" s="339"/>
      <c r="AV102" s="339"/>
      <c r="AW102" s="339"/>
      <c r="AX102" s="339"/>
      <c r="AY102" s="339"/>
      <c r="AZ102" s="339"/>
      <c r="BA102" s="339"/>
      <c r="BB102" s="339"/>
      <c r="BC102" s="339"/>
      <c r="BD102" s="339"/>
      <c r="BE102" s="339"/>
      <c r="BF102" s="339"/>
      <c r="BG102" s="339"/>
      <c r="BH102" s="339"/>
      <c r="BI102" s="339"/>
      <c r="BJ102" s="339"/>
      <c r="BK102" s="339"/>
      <c r="BL102" s="339"/>
      <c r="BM102" s="339"/>
      <c r="BN102" s="339"/>
      <c r="BO102" s="339"/>
      <c r="BP102" s="339"/>
      <c r="BQ102" s="339"/>
      <c r="BR102" s="339"/>
      <c r="BS102" s="339"/>
      <c r="BT102" s="339"/>
      <c r="BU102" s="340"/>
      <c r="BV102" s="340"/>
      <c r="BW102" s="340"/>
      <c r="BX102" s="340"/>
      <c r="BY102" s="8"/>
      <c r="BZ102" s="18"/>
      <c r="CA102" s="9"/>
      <c r="CC102" s="15"/>
      <c r="CD102" s="303"/>
      <c r="CE102" s="304"/>
      <c r="CF102" s="304"/>
      <c r="CG102" s="304"/>
      <c r="CH102" s="304"/>
      <c r="CI102" s="304"/>
      <c r="CJ102" s="304"/>
      <c r="CK102" s="304"/>
      <c r="CL102" s="304"/>
      <c r="CM102" s="304"/>
      <c r="CN102" s="304"/>
      <c r="CO102" s="304"/>
      <c r="CP102" s="304"/>
      <c r="CQ102" s="304"/>
      <c r="CR102" s="305"/>
      <c r="CS102" s="59"/>
      <c r="CT102" s="59"/>
      <c r="CU102" s="59"/>
      <c r="CV102" s="59"/>
      <c r="CW102" s="59"/>
      <c r="CX102" s="59"/>
      <c r="CY102" s="59"/>
      <c r="CZ102" s="59"/>
      <c r="DA102" s="59"/>
      <c r="DB102" s="59"/>
      <c r="DC102" s="59"/>
      <c r="DD102" s="328"/>
      <c r="DE102" s="328"/>
      <c r="DF102" s="328"/>
      <c r="DG102" s="328"/>
      <c r="DH102" s="328"/>
      <c r="DI102" s="328"/>
      <c r="DJ102" s="328"/>
      <c r="DK102" s="328"/>
      <c r="DL102" s="328"/>
      <c r="DM102" s="328"/>
      <c r="DN102" s="328"/>
      <c r="DO102" s="328"/>
      <c r="DP102" s="328"/>
      <c r="DQ102" s="328"/>
      <c r="DR102" s="328"/>
      <c r="DS102" s="328"/>
      <c r="DT102" s="328"/>
      <c r="DU102" s="328"/>
      <c r="DV102" s="328"/>
      <c r="DW102" s="328"/>
      <c r="DX102" s="328"/>
      <c r="DY102" s="328"/>
      <c r="DZ102" s="328"/>
      <c r="EA102" s="328"/>
      <c r="EB102" s="328"/>
      <c r="EC102" s="328"/>
      <c r="ED102" s="328"/>
      <c r="EE102" s="328"/>
      <c r="EF102" s="328"/>
      <c r="EG102" s="328"/>
      <c r="EH102" s="328"/>
      <c r="EI102" s="328"/>
      <c r="EJ102" s="328"/>
      <c r="EK102" s="328"/>
      <c r="EL102" s="328"/>
      <c r="EM102" s="328"/>
      <c r="EN102" s="328"/>
      <c r="EO102" s="328"/>
      <c r="EP102" s="328"/>
      <c r="EQ102" s="328"/>
      <c r="ER102" s="8"/>
      <c r="ES102" s="8"/>
      <c r="ET102" s="18"/>
      <c r="EU102" s="23"/>
      <c r="EV102" s="9"/>
      <c r="EW102" s="7"/>
    </row>
    <row r="103" spans="2:153" ht="18" customHeight="1">
      <c r="C103" s="15"/>
      <c r="D103" s="329" t="s">
        <v>76</v>
      </c>
      <c r="E103" s="329"/>
      <c r="F103" s="329"/>
      <c r="G103" s="329"/>
      <c r="H103" s="329"/>
      <c r="I103" s="329"/>
      <c r="J103" s="329"/>
      <c r="K103" s="329"/>
      <c r="L103" s="330" t="str">
        <f>VLOOKUP($D$11,調査票①!$A$10:$GY$58,181,FALSE)&amp;""</f>
        <v>0</v>
      </c>
      <c r="M103" s="330"/>
      <c r="N103" s="330"/>
      <c r="O103" s="330" t="str">
        <f>VLOOKUP($D$11,調査票①!$A$10:$GY$58,182,FALSE)&amp;""</f>
        <v>0</v>
      </c>
      <c r="P103" s="330"/>
      <c r="Q103" s="330"/>
      <c r="R103" s="331" t="str">
        <f>VLOOKUP($D$11,調査票①!$A$10:$GY$58,183,FALSE)</f>
        <v/>
      </c>
      <c r="S103" s="331"/>
      <c r="T103" s="331"/>
      <c r="U103" s="332" t="str">
        <f>VLOOKUP($D$11,調査票①!$A$10:$GY$58,184,FALSE)&amp;""</f>
        <v>　</v>
      </c>
      <c r="V103" s="333"/>
      <c r="W103" s="333"/>
      <c r="X103" s="333"/>
      <c r="Y103" s="333"/>
      <c r="Z103" s="333"/>
      <c r="AA103" s="333"/>
      <c r="AB103" s="333"/>
      <c r="AC103" s="333"/>
      <c r="AD103" s="333"/>
      <c r="AE103" s="333"/>
      <c r="AF103" s="333"/>
      <c r="AG103" s="333"/>
      <c r="AH103" s="333"/>
      <c r="AI103" s="334"/>
      <c r="AJ103" s="338" t="str">
        <f>VLOOKUP($D$11,調査票①!$A$10:$GY$58,185,FALSE)&amp;""</f>
        <v>0</v>
      </c>
      <c r="AK103" s="338"/>
      <c r="AL103" s="338"/>
      <c r="AM103" s="339" t="str">
        <f>VLOOKUP($D$11,調査票①!$A$10:$GY$58,186,FALSE)&amp;""</f>
        <v>　</v>
      </c>
      <c r="AN103" s="339"/>
      <c r="AO103" s="339"/>
      <c r="AP103" s="339"/>
      <c r="AQ103" s="339"/>
      <c r="AR103" s="339"/>
      <c r="AS103" s="339"/>
      <c r="AT103" s="339"/>
      <c r="AU103" s="339"/>
      <c r="AV103" s="339"/>
      <c r="AW103" s="339"/>
      <c r="AX103" s="339"/>
      <c r="AY103" s="339"/>
      <c r="AZ103" s="339"/>
      <c r="BA103" s="339"/>
      <c r="BB103" s="339"/>
      <c r="BC103" s="339"/>
      <c r="BD103" s="339"/>
      <c r="BE103" s="339"/>
      <c r="BF103" s="339"/>
      <c r="BG103" s="339"/>
      <c r="BH103" s="339"/>
      <c r="BI103" s="339"/>
      <c r="BJ103" s="339"/>
      <c r="BK103" s="339"/>
      <c r="BL103" s="339"/>
      <c r="BM103" s="339"/>
      <c r="BN103" s="339"/>
      <c r="BO103" s="339"/>
      <c r="BP103" s="339"/>
      <c r="BQ103" s="339"/>
      <c r="BR103" s="339"/>
      <c r="BS103" s="339"/>
      <c r="BT103" s="339"/>
      <c r="BU103" s="340">
        <f>調査票①!GA57</f>
        <v>1</v>
      </c>
      <c r="BV103" s="340"/>
      <c r="BW103" s="340"/>
      <c r="BX103" s="340"/>
      <c r="BY103" s="8"/>
      <c r="BZ103" s="18"/>
      <c r="CA103" s="9"/>
      <c r="CC103" s="15"/>
      <c r="CD103" s="291">
        <f>調査票①!GW58</f>
        <v>0.97872340425531912</v>
      </c>
      <c r="CE103" s="292"/>
      <c r="CF103" s="292"/>
      <c r="CG103" s="292"/>
      <c r="CH103" s="292"/>
      <c r="CI103" s="292"/>
      <c r="CJ103" s="292"/>
      <c r="CK103" s="292"/>
      <c r="CL103" s="292"/>
      <c r="CM103" s="292"/>
      <c r="CN103" s="292"/>
      <c r="CO103" s="292"/>
      <c r="CP103" s="292"/>
      <c r="CQ103" s="292"/>
      <c r="CR103" s="293"/>
      <c r="CS103" s="59"/>
      <c r="CT103" s="59"/>
      <c r="CU103" s="59"/>
      <c r="CV103" s="59"/>
      <c r="CW103" s="59"/>
      <c r="CX103" s="59"/>
      <c r="CY103" s="59"/>
      <c r="CZ103" s="59"/>
      <c r="DA103" s="59"/>
      <c r="DB103" s="59"/>
      <c r="DC103" s="59"/>
      <c r="DD103" s="328"/>
      <c r="DE103" s="328"/>
      <c r="DF103" s="328"/>
      <c r="DG103" s="328"/>
      <c r="DH103" s="328"/>
      <c r="DI103" s="328"/>
      <c r="DJ103" s="328"/>
      <c r="DK103" s="328"/>
      <c r="DL103" s="328"/>
      <c r="DM103" s="328"/>
      <c r="DN103" s="328"/>
      <c r="DO103" s="328"/>
      <c r="DP103" s="328"/>
      <c r="DQ103" s="328"/>
      <c r="DR103" s="328"/>
      <c r="DS103" s="328"/>
      <c r="DT103" s="328"/>
      <c r="DU103" s="328"/>
      <c r="DV103" s="328"/>
      <c r="DW103" s="328"/>
      <c r="DX103" s="328"/>
      <c r="DY103" s="328"/>
      <c r="DZ103" s="328"/>
      <c r="EA103" s="328"/>
      <c r="EB103" s="328"/>
      <c r="EC103" s="328"/>
      <c r="ED103" s="328"/>
      <c r="EE103" s="328"/>
      <c r="EF103" s="328"/>
      <c r="EG103" s="328"/>
      <c r="EH103" s="328"/>
      <c r="EI103" s="328"/>
      <c r="EJ103" s="328"/>
      <c r="EK103" s="328"/>
      <c r="EL103" s="328"/>
      <c r="EM103" s="328"/>
      <c r="EN103" s="328"/>
      <c r="EO103" s="328"/>
      <c r="EP103" s="328"/>
      <c r="EQ103" s="328"/>
      <c r="ER103" s="8"/>
      <c r="ES103" s="8"/>
      <c r="ET103" s="18"/>
      <c r="EU103" s="23"/>
      <c r="EV103" s="9"/>
      <c r="EW103" s="7"/>
    </row>
    <row r="104" spans="2:153" ht="18" customHeight="1">
      <c r="C104" s="15"/>
      <c r="D104" s="329"/>
      <c r="E104" s="329"/>
      <c r="F104" s="329"/>
      <c r="G104" s="329"/>
      <c r="H104" s="329"/>
      <c r="I104" s="329"/>
      <c r="J104" s="329"/>
      <c r="K104" s="329"/>
      <c r="L104" s="330"/>
      <c r="M104" s="330"/>
      <c r="N104" s="330"/>
      <c r="O104" s="330"/>
      <c r="P104" s="330"/>
      <c r="Q104" s="330"/>
      <c r="R104" s="331"/>
      <c r="S104" s="331"/>
      <c r="T104" s="331"/>
      <c r="U104" s="335"/>
      <c r="V104" s="336"/>
      <c r="W104" s="336"/>
      <c r="X104" s="336"/>
      <c r="Y104" s="336"/>
      <c r="Z104" s="336"/>
      <c r="AA104" s="336"/>
      <c r="AB104" s="336"/>
      <c r="AC104" s="336"/>
      <c r="AD104" s="336"/>
      <c r="AE104" s="336"/>
      <c r="AF104" s="336"/>
      <c r="AG104" s="336"/>
      <c r="AH104" s="336"/>
      <c r="AI104" s="337"/>
      <c r="AJ104" s="338"/>
      <c r="AK104" s="338"/>
      <c r="AL104" s="338"/>
      <c r="AM104" s="339"/>
      <c r="AN104" s="339"/>
      <c r="AO104" s="339"/>
      <c r="AP104" s="339"/>
      <c r="AQ104" s="339"/>
      <c r="AR104" s="339"/>
      <c r="AS104" s="339"/>
      <c r="AT104" s="339"/>
      <c r="AU104" s="339"/>
      <c r="AV104" s="339"/>
      <c r="AW104" s="339"/>
      <c r="AX104" s="339"/>
      <c r="AY104" s="339"/>
      <c r="AZ104" s="339"/>
      <c r="BA104" s="339"/>
      <c r="BB104" s="339"/>
      <c r="BC104" s="339"/>
      <c r="BD104" s="339"/>
      <c r="BE104" s="339"/>
      <c r="BF104" s="339"/>
      <c r="BG104" s="339"/>
      <c r="BH104" s="339"/>
      <c r="BI104" s="339"/>
      <c r="BJ104" s="339"/>
      <c r="BK104" s="339"/>
      <c r="BL104" s="339"/>
      <c r="BM104" s="339"/>
      <c r="BN104" s="339"/>
      <c r="BO104" s="339"/>
      <c r="BP104" s="339"/>
      <c r="BQ104" s="339"/>
      <c r="BR104" s="339"/>
      <c r="BS104" s="339"/>
      <c r="BT104" s="339"/>
      <c r="BU104" s="340"/>
      <c r="BV104" s="340"/>
      <c r="BW104" s="340"/>
      <c r="BX104" s="340"/>
      <c r="BY104" s="8"/>
      <c r="BZ104" s="18"/>
      <c r="CA104" s="9"/>
      <c r="CC104" s="15"/>
      <c r="CD104" s="291"/>
      <c r="CE104" s="292"/>
      <c r="CF104" s="292"/>
      <c r="CG104" s="292"/>
      <c r="CH104" s="292"/>
      <c r="CI104" s="292"/>
      <c r="CJ104" s="292"/>
      <c r="CK104" s="292"/>
      <c r="CL104" s="292"/>
      <c r="CM104" s="292"/>
      <c r="CN104" s="292"/>
      <c r="CO104" s="292"/>
      <c r="CP104" s="292"/>
      <c r="CQ104" s="292"/>
      <c r="CR104" s="293"/>
      <c r="CS104" s="59"/>
      <c r="CT104" s="59"/>
      <c r="CU104" s="59"/>
      <c r="CV104" s="59"/>
      <c r="CW104" s="59"/>
      <c r="CX104" s="59"/>
      <c r="CY104" s="59"/>
      <c r="CZ104" s="59"/>
      <c r="DA104" s="59"/>
      <c r="DB104" s="59"/>
      <c r="DC104" s="59"/>
      <c r="DD104" s="313"/>
      <c r="DE104" s="313"/>
      <c r="DF104" s="313"/>
      <c r="DG104" s="313"/>
      <c r="DH104" s="313"/>
      <c r="DI104" s="313"/>
      <c r="DJ104" s="313"/>
      <c r="DK104" s="313"/>
      <c r="DL104" s="313"/>
      <c r="DM104" s="313"/>
      <c r="DN104" s="313"/>
      <c r="DO104" s="313"/>
      <c r="DP104" s="313"/>
      <c r="DQ104" s="313"/>
      <c r="DR104" s="313"/>
      <c r="DS104" s="313"/>
      <c r="DT104" s="313"/>
      <c r="DU104" s="313"/>
      <c r="DV104" s="313"/>
      <c r="DW104" s="313"/>
      <c r="DX104" s="313"/>
      <c r="DY104" s="313"/>
      <c r="DZ104" s="313"/>
      <c r="EA104" s="313"/>
      <c r="EB104" s="313"/>
      <c r="EC104" s="313"/>
      <c r="ED104" s="313"/>
      <c r="EE104" s="313"/>
      <c r="EF104" s="313"/>
      <c r="EG104" s="313"/>
      <c r="EH104" s="313"/>
      <c r="EI104" s="313"/>
      <c r="EJ104" s="313"/>
      <c r="EK104" s="313"/>
      <c r="EL104" s="313"/>
      <c r="EM104" s="313"/>
      <c r="EN104" s="313"/>
      <c r="EO104" s="313"/>
      <c r="EP104" s="313"/>
      <c r="EQ104" s="313"/>
      <c r="ER104" s="21"/>
      <c r="ES104" s="21"/>
      <c r="ET104" s="14"/>
      <c r="EU104" s="9"/>
      <c r="EV104" s="9"/>
      <c r="EW104" s="7"/>
    </row>
    <row r="105" spans="2:153" ht="12.6" customHeight="1">
      <c r="C105" s="15"/>
      <c r="D105" s="8"/>
      <c r="E105" s="8"/>
      <c r="F105" s="8"/>
      <c r="G105" s="8"/>
      <c r="H105" s="8"/>
      <c r="I105" s="8"/>
      <c r="J105" s="8"/>
      <c r="K105" s="8"/>
      <c r="L105" s="8"/>
      <c r="M105" s="8"/>
      <c r="N105" s="8"/>
      <c r="O105" s="8"/>
      <c r="P105" s="8"/>
      <c r="Q105" s="8"/>
      <c r="R105" s="8"/>
      <c r="S105" s="8"/>
      <c r="T105" s="8"/>
      <c r="U105" s="8"/>
      <c r="V105" s="8"/>
      <c r="W105" s="8"/>
      <c r="X105" s="8"/>
      <c r="Y105" s="8"/>
      <c r="Z105" s="8"/>
      <c r="AA105" s="8"/>
      <c r="AB105" s="21"/>
      <c r="AC105" s="21"/>
      <c r="AD105" s="21"/>
      <c r="AE105" s="21"/>
      <c r="AF105" s="8"/>
      <c r="AG105" s="8"/>
      <c r="AH105" s="8"/>
      <c r="AI105" s="8"/>
      <c r="AJ105" s="8"/>
      <c r="AK105" s="8"/>
      <c r="AL105" s="8"/>
      <c r="AM105" s="8"/>
      <c r="AN105" s="8"/>
      <c r="AO105" s="21"/>
      <c r="AP105" s="21"/>
      <c r="AQ105" s="21"/>
      <c r="AR105" s="21"/>
      <c r="AS105" s="8"/>
      <c r="AT105" s="8"/>
      <c r="AU105" s="8"/>
      <c r="AV105" s="8"/>
      <c r="AW105" s="8"/>
      <c r="AX105" s="8"/>
      <c r="AY105" s="8"/>
      <c r="AZ105" s="8"/>
      <c r="BA105" s="8"/>
      <c r="BB105" s="8"/>
      <c r="BC105" s="8"/>
      <c r="BD105" s="8"/>
      <c r="BE105" s="8"/>
      <c r="BF105" s="8"/>
      <c r="BG105" s="8"/>
      <c r="BH105" s="8"/>
      <c r="BI105" s="8"/>
      <c r="BJ105" s="8"/>
      <c r="BK105" s="8"/>
      <c r="BL105" s="8"/>
      <c r="BM105" s="21"/>
      <c r="BN105" s="21"/>
      <c r="BO105" s="21"/>
      <c r="BP105" s="21"/>
      <c r="BQ105" s="8"/>
      <c r="BR105" s="8"/>
      <c r="BS105" s="8"/>
      <c r="BT105" s="8"/>
      <c r="BU105" s="8"/>
      <c r="BV105" s="8"/>
      <c r="BW105" s="8"/>
      <c r="BX105" s="22"/>
      <c r="BY105" s="8"/>
      <c r="BZ105" s="18"/>
      <c r="CA105" s="9"/>
      <c r="CC105" s="15"/>
      <c r="CD105" s="294"/>
      <c r="CE105" s="295"/>
      <c r="CF105" s="295"/>
      <c r="CG105" s="295"/>
      <c r="CH105" s="295"/>
      <c r="CI105" s="295"/>
      <c r="CJ105" s="295"/>
      <c r="CK105" s="295"/>
      <c r="CL105" s="295"/>
      <c r="CM105" s="295"/>
      <c r="CN105" s="295"/>
      <c r="CO105" s="295"/>
      <c r="CP105" s="295"/>
      <c r="CQ105" s="295"/>
      <c r="CR105" s="296"/>
      <c r="CS105" s="59"/>
      <c r="CT105" s="59"/>
      <c r="CU105" s="59"/>
      <c r="CV105" s="59"/>
      <c r="CW105" s="59"/>
      <c r="CX105" s="59"/>
      <c r="CY105" s="59"/>
      <c r="CZ105" s="59"/>
      <c r="DA105" s="59"/>
      <c r="DB105" s="59"/>
      <c r="DC105" s="59"/>
      <c r="DD105" s="313"/>
      <c r="DE105" s="313"/>
      <c r="DF105" s="313"/>
      <c r="DG105" s="313"/>
      <c r="DH105" s="313"/>
      <c r="DI105" s="313"/>
      <c r="DJ105" s="313"/>
      <c r="DK105" s="313"/>
      <c r="DL105" s="313"/>
      <c r="DM105" s="313"/>
      <c r="DN105" s="313"/>
      <c r="DO105" s="313"/>
      <c r="DP105" s="313"/>
      <c r="DQ105" s="313"/>
      <c r="DR105" s="313"/>
      <c r="DS105" s="313"/>
      <c r="DT105" s="313"/>
      <c r="DU105" s="313"/>
      <c r="DV105" s="313"/>
      <c r="DW105" s="313"/>
      <c r="DX105" s="313"/>
      <c r="DY105" s="313"/>
      <c r="DZ105" s="313"/>
      <c r="EA105" s="313"/>
      <c r="EB105" s="313"/>
      <c r="EC105" s="313"/>
      <c r="ED105" s="313"/>
      <c r="EE105" s="313"/>
      <c r="EF105" s="313"/>
      <c r="EG105" s="313"/>
      <c r="EH105" s="313"/>
      <c r="EI105" s="313"/>
      <c r="EJ105" s="313"/>
      <c r="EK105" s="313"/>
      <c r="EL105" s="313"/>
      <c r="EM105" s="313"/>
      <c r="EN105" s="313"/>
      <c r="EO105" s="313"/>
      <c r="EP105" s="313"/>
      <c r="EQ105" s="313"/>
      <c r="ER105" s="21"/>
      <c r="ES105" s="21"/>
      <c r="ET105" s="14"/>
      <c r="EU105" s="7"/>
      <c r="EV105" s="9"/>
      <c r="EW105" s="7"/>
    </row>
    <row r="106" spans="2:153" ht="12.6" customHeight="1">
      <c r="C106" s="13"/>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20"/>
      <c r="AC106" s="20"/>
      <c r="AD106" s="20"/>
      <c r="AE106" s="20"/>
      <c r="AF106" s="12"/>
      <c r="AG106" s="12"/>
      <c r="AH106" s="12"/>
      <c r="AI106" s="12"/>
      <c r="AJ106" s="12"/>
      <c r="AK106" s="12"/>
      <c r="AL106" s="12"/>
      <c r="AM106" s="12"/>
      <c r="AN106" s="12"/>
      <c r="AO106" s="20"/>
      <c r="AP106" s="20"/>
      <c r="AQ106" s="20"/>
      <c r="AR106" s="20"/>
      <c r="AS106" s="12"/>
      <c r="AT106" s="12"/>
      <c r="AU106" s="12"/>
      <c r="AV106" s="12"/>
      <c r="AW106" s="12"/>
      <c r="AX106" s="12"/>
      <c r="AY106" s="12"/>
      <c r="AZ106" s="12"/>
      <c r="BA106" s="12"/>
      <c r="BB106" s="12"/>
      <c r="BC106" s="12"/>
      <c r="BD106" s="12"/>
      <c r="BE106" s="12"/>
      <c r="BF106" s="12"/>
      <c r="BG106" s="12"/>
      <c r="BH106" s="12"/>
      <c r="BI106" s="12"/>
      <c r="BJ106" s="12"/>
      <c r="BK106" s="12"/>
      <c r="BL106" s="12"/>
      <c r="BM106" s="20"/>
      <c r="BN106" s="20"/>
      <c r="BO106" s="20"/>
      <c r="BP106" s="20"/>
      <c r="BQ106" s="12"/>
      <c r="BR106" s="12"/>
      <c r="BS106" s="12"/>
      <c r="BT106" s="12"/>
      <c r="BU106" s="12"/>
      <c r="BV106" s="12"/>
      <c r="BW106" s="12"/>
      <c r="BX106" s="12"/>
      <c r="BY106" s="12"/>
      <c r="BZ106" s="19"/>
      <c r="CA106" s="9"/>
      <c r="CC106" s="13"/>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314"/>
      <c r="DE106" s="314"/>
      <c r="DF106" s="314"/>
      <c r="DG106" s="314"/>
      <c r="DH106" s="314"/>
      <c r="DI106" s="314"/>
      <c r="DJ106" s="314"/>
      <c r="DK106" s="314"/>
      <c r="DL106" s="314"/>
      <c r="DM106" s="314"/>
      <c r="DN106" s="314"/>
      <c r="DO106" s="314"/>
      <c r="DP106" s="314"/>
      <c r="DQ106" s="314"/>
      <c r="DR106" s="314"/>
      <c r="DS106" s="314"/>
      <c r="DT106" s="314"/>
      <c r="DU106" s="314"/>
      <c r="DV106" s="314"/>
      <c r="DW106" s="314"/>
      <c r="DX106" s="314"/>
      <c r="DY106" s="314"/>
      <c r="DZ106" s="314"/>
      <c r="EA106" s="314"/>
      <c r="EB106" s="314"/>
      <c r="EC106" s="314"/>
      <c r="ED106" s="314"/>
      <c r="EE106" s="314"/>
      <c r="EF106" s="314"/>
      <c r="EG106" s="314"/>
      <c r="EH106" s="314"/>
      <c r="EI106" s="314"/>
      <c r="EJ106" s="314"/>
      <c r="EK106" s="314"/>
      <c r="EL106" s="314"/>
      <c r="EM106" s="314"/>
      <c r="EN106" s="314"/>
      <c r="EO106" s="314"/>
      <c r="EP106" s="314"/>
      <c r="EQ106" s="314"/>
      <c r="ER106" s="20"/>
      <c r="ES106" s="20"/>
      <c r="ET106" s="11"/>
      <c r="EV106" s="7"/>
      <c r="EW106" s="7"/>
    </row>
    <row r="107" spans="2:153" ht="12.6" customHeight="1">
      <c r="B107" s="10"/>
      <c r="C107" s="9"/>
      <c r="D107" s="17"/>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16"/>
      <c r="BH107" s="9"/>
      <c r="BI107" s="9"/>
      <c r="BJ107" s="9"/>
      <c r="BK107" s="9"/>
      <c r="BL107" s="9"/>
      <c r="BM107" s="9"/>
      <c r="BN107" s="9"/>
      <c r="BO107" s="9"/>
    </row>
    <row r="108" spans="2:153" ht="12.6" customHeight="1">
      <c r="B108" s="10"/>
      <c r="C108" s="9"/>
      <c r="D108" s="9"/>
      <c r="E108" s="9"/>
    </row>
    <row r="109" spans="2:153" ht="12.6" customHeight="1">
      <c r="B109" s="10"/>
      <c r="C109" s="9"/>
      <c r="D109" s="9"/>
      <c r="E109" s="9"/>
    </row>
    <row r="110" spans="2:153" ht="12.6" customHeight="1">
      <c r="B110" s="10"/>
      <c r="C110" s="9"/>
      <c r="D110" s="10"/>
      <c r="E110" s="10"/>
    </row>
    <row r="111" spans="2:153" ht="12.6" customHeight="1">
      <c r="C111" s="9"/>
      <c r="BP111" s="10"/>
      <c r="BQ111" s="10"/>
      <c r="BR111" s="10"/>
      <c r="BS111" s="10"/>
      <c r="BT111" s="10"/>
      <c r="BU111" s="10"/>
      <c r="BV111" s="10"/>
      <c r="BW111" s="10"/>
      <c r="BX111" s="10"/>
      <c r="BY111" s="10"/>
      <c r="BZ111" s="10"/>
      <c r="CA111" s="10"/>
      <c r="CB111" s="10"/>
      <c r="CC111" s="10"/>
      <c r="CD111" s="10"/>
      <c r="CE111" s="10"/>
      <c r="CF111" s="10"/>
    </row>
    <row r="112" spans="2:153" ht="12.6" customHeight="1">
      <c r="BP112" s="10"/>
      <c r="BQ112" s="10"/>
      <c r="BR112" s="10"/>
      <c r="BS112" s="10"/>
      <c r="BT112" s="10"/>
      <c r="BU112" s="10"/>
      <c r="BV112" s="10"/>
      <c r="BW112" s="10"/>
      <c r="BX112" s="10"/>
      <c r="BY112" s="10"/>
      <c r="BZ112" s="10"/>
      <c r="CA112" s="10"/>
      <c r="CB112" s="10"/>
      <c r="CC112" s="10"/>
      <c r="CD112" s="10"/>
      <c r="CE112" s="10"/>
      <c r="CF112" s="10"/>
    </row>
    <row r="113" spans="68:84" ht="12.6" customHeight="1">
      <c r="BP113" s="10"/>
      <c r="BQ113" s="10"/>
      <c r="BR113" s="10"/>
      <c r="BS113" s="10"/>
      <c r="BT113" s="10"/>
      <c r="BU113" s="10"/>
      <c r="BV113" s="10"/>
      <c r="BW113" s="10"/>
      <c r="BX113" s="10"/>
      <c r="BY113" s="10"/>
      <c r="BZ113" s="10"/>
      <c r="CA113" s="10"/>
      <c r="CB113" s="10"/>
      <c r="CC113" s="10"/>
      <c r="CD113" s="10"/>
      <c r="CE113" s="10"/>
      <c r="CF113" s="10"/>
    </row>
    <row r="114" spans="68:84" ht="12.6" customHeight="1">
      <c r="BP114" s="9"/>
      <c r="BQ114" s="327"/>
      <c r="BR114" s="327"/>
      <c r="BS114" s="327"/>
      <c r="BT114" s="327"/>
      <c r="BU114" s="9"/>
      <c r="BV114" s="9"/>
      <c r="BW114" s="10"/>
      <c r="BX114" s="10"/>
      <c r="BY114" s="10"/>
      <c r="BZ114" s="10"/>
      <c r="CA114" s="10"/>
      <c r="CB114" s="10"/>
      <c r="CC114" s="10"/>
      <c r="CD114" s="10"/>
      <c r="CE114" s="10"/>
      <c r="CF114" s="10"/>
    </row>
    <row r="115" spans="68:84" ht="12.6" customHeight="1">
      <c r="BP115" s="9"/>
      <c r="BQ115" s="327"/>
      <c r="BR115" s="327"/>
      <c r="BS115" s="327"/>
      <c r="BT115" s="327"/>
      <c r="BU115" s="9"/>
      <c r="BV115" s="9"/>
      <c r="BW115" s="10"/>
      <c r="BX115" s="10"/>
      <c r="BY115" s="10"/>
      <c r="BZ115" s="10"/>
      <c r="CA115" s="10"/>
      <c r="CB115" s="10"/>
      <c r="CC115" s="10"/>
      <c r="CD115" s="10"/>
      <c r="CE115" s="10"/>
      <c r="CF115" s="10"/>
    </row>
    <row r="116" spans="68:84" ht="12.6" customHeight="1">
      <c r="BP116" s="9"/>
      <c r="BQ116" s="327"/>
      <c r="BR116" s="327"/>
      <c r="BS116" s="327"/>
      <c r="BT116" s="327"/>
      <c r="BU116" s="9"/>
      <c r="BV116" s="9"/>
      <c r="BW116" s="10"/>
      <c r="BX116" s="10"/>
      <c r="BY116" s="10"/>
      <c r="BZ116" s="10"/>
      <c r="CA116" s="10"/>
      <c r="CB116" s="10"/>
      <c r="CC116" s="10"/>
      <c r="CD116" s="10"/>
      <c r="CE116" s="10"/>
      <c r="CF116" s="10"/>
    </row>
    <row r="117" spans="68:84" ht="12.6" customHeight="1">
      <c r="BP117" s="9"/>
      <c r="BQ117" s="327"/>
      <c r="BR117" s="327"/>
      <c r="BS117" s="327"/>
      <c r="BT117" s="327"/>
      <c r="BU117" s="9"/>
      <c r="BV117" s="9"/>
      <c r="BW117" s="10"/>
      <c r="BX117" s="10"/>
      <c r="BY117" s="10"/>
      <c r="BZ117" s="10"/>
      <c r="CA117" s="10"/>
      <c r="CB117" s="10"/>
      <c r="CC117" s="10"/>
      <c r="CD117" s="10"/>
      <c r="CE117" s="10"/>
      <c r="CF117" s="10"/>
    </row>
    <row r="118" spans="68:84" ht="12.6" customHeight="1">
      <c r="BP118" s="9"/>
      <c r="BQ118" s="327"/>
      <c r="BR118" s="327"/>
      <c r="BS118" s="327"/>
      <c r="BT118" s="327"/>
      <c r="BU118" s="9"/>
      <c r="BV118" s="9"/>
      <c r="BW118" s="10"/>
      <c r="BX118" s="10"/>
      <c r="BY118" s="10"/>
      <c r="BZ118" s="10"/>
      <c r="CA118" s="10"/>
      <c r="CB118" s="10"/>
      <c r="CC118" s="10"/>
      <c r="CD118" s="10"/>
      <c r="CE118" s="10"/>
      <c r="CF118" s="10"/>
    </row>
    <row r="119" spans="68:84" ht="12.6" customHeight="1">
      <c r="BP119" s="9"/>
      <c r="BQ119" s="327"/>
      <c r="BR119" s="327"/>
      <c r="BS119" s="327"/>
      <c r="BT119" s="327"/>
      <c r="BU119" s="9"/>
      <c r="BV119" s="9"/>
      <c r="BW119" s="10"/>
      <c r="BX119" s="10"/>
      <c r="BY119" s="10"/>
      <c r="BZ119" s="10"/>
      <c r="CA119" s="10"/>
      <c r="CB119" s="10"/>
      <c r="CC119" s="10"/>
      <c r="CD119" s="10"/>
      <c r="CE119" s="10"/>
      <c r="CF119" s="10"/>
    </row>
    <row r="120" spans="68:84" ht="12.6" customHeight="1">
      <c r="BP120" s="9"/>
      <c r="BQ120" s="327"/>
      <c r="BR120" s="327"/>
      <c r="BS120" s="327"/>
      <c r="BT120" s="327"/>
      <c r="BU120" s="9"/>
      <c r="BV120" s="9"/>
      <c r="BW120" s="10"/>
      <c r="BX120" s="10"/>
      <c r="BY120" s="10"/>
      <c r="BZ120" s="10"/>
      <c r="CA120" s="10"/>
      <c r="CB120" s="10"/>
      <c r="CC120" s="10"/>
      <c r="CD120" s="10"/>
      <c r="CE120" s="10"/>
      <c r="CF120" s="10"/>
    </row>
    <row r="121" spans="68:84" ht="12.6" customHeight="1">
      <c r="BP121" s="9"/>
      <c r="BQ121" s="327"/>
      <c r="BR121" s="327"/>
      <c r="BS121" s="327"/>
      <c r="BT121" s="327"/>
      <c r="BU121" s="9"/>
      <c r="BV121" s="9"/>
      <c r="BW121" s="10"/>
      <c r="BX121" s="10"/>
      <c r="BY121" s="10"/>
      <c r="BZ121" s="10"/>
      <c r="CA121" s="10"/>
      <c r="CB121" s="10"/>
      <c r="CC121" s="10"/>
      <c r="CD121" s="10"/>
      <c r="CE121" s="10"/>
      <c r="CF121" s="10"/>
    </row>
    <row r="122" spans="68:84" ht="12.6" customHeight="1">
      <c r="BP122" s="7"/>
      <c r="BQ122" s="7"/>
      <c r="BR122" s="7"/>
      <c r="BS122" s="7"/>
      <c r="BT122" s="7"/>
      <c r="BU122" s="7"/>
      <c r="BV122" s="7"/>
    </row>
    <row r="123" spans="68:84" ht="12.6" customHeight="1">
      <c r="BP123" s="7"/>
      <c r="BQ123" s="7"/>
      <c r="BR123" s="7"/>
      <c r="BS123" s="7"/>
      <c r="BT123" s="7"/>
      <c r="BU123" s="7"/>
      <c r="BV123" s="7"/>
    </row>
    <row r="124" spans="68:84" ht="12.6" customHeight="1">
      <c r="BP124" s="7"/>
      <c r="BQ124" s="7"/>
      <c r="BR124" s="7"/>
      <c r="BS124" s="7"/>
      <c r="BT124" s="7"/>
      <c r="BU124" s="7"/>
      <c r="BV124" s="7"/>
    </row>
    <row r="125" spans="68:84" ht="12.6" customHeight="1">
      <c r="BP125" s="7"/>
      <c r="BQ125" s="7"/>
      <c r="BR125" s="7"/>
      <c r="BS125" s="7"/>
      <c r="BT125" s="7"/>
      <c r="BU125" s="7"/>
      <c r="BV125" s="7"/>
    </row>
    <row r="126" spans="68:84" ht="12.6" customHeight="1">
      <c r="BP126" s="7"/>
      <c r="BQ126" s="7"/>
      <c r="BR126" s="7"/>
      <c r="BS126" s="7"/>
      <c r="BT126" s="7"/>
      <c r="BU126" s="7"/>
      <c r="BV126" s="7"/>
    </row>
  </sheetData>
  <mergeCells count="325">
    <mergeCell ref="CD19:CM20"/>
    <mergeCell ref="CN19:CW20"/>
    <mergeCell ref="DC19:DR20"/>
    <mergeCell ref="DS19:EH20"/>
    <mergeCell ref="EJ19:EQ19"/>
    <mergeCell ref="D20:M21"/>
    <mergeCell ref="N20:Q21"/>
    <mergeCell ref="R20:BT21"/>
    <mergeCell ref="BU20:BX21"/>
    <mergeCell ref="EJ20:EM21"/>
    <mergeCell ref="EN20:EQ21"/>
    <mergeCell ref="CD21:CM22"/>
    <mergeCell ref="CN21:CW22"/>
    <mergeCell ref="DC21:DF22"/>
    <mergeCell ref="D22:M23"/>
    <mergeCell ref="N22:Q23"/>
    <mergeCell ref="R22:BT23"/>
    <mergeCell ref="BU22:BX23"/>
    <mergeCell ref="DO23:DR24"/>
    <mergeCell ref="DS23:DV24"/>
    <mergeCell ref="DW23:DZ24"/>
    <mergeCell ref="EA23:ED24"/>
    <mergeCell ref="D8:M10"/>
    <mergeCell ref="N8:Z10"/>
    <mergeCell ref="D11:M13"/>
    <mergeCell ref="N11:Z13"/>
    <mergeCell ref="D28:M29"/>
    <mergeCell ref="N28:Q29"/>
    <mergeCell ref="EJ22:EM23"/>
    <mergeCell ref="DG21:DJ22"/>
    <mergeCell ref="DK21:DN22"/>
    <mergeCell ref="DO21:DR22"/>
    <mergeCell ref="DS21:DV22"/>
    <mergeCell ref="DW21:DZ22"/>
    <mergeCell ref="EA21:ED22"/>
    <mergeCell ref="D24:M25"/>
    <mergeCell ref="N24:Q25"/>
    <mergeCell ref="R24:BT25"/>
    <mergeCell ref="BU24:BX25"/>
    <mergeCell ref="D26:M27"/>
    <mergeCell ref="N26:Q27"/>
    <mergeCell ref="R26:BT27"/>
    <mergeCell ref="BU26:BX27"/>
    <mergeCell ref="CN28:EQ29"/>
    <mergeCell ref="EJ18:EQ18"/>
    <mergeCell ref="BU19:BX19"/>
    <mergeCell ref="R28:BT29"/>
    <mergeCell ref="BU28:BX29"/>
    <mergeCell ref="EN22:EQ23"/>
    <mergeCell ref="DC23:DF24"/>
    <mergeCell ref="DG23:DJ24"/>
    <mergeCell ref="DK23:DN24"/>
    <mergeCell ref="CE38:CM40"/>
    <mergeCell ref="CN38:CW40"/>
    <mergeCell ref="DC38:DK40"/>
    <mergeCell ref="DL38:DU40"/>
    <mergeCell ref="EE23:EH24"/>
    <mergeCell ref="EE21:EH22"/>
    <mergeCell ref="D40:M41"/>
    <mergeCell ref="N40:Q41"/>
    <mergeCell ref="R40:BT41"/>
    <mergeCell ref="BU40:BX41"/>
    <mergeCell ref="D36:M37"/>
    <mergeCell ref="N36:Q37"/>
    <mergeCell ref="R36:BT37"/>
    <mergeCell ref="BU36:BX37"/>
    <mergeCell ref="D38:M39"/>
    <mergeCell ref="N38:Q39"/>
    <mergeCell ref="R38:BT39"/>
    <mergeCell ref="BU38:BX39"/>
    <mergeCell ref="D30:M31"/>
    <mergeCell ref="N30:Q31"/>
    <mergeCell ref="R30:BT31"/>
    <mergeCell ref="BU30:BX31"/>
    <mergeCell ref="D34:M35"/>
    <mergeCell ref="DE57:DR60"/>
    <mergeCell ref="DS49:EJ52"/>
    <mergeCell ref="DS53:EJ56"/>
    <mergeCell ref="DS57:EJ60"/>
    <mergeCell ref="AJ59:AL60"/>
    <mergeCell ref="AM59:BT60"/>
    <mergeCell ref="BU59:BX60"/>
    <mergeCell ref="CN30:EQ35"/>
    <mergeCell ref="D46:M47"/>
    <mergeCell ref="N46:Q47"/>
    <mergeCell ref="R46:BT47"/>
    <mergeCell ref="BU46:BX47"/>
    <mergeCell ref="EL47:EO48"/>
    <mergeCell ref="EL49:ES50"/>
    <mergeCell ref="D42:M43"/>
    <mergeCell ref="N42:Q43"/>
    <mergeCell ref="R42:BT43"/>
    <mergeCell ref="BU42:BX43"/>
    <mergeCell ref="D44:M45"/>
    <mergeCell ref="N44:Q45"/>
    <mergeCell ref="R44:BT45"/>
    <mergeCell ref="BU44:BX45"/>
    <mergeCell ref="BU32:BX33"/>
    <mergeCell ref="N34:Q35"/>
    <mergeCell ref="BU57:BX58"/>
    <mergeCell ref="D59:K60"/>
    <mergeCell ref="L59:N60"/>
    <mergeCell ref="O59:Q60"/>
    <mergeCell ref="R59:T60"/>
    <mergeCell ref="U59:AI60"/>
    <mergeCell ref="BU56:BX56"/>
    <mergeCell ref="D57:K58"/>
    <mergeCell ref="L57:N58"/>
    <mergeCell ref="O57:Q58"/>
    <mergeCell ref="R57:T58"/>
    <mergeCell ref="U57:AI58"/>
    <mergeCell ref="AJ57:AL58"/>
    <mergeCell ref="AM57:BT58"/>
    <mergeCell ref="R34:BT35"/>
    <mergeCell ref="BU34:BX35"/>
    <mergeCell ref="D32:M33"/>
    <mergeCell ref="N32:Q33"/>
    <mergeCell ref="R32:BT33"/>
    <mergeCell ref="BU63:BX64"/>
    <mergeCell ref="D65:K66"/>
    <mergeCell ref="L65:N66"/>
    <mergeCell ref="O65:Q66"/>
    <mergeCell ref="R65:T66"/>
    <mergeCell ref="U65:AI66"/>
    <mergeCell ref="AJ65:AL66"/>
    <mergeCell ref="AJ61:AL62"/>
    <mergeCell ref="AM61:BT62"/>
    <mergeCell ref="BU61:BX62"/>
    <mergeCell ref="D63:K64"/>
    <mergeCell ref="L63:N64"/>
    <mergeCell ref="O63:Q64"/>
    <mergeCell ref="R63:T64"/>
    <mergeCell ref="U63:AI64"/>
    <mergeCell ref="AJ63:AL64"/>
    <mergeCell ref="AM63:BT64"/>
    <mergeCell ref="AM65:BT66"/>
    <mergeCell ref="BU65:BX66"/>
    <mergeCell ref="D61:K62"/>
    <mergeCell ref="L61:N62"/>
    <mergeCell ref="O61:Q62"/>
    <mergeCell ref="R61:T62"/>
    <mergeCell ref="U61:AI62"/>
    <mergeCell ref="D67:K68"/>
    <mergeCell ref="L67:N68"/>
    <mergeCell ref="O67:Q68"/>
    <mergeCell ref="R67:T68"/>
    <mergeCell ref="U67:AI68"/>
    <mergeCell ref="AJ67:AL68"/>
    <mergeCell ref="AM67:BT68"/>
    <mergeCell ref="BU67:BX68"/>
    <mergeCell ref="CN70:DA73"/>
    <mergeCell ref="D71:K72"/>
    <mergeCell ref="L71:N72"/>
    <mergeCell ref="O71:Q72"/>
    <mergeCell ref="R71:T72"/>
    <mergeCell ref="U71:AI72"/>
    <mergeCell ref="AJ71:AL72"/>
    <mergeCell ref="AM71:BT72"/>
    <mergeCell ref="BU71:BX72"/>
    <mergeCell ref="D69:K70"/>
    <mergeCell ref="L69:N70"/>
    <mergeCell ref="O69:Q70"/>
    <mergeCell ref="R69:T70"/>
    <mergeCell ref="U69:AI70"/>
    <mergeCell ref="AJ69:AL70"/>
    <mergeCell ref="AM69:BT70"/>
    <mergeCell ref="BU69:BX70"/>
    <mergeCell ref="CD70:CM73"/>
    <mergeCell ref="AM73:BT74"/>
    <mergeCell ref="BU73:BX74"/>
    <mergeCell ref="D75:K76"/>
    <mergeCell ref="L75:N76"/>
    <mergeCell ref="O75:Q76"/>
    <mergeCell ref="R75:T76"/>
    <mergeCell ref="U75:AI76"/>
    <mergeCell ref="AJ75:AL76"/>
    <mergeCell ref="AM75:BT76"/>
    <mergeCell ref="BU75:BX76"/>
    <mergeCell ref="D73:K74"/>
    <mergeCell ref="L73:N74"/>
    <mergeCell ref="O73:Q74"/>
    <mergeCell ref="R73:T74"/>
    <mergeCell ref="U73:AI74"/>
    <mergeCell ref="AJ73:AL74"/>
    <mergeCell ref="AM77:BT78"/>
    <mergeCell ref="BU77:BX78"/>
    <mergeCell ref="D79:K80"/>
    <mergeCell ref="L79:N80"/>
    <mergeCell ref="O79:Q80"/>
    <mergeCell ref="R79:T80"/>
    <mergeCell ref="U79:AI80"/>
    <mergeCell ref="AJ79:AL80"/>
    <mergeCell ref="AM79:BT80"/>
    <mergeCell ref="BU79:BX80"/>
    <mergeCell ref="D77:K78"/>
    <mergeCell ref="L77:N78"/>
    <mergeCell ref="O77:Q78"/>
    <mergeCell ref="R77:T78"/>
    <mergeCell ref="U77:AI78"/>
    <mergeCell ref="AJ77:AL78"/>
    <mergeCell ref="D83:K84"/>
    <mergeCell ref="L83:N84"/>
    <mergeCell ref="O83:Q84"/>
    <mergeCell ref="R83:T84"/>
    <mergeCell ref="U83:AI84"/>
    <mergeCell ref="AJ83:AL84"/>
    <mergeCell ref="AM83:BT84"/>
    <mergeCell ref="BU83:BX84"/>
    <mergeCell ref="AM81:BT82"/>
    <mergeCell ref="BU81:BX82"/>
    <mergeCell ref="D81:K82"/>
    <mergeCell ref="L81:N82"/>
    <mergeCell ref="O81:Q82"/>
    <mergeCell ref="R81:T82"/>
    <mergeCell ref="U81:AI82"/>
    <mergeCell ref="AJ81:AL82"/>
    <mergeCell ref="AM85:BT86"/>
    <mergeCell ref="BU85:BX86"/>
    <mergeCell ref="D87:K88"/>
    <mergeCell ref="L87:N88"/>
    <mergeCell ref="O87:Q88"/>
    <mergeCell ref="R87:T88"/>
    <mergeCell ref="U87:AI88"/>
    <mergeCell ref="AJ87:AL88"/>
    <mergeCell ref="AM87:BT88"/>
    <mergeCell ref="D85:K86"/>
    <mergeCell ref="L85:N86"/>
    <mergeCell ref="O85:Q86"/>
    <mergeCell ref="R85:T86"/>
    <mergeCell ref="U85:AI86"/>
    <mergeCell ref="AJ85:AL86"/>
    <mergeCell ref="BU87:BX88"/>
    <mergeCell ref="D89:K90"/>
    <mergeCell ref="L89:N90"/>
    <mergeCell ref="O89:Q90"/>
    <mergeCell ref="R89:T90"/>
    <mergeCell ref="U89:AI90"/>
    <mergeCell ref="AJ89:AL90"/>
    <mergeCell ref="AM89:BT90"/>
    <mergeCell ref="BU89:BX90"/>
    <mergeCell ref="AM91:BT92"/>
    <mergeCell ref="BU91:BX92"/>
    <mergeCell ref="D93:K94"/>
    <mergeCell ref="L93:N94"/>
    <mergeCell ref="O93:Q94"/>
    <mergeCell ref="R93:T94"/>
    <mergeCell ref="U93:AI94"/>
    <mergeCell ref="AJ93:AL94"/>
    <mergeCell ref="AM93:BT94"/>
    <mergeCell ref="BU93:BX94"/>
    <mergeCell ref="D91:K92"/>
    <mergeCell ref="L91:N92"/>
    <mergeCell ref="O91:Q92"/>
    <mergeCell ref="R91:T92"/>
    <mergeCell ref="U91:AI92"/>
    <mergeCell ref="AJ91:AL92"/>
    <mergeCell ref="AM95:BT96"/>
    <mergeCell ref="BU95:BX96"/>
    <mergeCell ref="D97:K98"/>
    <mergeCell ref="L97:N98"/>
    <mergeCell ref="O97:Q98"/>
    <mergeCell ref="R97:T98"/>
    <mergeCell ref="U97:AI98"/>
    <mergeCell ref="AJ97:AL98"/>
    <mergeCell ref="AM97:BT98"/>
    <mergeCell ref="BU97:BX98"/>
    <mergeCell ref="D95:K96"/>
    <mergeCell ref="L95:N96"/>
    <mergeCell ref="O95:Q96"/>
    <mergeCell ref="R95:T96"/>
    <mergeCell ref="U95:AI96"/>
    <mergeCell ref="AJ95:AL96"/>
    <mergeCell ref="AM99:BT100"/>
    <mergeCell ref="BU99:BX100"/>
    <mergeCell ref="D101:K102"/>
    <mergeCell ref="L101:N102"/>
    <mergeCell ref="O101:Q102"/>
    <mergeCell ref="R101:T102"/>
    <mergeCell ref="U101:AI102"/>
    <mergeCell ref="AJ101:AL102"/>
    <mergeCell ref="AM101:BT102"/>
    <mergeCell ref="BU101:BX102"/>
    <mergeCell ref="D99:K100"/>
    <mergeCell ref="L99:N100"/>
    <mergeCell ref="O99:Q100"/>
    <mergeCell ref="R99:T100"/>
    <mergeCell ref="U99:AI100"/>
    <mergeCell ref="AJ99:AL100"/>
    <mergeCell ref="BQ114:BT115"/>
    <mergeCell ref="BQ116:BT117"/>
    <mergeCell ref="BQ118:BT119"/>
    <mergeCell ref="BQ120:BT121"/>
    <mergeCell ref="DD101:EQ103"/>
    <mergeCell ref="D103:K104"/>
    <mergeCell ref="L103:N104"/>
    <mergeCell ref="O103:Q104"/>
    <mergeCell ref="R103:T104"/>
    <mergeCell ref="U103:AI104"/>
    <mergeCell ref="AJ103:AL104"/>
    <mergeCell ref="AM103:BT104"/>
    <mergeCell ref="BU103:BX104"/>
    <mergeCell ref="DZ93:EI96"/>
    <mergeCell ref="EJ93:EQ96"/>
    <mergeCell ref="CD103:CR105"/>
    <mergeCell ref="CD100:CR102"/>
    <mergeCell ref="CD51:CM58"/>
    <mergeCell ref="CN51:DA58"/>
    <mergeCell ref="CD93:CL96"/>
    <mergeCell ref="CM93:DA96"/>
    <mergeCell ref="DC93:DL96"/>
    <mergeCell ref="DM93:DV96"/>
    <mergeCell ref="CD83:CQ84"/>
    <mergeCell ref="DC70:DL73"/>
    <mergeCell ref="DM70:DV73"/>
    <mergeCell ref="DZ70:EG73"/>
    <mergeCell ref="CD77:CQ79"/>
    <mergeCell ref="CD80:CQ82"/>
    <mergeCell ref="EH70:EP73"/>
    <mergeCell ref="DD104:EQ106"/>
    <mergeCell ref="EP51:ES52"/>
    <mergeCell ref="EL53:EO54"/>
    <mergeCell ref="EP53:ES54"/>
    <mergeCell ref="EL51:EO52"/>
    <mergeCell ref="DE49:DR52"/>
    <mergeCell ref="DE53:DR56"/>
  </mergeCells>
  <phoneticPr fontId="4"/>
  <conditionalFormatting sqref="AM59 DC82 DM82 DY82:DY83 DZ82 DC19 DC21 DC23 DG21 DK21 DO21 DS19 DS21 DW21 EA21 EE21 EI26 CN19 CM44 CN30 R22:BL31 R46:BL47 AM61 AM63 AM65 AM67 AM69 AM71 AM73 AM75 AM77 AM79 AM81 AM83 AM85 AM87 AM89 AM91 AM93 AM95 AM97 AM99 AM101 AM103 DG23 DK23 DO23 DS23 DW23 EA23 EE23 EJ98 CP25:CP26 CN28 Q49:T49 O48:R48 CR62:DD62 DE63">
    <cfRule type="cellIs" dxfId="65" priority="73" operator="equal">
      <formula>0</formula>
    </cfRule>
  </conditionalFormatting>
  <conditionalFormatting sqref="DM98">
    <cfRule type="cellIs" dxfId="64" priority="72" operator="equal">
      <formula>0</formula>
    </cfRule>
  </conditionalFormatting>
  <conditionalFormatting sqref="DB82:DB83">
    <cfRule type="cellIs" dxfId="63" priority="71" operator="equal">
      <formula>0</formula>
    </cfRule>
  </conditionalFormatting>
  <conditionalFormatting sqref="R44:BL45">
    <cfRule type="cellIs" dxfId="62" priority="65" operator="equal">
      <formula>0</formula>
    </cfRule>
  </conditionalFormatting>
  <conditionalFormatting sqref="EI25">
    <cfRule type="cellIs" dxfId="61" priority="70" operator="equal">
      <formula>0</formula>
    </cfRule>
  </conditionalFormatting>
  <conditionalFormatting sqref="R36:BL37">
    <cfRule type="cellIs" dxfId="60" priority="61" operator="equal">
      <formula>0</formula>
    </cfRule>
  </conditionalFormatting>
  <conditionalFormatting sqref="R40:BL41">
    <cfRule type="cellIs" dxfId="59" priority="63" operator="equal">
      <formula>0</formula>
    </cfRule>
  </conditionalFormatting>
  <conditionalFormatting sqref="DM37:DP37">
    <cfRule type="cellIs" dxfId="58" priority="69" operator="equal">
      <formula>0</formula>
    </cfRule>
  </conditionalFormatting>
  <conditionalFormatting sqref="DM36:DP36">
    <cfRule type="cellIs" dxfId="57" priority="68" operator="equal">
      <formula>0</formula>
    </cfRule>
  </conditionalFormatting>
  <conditionalFormatting sqref="DC25:DE26 EG25:EH26">
    <cfRule type="cellIs" dxfId="56" priority="66" operator="equal">
      <formula>0</formula>
    </cfRule>
  </conditionalFormatting>
  <conditionalFormatting sqref="CI23:CM23">
    <cfRule type="cellIs" dxfId="55" priority="67" operator="equal">
      <formula>0</formula>
    </cfRule>
  </conditionalFormatting>
  <conditionalFormatting sqref="R42:BL43">
    <cfRule type="cellIs" dxfId="54" priority="64" operator="equal">
      <formula>0</formula>
    </cfRule>
  </conditionalFormatting>
  <conditionalFormatting sqref="CR25:CT26">
    <cfRule type="cellIs" dxfId="53" priority="58" operator="equal">
      <formula>0</formula>
    </cfRule>
  </conditionalFormatting>
  <conditionalFormatting sqref="R32:BL33">
    <cfRule type="cellIs" dxfId="52" priority="59" operator="equal">
      <formula>0</formula>
    </cfRule>
  </conditionalFormatting>
  <conditionalFormatting sqref="R38:BL39">
    <cfRule type="cellIs" dxfId="51" priority="62" operator="equal">
      <formula>0</formula>
    </cfRule>
  </conditionalFormatting>
  <conditionalFormatting sqref="R34:BL35">
    <cfRule type="cellIs" dxfId="50" priority="60" operator="equal">
      <formula>0</formula>
    </cfRule>
  </conditionalFormatting>
  <conditionalFormatting sqref="CR25:CT26">
    <cfRule type="cellIs" dxfId="49" priority="57" operator="equal">
      <formula>0</formula>
    </cfRule>
  </conditionalFormatting>
  <conditionalFormatting sqref="CC25:CE26">
    <cfRule type="cellIs" dxfId="48" priority="56" operator="equal">
      <formula>0</formula>
    </cfRule>
  </conditionalFormatting>
  <conditionalFormatting sqref="CG25:CI26">
    <cfRule type="cellIs" dxfId="47" priority="55" operator="equal">
      <formula>0</formula>
    </cfRule>
  </conditionalFormatting>
  <conditionalFormatting sqref="CC23:CE24">
    <cfRule type="cellIs" dxfId="46" priority="54" operator="equal">
      <formula>0</formula>
    </cfRule>
  </conditionalFormatting>
  <conditionalFormatting sqref="CG23:CI24">
    <cfRule type="cellIs" dxfId="45" priority="53" operator="equal">
      <formula>0</formula>
    </cfRule>
  </conditionalFormatting>
  <conditionalFormatting sqref="CN23:CN24">
    <cfRule type="cellIs" dxfId="44" priority="52" operator="equal">
      <formula>0</formula>
    </cfRule>
  </conditionalFormatting>
  <conditionalFormatting sqref="CO23:CQ24">
    <cfRule type="cellIs" dxfId="43" priority="51" operator="equal">
      <formula>0</formula>
    </cfRule>
  </conditionalFormatting>
  <conditionalFormatting sqref="CV24:CX24 CV23:CW23">
    <cfRule type="cellIs" dxfId="42" priority="49" operator="equal">
      <formula>0</formula>
    </cfRule>
  </conditionalFormatting>
  <conditionalFormatting sqref="CR23:CT24">
    <cfRule type="cellIs" dxfId="41" priority="50" operator="equal">
      <formula>0</formula>
    </cfRule>
  </conditionalFormatting>
  <conditionalFormatting sqref="C29">
    <cfRule type="cellIs" dxfId="40" priority="32" operator="equal">
      <formula>0</formula>
    </cfRule>
  </conditionalFormatting>
  <conditionalFormatting sqref="CC19:CC20">
    <cfRule type="cellIs" dxfId="39" priority="48" operator="equal">
      <formula>0</formula>
    </cfRule>
  </conditionalFormatting>
  <conditionalFormatting sqref="CC17:CC18">
    <cfRule type="cellIs" dxfId="38" priority="47" operator="equal">
      <formula>0</formula>
    </cfRule>
  </conditionalFormatting>
  <conditionalFormatting sqref="ED37:EG38">
    <cfRule type="cellIs" dxfId="37" priority="46" operator="equal">
      <formula>0</formula>
    </cfRule>
  </conditionalFormatting>
  <conditionalFormatting sqref="ED39:EG39">
    <cfRule type="cellIs" dxfId="36" priority="45" operator="equal">
      <formula>0</formula>
    </cfRule>
  </conditionalFormatting>
  <conditionalFormatting sqref="O17:R18">
    <cfRule type="cellIs" dxfId="35" priority="44" operator="equal">
      <formula>0</formula>
    </cfRule>
  </conditionalFormatting>
  <conditionalFormatting sqref="O19:R19">
    <cfRule type="cellIs" dxfId="34" priority="43" operator="equal">
      <formula>0</formula>
    </cfRule>
  </conditionalFormatting>
  <conditionalFormatting sqref="AN17:AP18">
    <cfRule type="cellIs" dxfId="33" priority="42" operator="equal">
      <formula>0</formula>
    </cfRule>
  </conditionalFormatting>
  <conditionalFormatting sqref="AM19:AP19">
    <cfRule type="cellIs" dxfId="32" priority="41" operator="equal">
      <formula>0</formula>
    </cfRule>
  </conditionalFormatting>
  <conditionalFormatting sqref="C32">
    <cfRule type="cellIs" dxfId="31" priority="29" operator="equal">
      <formula>0</formula>
    </cfRule>
  </conditionalFormatting>
  <conditionalFormatting sqref="AZ55:BC56">
    <cfRule type="cellIs" dxfId="30" priority="21" operator="equal">
      <formula>0</formula>
    </cfRule>
  </conditionalFormatting>
  <conditionalFormatting sqref="C33:C34">
    <cfRule type="cellIs" dxfId="29" priority="30" operator="equal">
      <formula>0</formula>
    </cfRule>
  </conditionalFormatting>
  <conditionalFormatting sqref="BO17:BR18">
    <cfRule type="cellIs" dxfId="28" priority="40" operator="equal">
      <formula>0</formula>
    </cfRule>
  </conditionalFormatting>
  <conditionalFormatting sqref="BO19:BR19">
    <cfRule type="cellIs" dxfId="27" priority="39" operator="equal">
      <formula>0</formula>
    </cfRule>
  </conditionalFormatting>
  <conditionalFormatting sqref="BY19:BY20">
    <cfRule type="cellIs" dxfId="26" priority="38" operator="equal">
      <formula>0</formula>
    </cfRule>
  </conditionalFormatting>
  <conditionalFormatting sqref="BY18">
    <cfRule type="cellIs" dxfId="25" priority="37" operator="equal">
      <formula>0</formula>
    </cfRule>
  </conditionalFormatting>
  <conditionalFormatting sqref="C21:C22">
    <cfRule type="cellIs" dxfId="24" priority="36" operator="equal">
      <formula>0</formula>
    </cfRule>
  </conditionalFormatting>
  <conditionalFormatting sqref="C20">
    <cfRule type="cellIs" dxfId="23" priority="35" operator="equal">
      <formula>0</formula>
    </cfRule>
  </conditionalFormatting>
  <conditionalFormatting sqref="C28">
    <cfRule type="cellIs" dxfId="22" priority="34" operator="equal">
      <formula>0</formula>
    </cfRule>
  </conditionalFormatting>
  <conditionalFormatting sqref="C30">
    <cfRule type="cellIs" dxfId="21" priority="33" operator="equal">
      <formula>0</formula>
    </cfRule>
  </conditionalFormatting>
  <conditionalFormatting sqref="C31">
    <cfRule type="cellIs" dxfId="20" priority="31" operator="equal">
      <formula>0</formula>
    </cfRule>
  </conditionalFormatting>
  <conditionalFormatting sqref="BK48:BN49">
    <cfRule type="cellIs" dxfId="19" priority="28" operator="equal">
      <formula>0</formula>
    </cfRule>
  </conditionalFormatting>
  <conditionalFormatting sqref="BM105:BP105">
    <cfRule type="cellIs" dxfId="18" priority="27" operator="equal">
      <formula>0</formula>
    </cfRule>
  </conditionalFormatting>
  <conditionalFormatting sqref="BM106:BP106">
    <cfRule type="cellIs" dxfId="17" priority="26" operator="equal">
      <formula>0</formula>
    </cfRule>
  </conditionalFormatting>
  <conditionalFormatting sqref="AO105:AR105">
    <cfRule type="cellIs" dxfId="16" priority="25" operator="equal">
      <formula>0</formula>
    </cfRule>
  </conditionalFormatting>
  <conditionalFormatting sqref="AO106:AR106">
    <cfRule type="cellIs" dxfId="15" priority="24" operator="equal">
      <formula>0</formula>
    </cfRule>
  </conditionalFormatting>
  <conditionalFormatting sqref="AB105:AE105">
    <cfRule type="cellIs" dxfId="14" priority="23" operator="equal">
      <formula>0</formula>
    </cfRule>
  </conditionalFormatting>
  <conditionalFormatting sqref="AB106:AE106">
    <cfRule type="cellIs" dxfId="13" priority="22" operator="equal">
      <formula>0</formula>
    </cfRule>
  </conditionalFormatting>
  <conditionalFormatting sqref="DE64">
    <cfRule type="cellIs" dxfId="12" priority="13" operator="equal">
      <formula>0</formula>
    </cfRule>
  </conditionalFormatting>
  <conditionalFormatting sqref="EK56 DB51:DD54 CN51 DB58:DD58 CN64 DB64:DD66 CR63:DD63 EK62:EQ62 EK58 EK60:EM60 EN55:EQ60 DJ63:EQ63 EL56:EM59">
    <cfRule type="cellIs" dxfId="11" priority="20" operator="equal">
      <formula>0</formula>
    </cfRule>
  </conditionalFormatting>
  <conditionalFormatting sqref="EK57 DB59:DD61 EK61:EQ61 EK59 EK49:EK54 DB55:DD57 EK55:EM55">
    <cfRule type="cellIs" dxfId="10" priority="19" operator="equal">
      <formula>0</formula>
    </cfRule>
  </conditionalFormatting>
  <conditionalFormatting sqref="EJ93">
    <cfRule type="cellIs" dxfId="9" priority="10" operator="equal">
      <formula>0</formula>
    </cfRule>
  </conditionalFormatting>
  <conditionalFormatting sqref="DB70:DB71">
    <cfRule type="cellIs" dxfId="8" priority="11" operator="equal">
      <formula>0</formula>
    </cfRule>
  </conditionalFormatting>
  <conditionalFormatting sqref="DC70 DM70 DY70:DY71 DZ70">
    <cfRule type="cellIs" dxfId="7" priority="12" operator="equal">
      <formula>0</formula>
    </cfRule>
  </conditionalFormatting>
  <conditionalFormatting sqref="DM93">
    <cfRule type="cellIs" dxfId="6" priority="9" operator="equal">
      <formula>0</formula>
    </cfRule>
  </conditionalFormatting>
  <conditionalFormatting sqref="DM61">
    <cfRule type="cellIs" dxfId="5" priority="8" operator="equal">
      <formula>0</formula>
    </cfRule>
  </conditionalFormatting>
  <conditionalFormatting sqref="DE61">
    <cfRule type="cellIs" dxfId="4" priority="7" operator="equal">
      <formula>0</formula>
    </cfRule>
  </conditionalFormatting>
  <conditionalFormatting sqref="DE53">
    <cfRule type="cellIs" dxfId="3" priority="5" operator="equal">
      <formula>0</formula>
    </cfRule>
  </conditionalFormatting>
  <conditionalFormatting sqref="DE57">
    <cfRule type="cellIs" dxfId="2" priority="3" operator="equal">
      <formula>0</formula>
    </cfRule>
  </conditionalFormatting>
  <conditionalFormatting sqref="DS53">
    <cfRule type="cellIs" dxfId="1" priority="2" operator="equal">
      <formula>0</formula>
    </cfRule>
  </conditionalFormatting>
  <conditionalFormatting sqref="DS57">
    <cfRule type="cellIs" dxfId="0" priority="1" operator="equal">
      <formula>0</formula>
    </cfRule>
  </conditionalFormatting>
  <printOptions horizontalCentered="1" verticalCentered="1"/>
  <pageMargins left="0.25" right="0.25" top="0.75" bottom="0.75" header="0.3" footer="0.3"/>
  <pageSetup paperSize="9" scale="25" orientation="landscape" r:id="rId1"/>
  <rowBreaks count="1" manualBreakCount="1">
    <brk id="21" max="149" man="1"/>
  </rowBreaks>
  <colBreaks count="1" manualBreakCount="1">
    <brk id="72" max="12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769008-99D5-4F92-9D67-D5B24FA09624}">
          <x14:formula1>
            <xm:f>【別表】自治体コード!$A$2:$A$48</xm:f>
          </x14:formula1>
          <xm:sqref>D11:M13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6134-EE1F-494B-B6A6-5CF0266AB68F}">
  <dimension ref="A1:B48"/>
  <sheetViews>
    <sheetView workbookViewId="0">
      <selection activeCell="D43" sqref="D43"/>
    </sheetView>
  </sheetViews>
  <sheetFormatPr defaultRowHeight="13.2"/>
  <cols>
    <col min="1" max="2" width="12.21875" customWidth="1"/>
  </cols>
  <sheetData>
    <row r="1" spans="1:2">
      <c r="A1" s="92" t="s">
        <v>616</v>
      </c>
      <c r="B1" s="92" t="s">
        <v>639</v>
      </c>
    </row>
    <row r="2" spans="1:2">
      <c r="A2" s="92" t="s">
        <v>617</v>
      </c>
      <c r="B2" s="92" t="s">
        <v>153</v>
      </c>
    </row>
    <row r="3" spans="1:2">
      <c r="A3" s="92" t="s">
        <v>154</v>
      </c>
      <c r="B3" s="92" t="s">
        <v>155</v>
      </c>
    </row>
    <row r="4" spans="1:2">
      <c r="A4" s="92" t="s">
        <v>618</v>
      </c>
      <c r="B4" s="92" t="s">
        <v>156</v>
      </c>
    </row>
    <row r="5" spans="1:2">
      <c r="A5" s="92" t="s">
        <v>619</v>
      </c>
      <c r="B5" s="92" t="s">
        <v>157</v>
      </c>
    </row>
    <row r="6" spans="1:2">
      <c r="A6" s="92" t="s">
        <v>158</v>
      </c>
      <c r="B6" s="92" t="s">
        <v>159</v>
      </c>
    </row>
    <row r="7" spans="1:2">
      <c r="A7" s="92" t="s">
        <v>161</v>
      </c>
      <c r="B7" s="92" t="s">
        <v>162</v>
      </c>
    </row>
    <row r="8" spans="1:2">
      <c r="A8" s="92" t="s">
        <v>163</v>
      </c>
      <c r="B8" s="92" t="s">
        <v>164</v>
      </c>
    </row>
    <row r="9" spans="1:2">
      <c r="A9" s="92" t="s">
        <v>620</v>
      </c>
      <c r="B9" s="92" t="s">
        <v>165</v>
      </c>
    </row>
    <row r="10" spans="1:2">
      <c r="A10" s="92" t="s">
        <v>621</v>
      </c>
      <c r="B10" s="92" t="s">
        <v>166</v>
      </c>
    </row>
    <row r="11" spans="1:2">
      <c r="A11" s="92" t="s">
        <v>167</v>
      </c>
      <c r="B11" s="92" t="s">
        <v>168</v>
      </c>
    </row>
    <row r="12" spans="1:2">
      <c r="A12" s="92" t="s">
        <v>594</v>
      </c>
      <c r="B12" s="92" t="s">
        <v>169</v>
      </c>
    </row>
    <row r="13" spans="1:2">
      <c r="A13" s="92" t="s">
        <v>622</v>
      </c>
      <c r="B13" s="92" t="s">
        <v>170</v>
      </c>
    </row>
    <row r="14" spans="1:2">
      <c r="A14" s="92" t="s">
        <v>171</v>
      </c>
      <c r="B14" s="92" t="s">
        <v>172</v>
      </c>
    </row>
    <row r="15" spans="1:2">
      <c r="A15" s="92" t="s">
        <v>173</v>
      </c>
      <c r="B15" s="92" t="s">
        <v>174</v>
      </c>
    </row>
    <row r="16" spans="1:2">
      <c r="A16" s="92" t="s">
        <v>623</v>
      </c>
      <c r="B16" s="92" t="s">
        <v>175</v>
      </c>
    </row>
    <row r="17" spans="1:2">
      <c r="A17" s="92" t="s">
        <v>176</v>
      </c>
      <c r="B17" s="92" t="s">
        <v>177</v>
      </c>
    </row>
    <row r="18" spans="1:2">
      <c r="A18" s="92" t="s">
        <v>624</v>
      </c>
      <c r="B18" s="92" t="s">
        <v>178</v>
      </c>
    </row>
    <row r="19" spans="1:2">
      <c r="A19" s="92" t="s">
        <v>179</v>
      </c>
      <c r="B19" s="92" t="s">
        <v>180</v>
      </c>
    </row>
    <row r="20" spans="1:2">
      <c r="A20" s="92" t="s">
        <v>181</v>
      </c>
      <c r="B20" s="92" t="s">
        <v>182</v>
      </c>
    </row>
    <row r="21" spans="1:2">
      <c r="A21" s="92" t="s">
        <v>625</v>
      </c>
      <c r="B21" s="92" t="s">
        <v>183</v>
      </c>
    </row>
    <row r="22" spans="1:2">
      <c r="A22" s="92" t="s">
        <v>184</v>
      </c>
      <c r="B22" s="92" t="s">
        <v>185</v>
      </c>
    </row>
    <row r="23" spans="1:2">
      <c r="A23" s="92" t="s">
        <v>186</v>
      </c>
      <c r="B23" s="92" t="s">
        <v>187</v>
      </c>
    </row>
    <row r="24" spans="1:2">
      <c r="A24" s="92" t="s">
        <v>626</v>
      </c>
      <c r="B24" s="92" t="s">
        <v>188</v>
      </c>
    </row>
    <row r="25" spans="1:2">
      <c r="A25" s="92" t="s">
        <v>627</v>
      </c>
      <c r="B25" s="92" t="s">
        <v>189</v>
      </c>
    </row>
    <row r="26" spans="1:2">
      <c r="A26" s="92" t="s">
        <v>628</v>
      </c>
      <c r="B26" s="92" t="s">
        <v>190</v>
      </c>
    </row>
    <row r="27" spans="1:2">
      <c r="A27" s="92" t="s">
        <v>629</v>
      </c>
      <c r="B27" s="92" t="s">
        <v>191</v>
      </c>
    </row>
    <row r="28" spans="1:2">
      <c r="A28" s="92" t="s">
        <v>192</v>
      </c>
      <c r="B28" s="92" t="s">
        <v>193</v>
      </c>
    </row>
    <row r="29" spans="1:2">
      <c r="A29" s="92" t="s">
        <v>630</v>
      </c>
      <c r="B29" s="92" t="s">
        <v>194</v>
      </c>
    </row>
    <row r="30" spans="1:2">
      <c r="A30" s="92" t="s">
        <v>195</v>
      </c>
      <c r="B30" s="92" t="s">
        <v>196</v>
      </c>
    </row>
    <row r="31" spans="1:2">
      <c r="A31" s="92" t="s">
        <v>197</v>
      </c>
      <c r="B31" s="92" t="s">
        <v>198</v>
      </c>
    </row>
    <row r="32" spans="1:2">
      <c r="A32" s="92" t="s">
        <v>554</v>
      </c>
      <c r="B32" s="92" t="s">
        <v>201</v>
      </c>
    </row>
    <row r="33" spans="1:2">
      <c r="A33" s="92" t="s">
        <v>202</v>
      </c>
      <c r="B33" s="92" t="s">
        <v>203</v>
      </c>
    </row>
    <row r="34" spans="1:2">
      <c r="A34" s="92" t="s">
        <v>631</v>
      </c>
      <c r="B34" s="92" t="s">
        <v>204</v>
      </c>
    </row>
    <row r="35" spans="1:2">
      <c r="A35" s="92" t="s">
        <v>632</v>
      </c>
      <c r="B35" s="92" t="s">
        <v>205</v>
      </c>
    </row>
    <row r="36" spans="1:2">
      <c r="A36" s="92" t="s">
        <v>206</v>
      </c>
      <c r="B36" s="92" t="s">
        <v>207</v>
      </c>
    </row>
    <row r="37" spans="1:2">
      <c r="A37" s="92" t="s">
        <v>633</v>
      </c>
      <c r="B37" s="92" t="s">
        <v>208</v>
      </c>
    </row>
    <row r="38" spans="1:2">
      <c r="A38" s="92" t="s">
        <v>591</v>
      </c>
      <c r="B38" s="92" t="s">
        <v>209</v>
      </c>
    </row>
    <row r="39" spans="1:2">
      <c r="A39" s="92" t="s">
        <v>210</v>
      </c>
      <c r="B39" s="92" t="s">
        <v>211</v>
      </c>
    </row>
    <row r="40" spans="1:2">
      <c r="A40" s="92" t="s">
        <v>583</v>
      </c>
      <c r="B40" s="92" t="s">
        <v>212</v>
      </c>
    </row>
    <row r="41" spans="1:2">
      <c r="A41" s="92" t="s">
        <v>634</v>
      </c>
      <c r="B41" s="92" t="s">
        <v>213</v>
      </c>
    </row>
    <row r="42" spans="1:2">
      <c r="A42" s="92" t="s">
        <v>214</v>
      </c>
      <c r="B42" s="92" t="s">
        <v>215</v>
      </c>
    </row>
    <row r="43" spans="1:2">
      <c r="A43" s="92" t="s">
        <v>635</v>
      </c>
      <c r="B43" s="92" t="s">
        <v>216</v>
      </c>
    </row>
    <row r="44" spans="1:2">
      <c r="A44" s="92" t="s">
        <v>218</v>
      </c>
      <c r="B44" s="92" t="s">
        <v>219</v>
      </c>
    </row>
    <row r="45" spans="1:2">
      <c r="A45" s="92" t="s">
        <v>221</v>
      </c>
      <c r="B45" s="92" t="s">
        <v>222</v>
      </c>
    </row>
    <row r="46" spans="1:2">
      <c r="A46" s="92" t="s">
        <v>636</v>
      </c>
      <c r="B46" s="92" t="s">
        <v>224</v>
      </c>
    </row>
    <row r="47" spans="1:2">
      <c r="A47" s="92" t="s">
        <v>637</v>
      </c>
      <c r="B47" s="92" t="s">
        <v>225</v>
      </c>
    </row>
    <row r="48" spans="1:2">
      <c r="A48" s="92" t="s">
        <v>638</v>
      </c>
      <c r="B48" s="92" t="s">
        <v>227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調査票①</vt:lpstr>
      <vt:lpstr>公開用シート（都道府県）</vt:lpstr>
      <vt:lpstr>【別表】自治体コード</vt:lpstr>
      <vt:lpstr>'公開用シート（都道府県）'!Print_Area</vt:lpstr>
      <vt:lpstr>調査票①!Print_Area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2022-02-18T07:54:16Z</cp:lastPrinted>
  <dcterms:created xsi:type="dcterms:W3CDTF">2019-05-27T09:52:46Z</dcterms:created>
  <dcterms:modified xsi:type="dcterms:W3CDTF">2023-03-30T02:40:50Z</dcterms:modified>
</cp:coreProperties>
</file>