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40　市町村税課\110【大分類】調査統計\010【中分類】市町村税の課税状況調\010【小分類】市町村税の課税状況調\R3年度\11 HP掲載\Excel対象原稿\"/>
    </mc:Choice>
  </mc:AlternateContent>
  <xr:revisionPtr revIDLastSave="0" documentId="13_ncr:1_{F46B65E0-2883-486D-B18D-65D473B7282E}" xr6:coauthVersionLast="36" xr6:coauthVersionMax="36" xr10:uidLastSave="{00000000-0000-0000-0000-000000000000}"/>
  <bookViews>
    <workbookView xWindow="-10" yWindow="110" windowWidth="8200" windowHeight="5520" tabRatio="857" xr2:uid="{00000000-000D-0000-FFFF-FFFF00000000}"/>
  </bookViews>
  <sheets>
    <sheet name="第2表1(1)" sheetId="29" r:id="rId1"/>
    <sheet name="第2表1(2)" sheetId="37" r:id="rId2"/>
    <sheet name="第2表1(3)" sheetId="34" r:id="rId3"/>
    <sheet name="第2表2(1)" sheetId="43" r:id="rId4"/>
    <sheet name="第2表2(1)(つづき)" sheetId="42" r:id="rId5"/>
    <sheet name="第2表2(2)" sheetId="44" r:id="rId6"/>
    <sheet name="第2表2(2)(つづき)" sheetId="45" r:id="rId7"/>
    <sheet name="第2表2(3)" sheetId="46" r:id="rId8"/>
    <sheet name="第2表2(3)(つづき)" sheetId="47" r:id="rId9"/>
  </sheets>
  <definedNames>
    <definedName name="Ａ" localSheetId="1">#REF!</definedName>
    <definedName name="Ａ">#REF!</definedName>
    <definedName name="Ｂ" localSheetId="1">#REF!</definedName>
    <definedName name="Ｂ">#REF!</definedName>
    <definedName name="Ｄ" localSheetId="1">#REF!</definedName>
    <definedName name="Ｄ">#REF!</definedName>
    <definedName name="計" localSheetId="1">'第2表1(2)'!#REF!</definedName>
    <definedName name="計" localSheetId="2">'第2表1(3)'!#REF!</definedName>
    <definedName name="計">'第2表1(1)'!#REF!</definedName>
    <definedName name="計２" localSheetId="1">'第2表1(2)'!#REF!</definedName>
    <definedName name="計２" localSheetId="2">'第2表1(3)'!#REF!</definedName>
    <definedName name="計２">'第2表1(1)'!#REF!</definedName>
    <definedName name="計３" localSheetId="1">'第2表1(2)'!#REF!</definedName>
    <definedName name="計３" localSheetId="2">'第2表1(3)'!#REF!</definedName>
    <definedName name="計３">'第2表1(1)'!#REF!</definedName>
    <definedName name="計４" localSheetId="1">'第2表1(2)'!#REF!</definedName>
    <definedName name="計４" localSheetId="2">'第2表1(3)'!#REF!</definedName>
    <definedName name="計４">'第2表1(1)'!#REF!</definedName>
    <definedName name="計５" localSheetId="1">'第2表1(2)'!#REF!</definedName>
    <definedName name="計５" localSheetId="2">'第2表1(3)'!#REF!</definedName>
    <definedName name="計５">'第2表1(1)'!#REF!</definedName>
    <definedName name="計６" localSheetId="1">'第2表1(2)'!#REF!</definedName>
    <definedName name="計６" localSheetId="2">'第2表1(3)'!#REF!</definedName>
    <definedName name="計６">'第2表1(1)'!#REF!</definedName>
    <definedName name="計一般1" localSheetId="1">#REF!</definedName>
    <definedName name="計一般1" localSheetId="2">#REF!</definedName>
    <definedName name="計一般1">#REF!</definedName>
    <definedName name="計一般2" localSheetId="1">#REF!</definedName>
    <definedName name="計一般2" localSheetId="2">#REF!</definedName>
    <definedName name="計一般2">#REF!</definedName>
    <definedName name="計計1" localSheetId="1">#REF!</definedName>
    <definedName name="計計1" localSheetId="2">#REF!</definedName>
    <definedName name="計計1">#REF!</definedName>
    <definedName name="計計2" localSheetId="1">#REF!</definedName>
    <definedName name="計計2" localSheetId="2">#REF!</definedName>
    <definedName name="計計2">#REF!</definedName>
    <definedName name="計退職1" localSheetId="1">#REF!</definedName>
    <definedName name="計退職1" localSheetId="2">#REF!</definedName>
    <definedName name="計退職1">#REF!</definedName>
    <definedName name="計退職2" localSheetId="1">#REF!</definedName>
    <definedName name="計退職2" localSheetId="2">#REF!</definedName>
    <definedName name="計退職2">#REF!</definedName>
    <definedName name="参考">#REF!</definedName>
    <definedName name="税一般1">#REF!</definedName>
    <definedName name="税一般2">#REF!</definedName>
    <definedName name="税計1" localSheetId="1">#REF!</definedName>
    <definedName name="税計1" localSheetId="2">#REF!</definedName>
    <definedName name="税計1">#REF!</definedName>
    <definedName name="税計2" localSheetId="1">#REF!</definedName>
    <definedName name="税計2" localSheetId="2">#REF!</definedName>
    <definedName name="税計2">#REF!</definedName>
    <definedName name="税退職1">#REF!</definedName>
    <definedName name="税退職2" localSheetId="1">#REF!</definedName>
    <definedName name="税退職2" localSheetId="2">#REF!</definedName>
    <definedName name="税退職2">#REF!</definedName>
    <definedName name="第3表4">#REF!</definedName>
    <definedName name="料一般1" localSheetId="1">#REF!</definedName>
    <definedName name="料一般1" localSheetId="2">#REF!</definedName>
    <definedName name="料一般1">#REF!</definedName>
    <definedName name="料一般2" localSheetId="1">#REF!</definedName>
    <definedName name="料一般2" localSheetId="2">#REF!</definedName>
    <definedName name="料一般2">#REF!</definedName>
    <definedName name="料計1" localSheetId="1">#REF!</definedName>
    <definedName name="料計1" localSheetId="2">#REF!</definedName>
    <definedName name="料計1">#REF!</definedName>
    <definedName name="料計2" localSheetId="1">#REF!</definedName>
    <definedName name="料計2" localSheetId="2">#REF!</definedName>
    <definedName name="料計2">#REF!</definedName>
    <definedName name="料退職1" localSheetId="1">#REF!</definedName>
    <definedName name="料退職1" localSheetId="2">#REF!</definedName>
    <definedName name="料退職1">#REF!</definedName>
    <definedName name="料退職2" localSheetId="1">#REF!</definedName>
    <definedName name="料退職2" localSheetId="2">#REF!</definedName>
    <definedName name="料退職2">#REF!</definedName>
  </definedNames>
  <calcPr calcId="191029"/>
</workbook>
</file>

<file path=xl/calcChain.xml><?xml version="1.0" encoding="utf-8"?>
<calcChain xmlns="http://schemas.openxmlformats.org/spreadsheetml/2006/main">
  <c r="Q15" i="47" l="1"/>
  <c r="O15" i="47"/>
  <c r="P15" i="47"/>
  <c r="N15" i="47"/>
  <c r="I15" i="47"/>
  <c r="D15" i="47"/>
  <c r="O12" i="47"/>
  <c r="P12" i="47"/>
  <c r="Q12" i="47"/>
  <c r="N12" i="47"/>
  <c r="I12" i="47"/>
  <c r="D12" i="47"/>
  <c r="O9" i="47"/>
  <c r="P9" i="47"/>
  <c r="Q9" i="47"/>
  <c r="N9" i="47"/>
  <c r="I9" i="47"/>
  <c r="D9" i="47"/>
  <c r="F17" i="47"/>
  <c r="F16" i="47"/>
  <c r="E17" i="47"/>
  <c r="E16" i="47"/>
  <c r="D17" i="47"/>
  <c r="D16" i="47"/>
  <c r="F10" i="47"/>
  <c r="F12" i="47" s="1"/>
  <c r="E10" i="47"/>
  <c r="D10" i="47"/>
  <c r="F7" i="47"/>
  <c r="F9" i="47" s="1"/>
  <c r="E7" i="47"/>
  <c r="E9" i="47" s="1"/>
  <c r="D7" i="47"/>
  <c r="E12" i="47"/>
  <c r="L17" i="47"/>
  <c r="L16" i="47"/>
  <c r="J15" i="47"/>
  <c r="L13" i="47"/>
  <c r="L15" i="47" s="1"/>
  <c r="K13" i="47"/>
  <c r="K15" i="47" s="1"/>
  <c r="J13" i="47"/>
  <c r="I13" i="47"/>
  <c r="K12" i="47"/>
  <c r="J12" i="47"/>
  <c r="K11" i="47"/>
  <c r="L11" i="47" s="1"/>
  <c r="J11" i="47"/>
  <c r="I11" i="47"/>
  <c r="L10" i="47"/>
  <c r="L12" i="47" s="1"/>
  <c r="K9" i="47"/>
  <c r="J9" i="47"/>
  <c r="L7" i="47"/>
  <c r="K8" i="47" s="1"/>
  <c r="D46" i="47"/>
  <c r="E28" i="47"/>
  <c r="G28" i="47"/>
  <c r="D28" i="47"/>
  <c r="D43" i="47"/>
  <c r="E25" i="47"/>
  <c r="G25" i="47"/>
  <c r="D25" i="47"/>
  <c r="D40" i="47"/>
  <c r="F13" i="47" l="1"/>
  <c r="F15" i="47" s="1"/>
  <c r="E13" i="47"/>
  <c r="E15" i="47" s="1"/>
  <c r="G17" i="47"/>
  <c r="D13" i="47"/>
  <c r="G16" i="47"/>
  <c r="G10" i="47"/>
  <c r="D11" i="47" s="1"/>
  <c r="F11" i="47"/>
  <c r="G7" i="47"/>
  <c r="F8" i="47" s="1"/>
  <c r="L9" i="47"/>
  <c r="I8" i="47"/>
  <c r="L8" i="47" s="1"/>
  <c r="J8" i="47"/>
  <c r="O46" i="47"/>
  <c r="P46" i="47"/>
  <c r="Q46" i="47"/>
  <c r="N46" i="47"/>
  <c r="I46" i="47"/>
  <c r="O43" i="47"/>
  <c r="P43" i="47"/>
  <c r="Q43" i="47"/>
  <c r="N43" i="47"/>
  <c r="I43" i="47"/>
  <c r="O40" i="47"/>
  <c r="P40" i="47"/>
  <c r="Q40" i="47"/>
  <c r="N40" i="47"/>
  <c r="I40" i="47"/>
  <c r="J43" i="47"/>
  <c r="K43" i="47"/>
  <c r="L43" i="47"/>
  <c r="J40" i="47"/>
  <c r="K40" i="47"/>
  <c r="L40" i="47"/>
  <c r="E43" i="47"/>
  <c r="F43" i="47"/>
  <c r="G43" i="47"/>
  <c r="E40" i="47"/>
  <c r="F40" i="47"/>
  <c r="G40" i="47"/>
  <c r="P48" i="47"/>
  <c r="O48" i="47"/>
  <c r="N48" i="47"/>
  <c r="L48" i="47"/>
  <c r="G48" i="47"/>
  <c r="P47" i="47"/>
  <c r="O47" i="47"/>
  <c r="O44" i="47" s="1"/>
  <c r="N47" i="47"/>
  <c r="N44" i="47" s="1"/>
  <c r="L47" i="47"/>
  <c r="L44" i="47" s="1"/>
  <c r="L46" i="47" s="1"/>
  <c r="G47" i="47"/>
  <c r="K44" i="47"/>
  <c r="K46" i="47" s="1"/>
  <c r="J44" i="47"/>
  <c r="J46" i="47" s="1"/>
  <c r="I44" i="47"/>
  <c r="F44" i="47"/>
  <c r="F46" i="47" s="1"/>
  <c r="E44" i="47"/>
  <c r="E46" i="47" s="1"/>
  <c r="D44" i="47"/>
  <c r="K42" i="47"/>
  <c r="P41" i="47"/>
  <c r="O41" i="47"/>
  <c r="N41" i="47"/>
  <c r="L41" i="47"/>
  <c r="G41" i="47"/>
  <c r="F42" i="47" s="1"/>
  <c r="P38" i="47"/>
  <c r="O38" i="47"/>
  <c r="N38" i="47"/>
  <c r="L38" i="47"/>
  <c r="I39" i="47" s="1"/>
  <c r="G38" i="47"/>
  <c r="E39" i="47" s="1"/>
  <c r="G33" i="47"/>
  <c r="G32" i="47"/>
  <c r="E29" i="47"/>
  <c r="E31" i="47" s="1"/>
  <c r="D29" i="47"/>
  <c r="D31" i="47" s="1"/>
  <c r="G26" i="47"/>
  <c r="G23" i="47"/>
  <c r="E24" i="47" s="1"/>
  <c r="P17" i="47"/>
  <c r="O17" i="47"/>
  <c r="P16" i="47"/>
  <c r="O16" i="47"/>
  <c r="N16" i="47"/>
  <c r="P7" i="47"/>
  <c r="F17" i="45"/>
  <c r="E17" i="45"/>
  <c r="D17" i="45"/>
  <c r="G17" i="45" s="1"/>
  <c r="F16" i="45"/>
  <c r="E16" i="45"/>
  <c r="O16" i="45" s="1"/>
  <c r="O13" i="45" s="1"/>
  <c r="O15" i="45" s="1"/>
  <c r="D16" i="45"/>
  <c r="F13" i="45"/>
  <c r="F15" i="45" s="1"/>
  <c r="D12" i="45"/>
  <c r="F10" i="45"/>
  <c r="F12" i="45" s="1"/>
  <c r="E10" i="45"/>
  <c r="G10" i="45" s="1"/>
  <c r="E12" i="45"/>
  <c r="D10" i="45"/>
  <c r="N10" i="45" s="1"/>
  <c r="N12" i="45" s="1"/>
  <c r="D9" i="45"/>
  <c r="D8" i="45"/>
  <c r="E7" i="45"/>
  <c r="E9" i="45" s="1"/>
  <c r="D7" i="45"/>
  <c r="P17" i="45"/>
  <c r="O17" i="45"/>
  <c r="L17" i="45"/>
  <c r="P16" i="45"/>
  <c r="L16" i="45"/>
  <c r="L15" i="45"/>
  <c r="K15" i="45"/>
  <c r="L13" i="45"/>
  <c r="K13" i="45"/>
  <c r="J13" i="45"/>
  <c r="J15" i="45" s="1"/>
  <c r="I13" i="45"/>
  <c r="I15" i="45" s="1"/>
  <c r="K12" i="45"/>
  <c r="J12" i="45"/>
  <c r="I12" i="45"/>
  <c r="L10" i="45"/>
  <c r="K11" i="45" s="1"/>
  <c r="K9" i="45"/>
  <c r="J9" i="45"/>
  <c r="I9" i="45"/>
  <c r="F9" i="45"/>
  <c r="P7" i="45"/>
  <c r="P9" i="45" s="1"/>
  <c r="L7" i="45"/>
  <c r="K8" i="45" s="1"/>
  <c r="D46" i="45"/>
  <c r="Q46" i="45"/>
  <c r="O46" i="45"/>
  <c r="P46" i="45"/>
  <c r="N46" i="45"/>
  <c r="I46" i="45"/>
  <c r="Q48" i="45"/>
  <c r="P48" i="45"/>
  <c r="O48" i="45"/>
  <c r="N48" i="45"/>
  <c r="P47" i="45"/>
  <c r="P44" i="45" s="1"/>
  <c r="O47" i="45"/>
  <c r="O44" i="45" s="1"/>
  <c r="N47" i="45"/>
  <c r="Q47" i="45" s="1"/>
  <c r="Q44" i="45" s="1"/>
  <c r="N44" i="45"/>
  <c r="Q41" i="45"/>
  <c r="O42" i="45" s="1"/>
  <c r="P41" i="45"/>
  <c r="P43" i="45" s="1"/>
  <c r="O41" i="45"/>
  <c r="O43" i="45" s="1"/>
  <c r="N41" i="45"/>
  <c r="N43" i="45" s="1"/>
  <c r="P38" i="45"/>
  <c r="O38" i="45"/>
  <c r="N38" i="45"/>
  <c r="Q38" i="45" s="1"/>
  <c r="Q40" i="45" s="1"/>
  <c r="J43" i="45"/>
  <c r="K43" i="45"/>
  <c r="L43" i="45"/>
  <c r="I43" i="45"/>
  <c r="J40" i="45"/>
  <c r="K40" i="45"/>
  <c r="L40" i="45"/>
  <c r="I40" i="45"/>
  <c r="L48" i="45"/>
  <c r="L47" i="45"/>
  <c r="K44" i="45"/>
  <c r="K46" i="45" s="1"/>
  <c r="J44" i="45"/>
  <c r="J46" i="45" s="1"/>
  <c r="I44" i="45"/>
  <c r="L41" i="45"/>
  <c r="L38" i="45"/>
  <c r="I39" i="45" s="1"/>
  <c r="G48" i="45"/>
  <c r="G47" i="45"/>
  <c r="F44" i="45"/>
  <c r="F46" i="45" s="1"/>
  <c r="E44" i="45"/>
  <c r="E46" i="45" s="1"/>
  <c r="D44" i="45"/>
  <c r="G43" i="45"/>
  <c r="F43" i="45"/>
  <c r="E43" i="45"/>
  <c r="D43" i="45"/>
  <c r="F42" i="45"/>
  <c r="E42" i="45"/>
  <c r="D42" i="45"/>
  <c r="G42" i="45" s="1"/>
  <c r="G13" i="47" l="1"/>
  <c r="G15" i="47" s="1"/>
  <c r="E11" i="47"/>
  <c r="G11" i="47" s="1"/>
  <c r="G12" i="47"/>
  <c r="E8" i="47"/>
  <c r="G9" i="47"/>
  <c r="D8" i="47"/>
  <c r="G8" i="47" s="1"/>
  <c r="P13" i="47"/>
  <c r="O13" i="47"/>
  <c r="G29" i="47"/>
  <c r="G31" i="47" s="1"/>
  <c r="D27" i="47"/>
  <c r="E27" i="47"/>
  <c r="O7" i="47"/>
  <c r="P44" i="47"/>
  <c r="Q48" i="47"/>
  <c r="I42" i="47"/>
  <c r="J42" i="47"/>
  <c r="K39" i="47"/>
  <c r="J39" i="47"/>
  <c r="L39" i="47" s="1"/>
  <c r="G44" i="47"/>
  <c r="G46" i="47" s="1"/>
  <c r="D42" i="47"/>
  <c r="Q41" i="47"/>
  <c r="Q16" i="47"/>
  <c r="P10" i="47"/>
  <c r="N17" i="47"/>
  <c r="Q17" i="47" s="1"/>
  <c r="F39" i="47"/>
  <c r="Q47" i="47"/>
  <c r="N7" i="47"/>
  <c r="D24" i="47"/>
  <c r="Q38" i="47"/>
  <c r="N39" i="47" s="1"/>
  <c r="E42" i="47"/>
  <c r="D39" i="47"/>
  <c r="N10" i="47"/>
  <c r="O10" i="47"/>
  <c r="P13" i="45"/>
  <c r="P15" i="45" s="1"/>
  <c r="D13" i="45"/>
  <c r="D15" i="45" s="1"/>
  <c r="N17" i="45"/>
  <c r="Q17" i="45" s="1"/>
  <c r="E13" i="45"/>
  <c r="E15" i="45" s="1"/>
  <c r="N16" i="45"/>
  <c r="N13" i="45" s="1"/>
  <c r="N15" i="45" s="1"/>
  <c r="G16" i="45"/>
  <c r="G13" i="45" s="1"/>
  <c r="G15" i="45" s="1"/>
  <c r="O10" i="45"/>
  <c r="O12" i="45" s="1"/>
  <c r="P10" i="45"/>
  <c r="P12" i="45" s="1"/>
  <c r="E11" i="45"/>
  <c r="O7" i="45"/>
  <c r="Q7" i="45" s="1"/>
  <c r="N8" i="45" s="1"/>
  <c r="N7" i="45"/>
  <c r="N9" i="45" s="1"/>
  <c r="G7" i="45"/>
  <c r="L12" i="45"/>
  <c r="I11" i="45"/>
  <c r="J11" i="45"/>
  <c r="I8" i="45"/>
  <c r="L9" i="45"/>
  <c r="J8" i="45"/>
  <c r="O39" i="45"/>
  <c r="P39" i="45"/>
  <c r="Q43" i="45"/>
  <c r="N42" i="45"/>
  <c r="O40" i="45"/>
  <c r="P42" i="45"/>
  <c r="N39" i="45"/>
  <c r="N40" i="45"/>
  <c r="P40" i="45"/>
  <c r="L44" i="45"/>
  <c r="L46" i="45" s="1"/>
  <c r="K42" i="45"/>
  <c r="I42" i="45"/>
  <c r="J42" i="45"/>
  <c r="J39" i="45"/>
  <c r="L39" i="45" s="1"/>
  <c r="K39" i="45"/>
  <c r="G44" i="45"/>
  <c r="G46" i="45" s="1"/>
  <c r="G40" i="45"/>
  <c r="F40" i="45"/>
  <c r="E40" i="45"/>
  <c r="D40" i="45"/>
  <c r="F39" i="45"/>
  <c r="E39" i="45"/>
  <c r="D39" i="45"/>
  <c r="G38" i="45"/>
  <c r="G41" i="45"/>
  <c r="G39" i="45"/>
  <c r="Q13" i="47" l="1"/>
  <c r="N13" i="47"/>
  <c r="Q44" i="47"/>
  <c r="L42" i="47"/>
  <c r="G42" i="47"/>
  <c r="N42" i="47"/>
  <c r="O42" i="47"/>
  <c r="P42" i="47"/>
  <c r="G39" i="47"/>
  <c r="Q7" i="47"/>
  <c r="Q10" i="47"/>
  <c r="P39" i="47"/>
  <c r="O39" i="47"/>
  <c r="Q16" i="45"/>
  <c r="Q13" i="45" s="1"/>
  <c r="Q15" i="45" s="1"/>
  <c r="Q10" i="45"/>
  <c r="O11" i="45" s="1"/>
  <c r="D11" i="45"/>
  <c r="G12" i="45"/>
  <c r="F11" i="45"/>
  <c r="O9" i="45"/>
  <c r="G9" i="45"/>
  <c r="E8" i="45"/>
  <c r="F8" i="45"/>
  <c r="G8" i="45"/>
  <c r="P8" i="45"/>
  <c r="O8" i="45"/>
  <c r="Q8" i="45" s="1"/>
  <c r="Q9" i="45"/>
  <c r="L8" i="45"/>
  <c r="L11" i="45"/>
  <c r="Q39" i="45"/>
  <c r="Q42" i="45"/>
  <c r="L42" i="45"/>
  <c r="G33" i="45"/>
  <c r="G32" i="45"/>
  <c r="E29" i="45"/>
  <c r="D29" i="45"/>
  <c r="G28" i="45"/>
  <c r="E28" i="45"/>
  <c r="D28" i="45"/>
  <c r="G26" i="45"/>
  <c r="E27" i="45" s="1"/>
  <c r="E25" i="45"/>
  <c r="D25" i="45"/>
  <c r="G23" i="45"/>
  <c r="G25" i="45" s="1"/>
  <c r="P11" i="47" l="1"/>
  <c r="O11" i="47"/>
  <c r="Q39" i="47"/>
  <c r="Q42" i="47"/>
  <c r="P8" i="47"/>
  <c r="O8" i="47"/>
  <c r="N8" i="47"/>
  <c r="N11" i="47"/>
  <c r="G11" i="45"/>
  <c r="P11" i="45"/>
  <c r="N11" i="45"/>
  <c r="Q12" i="45"/>
  <c r="G29" i="45"/>
  <c r="G31" i="45" s="1"/>
  <c r="D31" i="45"/>
  <c r="E31" i="45"/>
  <c r="D24" i="45"/>
  <c r="E24" i="45"/>
  <c r="D27" i="45"/>
  <c r="Q11" i="47" l="1"/>
  <c r="Q8" i="47"/>
  <c r="Q11" i="45"/>
  <c r="G10" i="42" l="1"/>
  <c r="G7" i="42"/>
  <c r="G16" i="42"/>
  <c r="E17" i="42"/>
  <c r="E16" i="42"/>
  <c r="D17" i="42"/>
  <c r="D16" i="42"/>
  <c r="E10" i="42"/>
  <c r="D10" i="42"/>
  <c r="E7" i="42"/>
  <c r="D7" i="42"/>
  <c r="D9" i="42" s="1"/>
  <c r="G33" i="42"/>
  <c r="G32" i="42"/>
  <c r="G29" i="42" s="1"/>
  <c r="G31" i="42" s="1"/>
  <c r="E29" i="42"/>
  <c r="E31" i="42" s="1"/>
  <c r="D29" i="42"/>
  <c r="D31" i="42" s="1"/>
  <c r="G28" i="42"/>
  <c r="E28" i="42"/>
  <c r="D28" i="42"/>
  <c r="E27" i="42"/>
  <c r="D27" i="42"/>
  <c r="G26" i="42"/>
  <c r="G25" i="42"/>
  <c r="E25" i="42"/>
  <c r="D25" i="42"/>
  <c r="E24" i="42"/>
  <c r="D24" i="42"/>
  <c r="G23" i="42"/>
  <c r="E13" i="42" l="1"/>
  <c r="D13" i="42"/>
  <c r="N17" i="42"/>
  <c r="O17" i="42"/>
  <c r="P17" i="42"/>
  <c r="O16" i="42"/>
  <c r="P16" i="42"/>
  <c r="N16" i="42"/>
  <c r="P12" i="42"/>
  <c r="K12" i="42"/>
  <c r="J12" i="42"/>
  <c r="I12" i="42"/>
  <c r="O10" i="42"/>
  <c r="O12" i="42" s="1"/>
  <c r="P10" i="42"/>
  <c r="N10" i="42"/>
  <c r="N12" i="42" s="1"/>
  <c r="K9" i="42"/>
  <c r="J9" i="42"/>
  <c r="I9" i="42"/>
  <c r="O7" i="42"/>
  <c r="O9" i="42" s="1"/>
  <c r="P7" i="42"/>
  <c r="P9" i="42" s="1"/>
  <c r="N7" i="42"/>
  <c r="N9" i="42" s="1"/>
  <c r="P13" i="42"/>
  <c r="P15" i="42" s="1"/>
  <c r="L17" i="42"/>
  <c r="L13" i="42" s="1"/>
  <c r="L15" i="42" s="1"/>
  <c r="L16" i="42"/>
  <c r="K13" i="42"/>
  <c r="K15" i="42" s="1"/>
  <c r="J13" i="42"/>
  <c r="J15" i="42" s="1"/>
  <c r="I13" i="42"/>
  <c r="I15" i="42" s="1"/>
  <c r="L10" i="42"/>
  <c r="J11" i="42" s="1"/>
  <c r="L7" i="42"/>
  <c r="K8" i="42" s="1"/>
  <c r="Q17" i="42" l="1"/>
  <c r="N13" i="42"/>
  <c r="N15" i="42" s="1"/>
  <c r="O13" i="42"/>
  <c r="O15" i="42" s="1"/>
  <c r="Q16" i="42"/>
  <c r="L12" i="42"/>
  <c r="L9" i="42"/>
  <c r="Q10" i="42"/>
  <c r="Q7" i="42"/>
  <c r="Q9" i="42" s="1"/>
  <c r="I11" i="42"/>
  <c r="K11" i="42"/>
  <c r="I8" i="42"/>
  <c r="J8" i="42"/>
  <c r="G17" i="42"/>
  <c r="E15" i="42"/>
  <c r="F13" i="42"/>
  <c r="F15" i="42" s="1"/>
  <c r="D15" i="42"/>
  <c r="E12" i="42"/>
  <c r="F12" i="42"/>
  <c r="D12" i="42"/>
  <c r="F11" i="42"/>
  <c r="E9" i="42"/>
  <c r="F9" i="42"/>
  <c r="I33" i="34"/>
  <c r="G33" i="34"/>
  <c r="E33" i="34"/>
  <c r="I21" i="37"/>
  <c r="I29" i="34"/>
  <c r="I32" i="34"/>
  <c r="I31" i="34"/>
  <c r="I30" i="34"/>
  <c r="G32" i="34"/>
  <c r="G31" i="34"/>
  <c r="G30" i="34"/>
  <c r="G29" i="34"/>
  <c r="E32" i="34"/>
  <c r="E31" i="34"/>
  <c r="E30" i="34"/>
  <c r="E29" i="34"/>
  <c r="I25" i="34"/>
  <c r="I22" i="34"/>
  <c r="I23" i="34"/>
  <c r="I21" i="34"/>
  <c r="G25" i="34"/>
  <c r="G22" i="34"/>
  <c r="E25" i="34"/>
  <c r="E22" i="34"/>
  <c r="I15" i="34"/>
  <c r="I16" i="34"/>
  <c r="I17" i="34"/>
  <c r="I14" i="34"/>
  <c r="I9" i="34"/>
  <c r="I10" i="34"/>
  <c r="I11" i="34"/>
  <c r="I12" i="34"/>
  <c r="I8" i="34"/>
  <c r="G17" i="34"/>
  <c r="G14" i="34"/>
  <c r="G10" i="34"/>
  <c r="E17" i="34"/>
  <c r="E14" i="34"/>
  <c r="E10" i="34"/>
  <c r="I33" i="37"/>
  <c r="I32" i="37"/>
  <c r="I30" i="37"/>
  <c r="I29" i="37"/>
  <c r="G33" i="37"/>
  <c r="G32" i="37"/>
  <c r="G31" i="37"/>
  <c r="G30" i="37"/>
  <c r="G29" i="37"/>
  <c r="E33" i="37"/>
  <c r="E32" i="37"/>
  <c r="E31" i="37"/>
  <c r="E30" i="37"/>
  <c r="E29" i="37"/>
  <c r="I23" i="37"/>
  <c r="I25" i="37" s="1"/>
  <c r="I22" i="37"/>
  <c r="G23" i="37"/>
  <c r="G25" i="37" s="1"/>
  <c r="G22" i="37"/>
  <c r="E25" i="37"/>
  <c r="E22" i="37"/>
  <c r="I15" i="37"/>
  <c r="I16" i="37"/>
  <c r="I17" i="37"/>
  <c r="I14" i="37"/>
  <c r="I9" i="37"/>
  <c r="I31" i="37" s="1"/>
  <c r="I10" i="37"/>
  <c r="I11" i="37"/>
  <c r="I12" i="37"/>
  <c r="I8" i="37"/>
  <c r="G17" i="37"/>
  <c r="G14" i="37"/>
  <c r="G10" i="37"/>
  <c r="E17" i="37"/>
  <c r="E14" i="37"/>
  <c r="E10" i="37"/>
  <c r="F8" i="42" l="1"/>
  <c r="G9" i="42"/>
  <c r="Q13" i="42"/>
  <c r="Q15" i="42" s="1"/>
  <c r="L11" i="42"/>
  <c r="N11" i="42"/>
  <c r="Q12" i="42"/>
  <c r="N8" i="42"/>
  <c r="P11" i="42"/>
  <c r="O11" i="42"/>
  <c r="O8" i="42"/>
  <c r="P8" i="42"/>
  <c r="L8" i="42"/>
  <c r="G13" i="42"/>
  <c r="G15" i="42" s="1"/>
  <c r="G12" i="42"/>
  <c r="D8" i="42"/>
  <c r="E8" i="42"/>
  <c r="D11" i="42"/>
  <c r="E11" i="42"/>
  <c r="Q8" i="42" l="1"/>
  <c r="Q11" i="42"/>
  <c r="G8" i="42"/>
  <c r="G11" i="42"/>
  <c r="I34" i="29" l="1"/>
  <c r="E34" i="29"/>
  <c r="I30" i="29"/>
  <c r="I33" i="29"/>
  <c r="I32" i="29"/>
  <c r="I31" i="29"/>
  <c r="G34" i="29"/>
  <c r="G33" i="29"/>
  <c r="G32" i="29"/>
  <c r="G31" i="29"/>
  <c r="G30" i="29"/>
  <c r="E33" i="29" l="1"/>
  <c r="E32" i="29"/>
  <c r="E31" i="29"/>
  <c r="E30" i="29"/>
  <c r="I26" i="29"/>
  <c r="I23" i="29"/>
  <c r="I24" i="29"/>
  <c r="I22" i="29"/>
  <c r="G26" i="29"/>
  <c r="G23" i="29"/>
  <c r="E26" i="29"/>
  <c r="E23" i="29"/>
  <c r="G15" i="29"/>
  <c r="G11" i="29"/>
  <c r="E11" i="29"/>
  <c r="I10" i="29" l="1"/>
  <c r="I11" i="29"/>
  <c r="I12" i="29"/>
  <c r="I13" i="29"/>
  <c r="I16" i="29"/>
  <c r="I17" i="29"/>
  <c r="I9" i="29"/>
  <c r="G18" i="29"/>
  <c r="I18" i="29" s="1"/>
  <c r="I15" i="29"/>
  <c r="E18" i="29"/>
  <c r="E15" i="29"/>
</calcChain>
</file>

<file path=xl/sharedStrings.xml><?xml version="1.0" encoding="utf-8"?>
<sst xmlns="http://schemas.openxmlformats.org/spreadsheetml/2006/main" count="1101" uniqueCount="193">
  <si>
    <t>世帯数</t>
  </si>
  <si>
    <t>世帯</t>
  </si>
  <si>
    <t>％</t>
  </si>
  <si>
    <t>人</t>
  </si>
  <si>
    <t>千円</t>
  </si>
  <si>
    <t>減額した均等割額</t>
  </si>
  <si>
    <t>減額した平等割額</t>
  </si>
  <si>
    <t>所得区分１</t>
    <rPh sb="0" eb="2">
      <t>ショトク</t>
    </rPh>
    <rPh sb="2" eb="4">
      <t>クブン</t>
    </rPh>
    <phoneticPr fontId="1"/>
  </si>
  <si>
    <t>所得区分２</t>
    <rPh sb="0" eb="2">
      <t>ショトク</t>
    </rPh>
    <rPh sb="2" eb="4">
      <t>クブン</t>
    </rPh>
    <phoneticPr fontId="1"/>
  </si>
  <si>
    <t>所得区分３</t>
    <rPh sb="0" eb="2">
      <t>ショトク</t>
    </rPh>
    <rPh sb="2" eb="4">
      <t>クブン</t>
    </rPh>
    <phoneticPr fontId="1"/>
  </si>
  <si>
    <t>７割</t>
    <rPh sb="1" eb="2">
      <t>ワリ</t>
    </rPh>
    <phoneticPr fontId="1"/>
  </si>
  <si>
    <t>５割</t>
    <rPh sb="1" eb="2">
      <t>ワリ</t>
    </rPh>
    <phoneticPr fontId="1"/>
  </si>
  <si>
    <t>２割</t>
    <rPh sb="1" eb="2">
      <t>ワリ</t>
    </rPh>
    <phoneticPr fontId="1"/>
  </si>
  <si>
    <t>６割</t>
    <rPh sb="1" eb="2">
      <t>ワリ</t>
    </rPh>
    <phoneticPr fontId="1"/>
  </si>
  <si>
    <t>４割</t>
    <rPh sb="1" eb="2">
      <t>ワリ</t>
    </rPh>
    <phoneticPr fontId="1"/>
  </si>
  <si>
    <t>計</t>
    <phoneticPr fontId="1"/>
  </si>
  <si>
    <t>国民健康保険税</t>
    <rPh sb="0" eb="2">
      <t>コクミン</t>
    </rPh>
    <rPh sb="2" eb="4">
      <t>ケンコウ</t>
    </rPh>
    <rPh sb="4" eb="7">
      <t>ホケンゼイ</t>
    </rPh>
    <phoneticPr fontId="1"/>
  </si>
  <si>
    <t>国民健康保険料</t>
    <rPh sb="0" eb="2">
      <t>コクミン</t>
    </rPh>
    <rPh sb="2" eb="4">
      <t>ケンコウ</t>
    </rPh>
    <rPh sb="4" eb="7">
      <t>ホケンリョウ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</si>
  <si>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</si>
  <si>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</si>
  <si>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－</t>
    <phoneticPr fontId="1"/>
  </si>
  <si>
    <t>１　課税（賦課）の実績等</t>
    <rPh sb="2" eb="4">
      <t>カゼイ</t>
    </rPh>
    <rPh sb="5" eb="7">
      <t>フカ</t>
    </rPh>
    <rPh sb="9" eb="11">
      <t>ジッセキ</t>
    </rPh>
    <rPh sb="11" eb="12">
      <t>トウ</t>
    </rPh>
    <phoneticPr fontId="1"/>
  </si>
  <si>
    <t>被保険者数</t>
  </si>
  <si>
    <t>所得割額</t>
  </si>
  <si>
    <t>資産割額</t>
  </si>
  <si>
    <t>その他</t>
  </si>
  <si>
    <t>－</t>
  </si>
  <si>
    <t>被保険者均等割額</t>
  </si>
  <si>
    <t>世帯別平等割額</t>
  </si>
  <si>
    <t>限度額該当世帯の割合</t>
  </si>
  <si>
    <t>限度額を超える額</t>
  </si>
  <si>
    <t xml:space="preserve"> ％</t>
  </si>
  <si>
    <t>円</t>
  </si>
  <si>
    <t>円</t>
    <rPh sb="0" eb="1">
      <t>エン</t>
    </rPh>
    <phoneticPr fontId="1"/>
  </si>
  <si>
    <t>一世帯当たり減額額</t>
  </si>
  <si>
    <t>G</t>
    <phoneticPr fontId="1"/>
  </si>
  <si>
    <t>L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</si>
  <si>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</si>
  <si>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</si>
  <si>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</si>
  <si>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</si>
  <si>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</si>
  <si>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</si>
  <si>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</si>
  <si>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T/G</t>
    <phoneticPr fontId="1"/>
  </si>
  <si>
    <t>U</t>
    <phoneticPr fontId="1"/>
  </si>
  <si>
    <t>U/N</t>
    <phoneticPr fontId="1"/>
  </si>
  <si>
    <t>N/G</t>
    <phoneticPr fontId="1"/>
  </si>
  <si>
    <t>N/L</t>
    <phoneticPr fontId="1"/>
  </si>
  <si>
    <t>R/L</t>
    <phoneticPr fontId="1"/>
  </si>
  <si>
    <t>S/G</t>
    <phoneticPr fontId="1"/>
  </si>
  <si>
    <t>V の世帯に属する被保険者数</t>
    <rPh sb="12" eb="13">
      <t>シャ</t>
    </rPh>
    <rPh sb="13" eb="14">
      <t>スウ</t>
    </rPh>
    <phoneticPr fontId="1"/>
  </si>
  <si>
    <t>２　減額対象となった世帯数等</t>
    <rPh sb="2" eb="4">
      <t>ゲンガク</t>
    </rPh>
    <rPh sb="4" eb="6">
      <t>タイショウ</t>
    </rPh>
    <rPh sb="10" eb="13">
      <t>セタイスウ</t>
    </rPh>
    <rPh sb="13" eb="14">
      <t>トウ</t>
    </rPh>
    <phoneticPr fontId="1"/>
  </si>
  <si>
    <t>X/V</t>
    <phoneticPr fontId="1"/>
  </si>
  <si>
    <t>　４　市町村合併に伴う不均一課税等により、地方税法等に規定する割合に合致しない場合がある。</t>
    <rPh sb="3" eb="6">
      <t>シチョウソン</t>
    </rPh>
    <rPh sb="6" eb="8">
      <t>ガッペイ</t>
    </rPh>
    <rPh sb="9" eb="10">
      <t>トモナ</t>
    </rPh>
    <rPh sb="11" eb="14">
      <t>フキンイツ</t>
    </rPh>
    <rPh sb="14" eb="16">
      <t>カゼイ</t>
    </rPh>
    <rPh sb="16" eb="17">
      <t>トウ</t>
    </rPh>
    <rPh sb="21" eb="23">
      <t>チホウ</t>
    </rPh>
    <rPh sb="23" eb="25">
      <t>ゼイホウ</t>
    </rPh>
    <rPh sb="25" eb="26">
      <t>トウ</t>
    </rPh>
    <rPh sb="27" eb="29">
      <t>キテイ</t>
    </rPh>
    <rPh sb="31" eb="33">
      <t>ワリアイ</t>
    </rPh>
    <rPh sb="34" eb="36">
      <t>ガッチ</t>
    </rPh>
    <rPh sb="39" eb="41">
      <t>バアイ</t>
    </rPh>
    <phoneticPr fontId="1"/>
  </si>
  <si>
    <t>（その１　基礎課税（賦課）額）</t>
    <phoneticPr fontId="1"/>
  </si>
  <si>
    <t>(その２　課税（賦課）限度額で課税（賦課）された世帯数等)</t>
    <phoneticPr fontId="1"/>
  </si>
  <si>
    <t>(その３　一世帯当たり基礎課税（賦課）額等)</t>
    <phoneticPr fontId="1"/>
  </si>
  <si>
    <t>応能割額</t>
    <phoneticPr fontId="1"/>
  </si>
  <si>
    <t>応益割額</t>
    <phoneticPr fontId="1"/>
  </si>
  <si>
    <t>計　R+S</t>
    <rPh sb="0" eb="1">
      <t>ケイ</t>
    </rPh>
    <phoneticPr fontId="1"/>
  </si>
  <si>
    <t>計　O+P+Q</t>
    <rPh sb="0" eb="1">
      <t>ケイ</t>
    </rPh>
    <phoneticPr fontId="1"/>
  </si>
  <si>
    <t>内　　　訳</t>
    <rPh sb="0" eb="1">
      <t>ナイ</t>
    </rPh>
    <rPh sb="4" eb="5">
      <t>ヤク</t>
    </rPh>
    <phoneticPr fontId="1"/>
  </si>
  <si>
    <t>一世帯当たり基礎課税（賦課）額</t>
    <phoneticPr fontId="1"/>
  </si>
  <si>
    <t>被保険者一人当たり均等割額</t>
    <phoneticPr fontId="1"/>
  </si>
  <si>
    <t>一世帯当たり平等割額</t>
    <rPh sb="9" eb="10">
      <t>ガク</t>
    </rPh>
    <phoneticPr fontId="1"/>
  </si>
  <si>
    <t>１　課税（賦課）の実績等（つづき）</t>
    <rPh sb="2" eb="4">
      <t>カゼイ</t>
    </rPh>
    <rPh sb="5" eb="7">
      <t>フカ</t>
    </rPh>
    <rPh sb="9" eb="11">
      <t>ジッセキ</t>
    </rPh>
    <rPh sb="11" eb="12">
      <t>トウ</t>
    </rPh>
    <phoneticPr fontId="1"/>
  </si>
  <si>
    <t>（その１　介護納付金課税（賦課）額）</t>
    <rPh sb="5" eb="7">
      <t>カイゴ</t>
    </rPh>
    <rPh sb="7" eb="10">
      <t>ノウフキン</t>
    </rPh>
    <phoneticPr fontId="1"/>
  </si>
  <si>
    <t>(その３　一世帯当たり介護納付金課税（賦課）額等)</t>
    <rPh sb="11" eb="13">
      <t>カイゴ</t>
    </rPh>
    <rPh sb="13" eb="16">
      <t>ノウフキン</t>
    </rPh>
    <phoneticPr fontId="1"/>
  </si>
  <si>
    <t>減額する割合別市町村数</t>
    <rPh sb="4" eb="6">
      <t>ワリアイ</t>
    </rPh>
    <rPh sb="6" eb="7">
      <t>ベツ</t>
    </rPh>
    <rPh sb="7" eb="10">
      <t>シチョウソン</t>
    </rPh>
    <rPh sb="10" eb="11">
      <t>スウ</t>
    </rPh>
    <phoneticPr fontId="1"/>
  </si>
  <si>
    <t>（その１　減額対象となった世帯数等（７割減額採用団体））</t>
    <rPh sb="19" eb="20">
      <t>ワリ</t>
    </rPh>
    <rPh sb="20" eb="22">
      <t>ゲンガク</t>
    </rPh>
    <rPh sb="22" eb="24">
      <t>サイヨウ</t>
    </rPh>
    <rPh sb="24" eb="26">
      <t>ダンタイ</t>
    </rPh>
    <phoneticPr fontId="1"/>
  </si>
  <si>
    <t>（その２　減額対象となった世帯数等（６割減額採用団体））</t>
    <rPh sb="19" eb="20">
      <t>ワリ</t>
    </rPh>
    <rPh sb="20" eb="22">
      <t>ゲンガク</t>
    </rPh>
    <rPh sb="22" eb="24">
      <t>サイヨウ</t>
    </rPh>
    <rPh sb="24" eb="26">
      <t>ダンタイ</t>
    </rPh>
    <phoneticPr fontId="1"/>
  </si>
  <si>
    <t>（その３　減額対象となった世帯数等（合計））</t>
    <rPh sb="18" eb="20">
      <t>ゴウケイ</t>
    </rPh>
    <phoneticPr fontId="1"/>
  </si>
  <si>
    <t>注１　所得区分１ ＝ 所得 ≦ 33万円</t>
    <rPh sb="3" eb="5">
      <t>ショトク</t>
    </rPh>
    <rPh sb="5" eb="7">
      <t>クブン</t>
    </rPh>
    <rPh sb="11" eb="13">
      <t>ショトク</t>
    </rPh>
    <rPh sb="18" eb="20">
      <t>マンエン</t>
    </rPh>
    <phoneticPr fontId="1"/>
  </si>
  <si>
    <t>区　　　　　分</t>
    <rPh sb="0" eb="1">
      <t>ク</t>
    </rPh>
    <rPh sb="6" eb="7">
      <t>ブン</t>
    </rPh>
    <phoneticPr fontId="1"/>
  </si>
  <si>
    <t>減額前の課税（賦課）額に対する</t>
    <phoneticPr fontId="1"/>
  </si>
  <si>
    <t>構　成　比</t>
    <rPh sb="0" eb="1">
      <t>カマエ</t>
    </rPh>
    <rPh sb="2" eb="3">
      <t>シゲル</t>
    </rPh>
    <rPh sb="4" eb="5">
      <t>ヒ</t>
    </rPh>
    <phoneticPr fontId="1"/>
  </si>
  <si>
    <t>構　成　比</t>
    <phoneticPr fontId="1"/>
  </si>
  <si>
    <t>(1)　基礎課税（賦課）額</t>
    <phoneticPr fontId="1"/>
  </si>
  <si>
    <t>(1)　基礎課税（賦課）額</t>
    <rPh sb="4" eb="6">
      <t>キソ</t>
    </rPh>
    <rPh sb="6" eb="8">
      <t>カゼイ</t>
    </rPh>
    <phoneticPr fontId="1"/>
  </si>
  <si>
    <t>(2)　後期高齢者支援金等課税（賦課）額</t>
    <rPh sb="4" eb="6">
      <t>コウキ</t>
    </rPh>
    <rPh sb="6" eb="9">
      <t>コウレイシャ</t>
    </rPh>
    <rPh sb="9" eb="12">
      <t>シエンキン</t>
    </rPh>
    <rPh sb="12" eb="13">
      <t>トウ</t>
    </rPh>
    <phoneticPr fontId="1"/>
  </si>
  <si>
    <t>（その１　後期高齢者支援金等課税（賦課）額）</t>
    <rPh sb="5" eb="7">
      <t>コウキ</t>
    </rPh>
    <rPh sb="7" eb="10">
      <t>コウレイシャ</t>
    </rPh>
    <rPh sb="10" eb="13">
      <t>シエンキン</t>
    </rPh>
    <rPh sb="13" eb="14">
      <t>トウ</t>
    </rPh>
    <phoneticPr fontId="1"/>
  </si>
  <si>
    <t>(その３　一世帯当たり後期高齢者支援金等課税（賦課）額等)</t>
    <rPh sb="11" eb="13">
      <t>コウキ</t>
    </rPh>
    <rPh sb="13" eb="16">
      <t>コウレイシャ</t>
    </rPh>
    <rPh sb="16" eb="19">
      <t>シエンキン</t>
    </rPh>
    <rPh sb="19" eb="20">
      <t>トウ</t>
    </rPh>
    <phoneticPr fontId="1"/>
  </si>
  <si>
    <t>減額対象世帯の割合　</t>
    <phoneticPr fontId="1"/>
  </si>
  <si>
    <t>減額対象被保険者の割合　</t>
    <phoneticPr fontId="1"/>
  </si>
  <si>
    <t>N</t>
    <phoneticPr fontId="1"/>
  </si>
  <si>
    <t>応能割額</t>
    <phoneticPr fontId="1"/>
  </si>
  <si>
    <t>O</t>
    <phoneticPr fontId="1"/>
  </si>
  <si>
    <t>P</t>
    <phoneticPr fontId="1"/>
  </si>
  <si>
    <t>Q</t>
    <phoneticPr fontId="1"/>
  </si>
  <si>
    <t>応益割額</t>
    <phoneticPr fontId="1"/>
  </si>
  <si>
    <t>R</t>
    <phoneticPr fontId="1"/>
  </si>
  <si>
    <t>S</t>
    <phoneticPr fontId="1"/>
  </si>
  <si>
    <t>被保険者一人当たり均等割額</t>
    <phoneticPr fontId="1"/>
  </si>
  <si>
    <t>T</t>
    <phoneticPr fontId="1"/>
  </si>
  <si>
    <t>T/G</t>
    <phoneticPr fontId="1"/>
  </si>
  <si>
    <t>U</t>
    <phoneticPr fontId="1"/>
  </si>
  <si>
    <t>U/N</t>
    <phoneticPr fontId="1"/>
  </si>
  <si>
    <t>N/G</t>
    <phoneticPr fontId="1"/>
  </si>
  <si>
    <t>S/G</t>
    <phoneticPr fontId="1"/>
  </si>
  <si>
    <t>X/V</t>
    <phoneticPr fontId="1"/>
  </si>
  <si>
    <t>(3)　介護納付金課税（賦課）額</t>
    <phoneticPr fontId="1"/>
  </si>
  <si>
    <t>課税（賦課）額　O+P+Q+R+S</t>
    <phoneticPr fontId="1"/>
  </si>
  <si>
    <t>J</t>
    <phoneticPr fontId="1"/>
  </si>
  <si>
    <t>課税（賦課）額に対する限度額を</t>
    <phoneticPr fontId="1"/>
  </si>
  <si>
    <t>超える額の割合</t>
    <phoneticPr fontId="1"/>
  </si>
  <si>
    <t>保険税</t>
    <phoneticPr fontId="1"/>
  </si>
  <si>
    <t>保険料</t>
    <rPh sb="2" eb="3">
      <t>リョウ</t>
    </rPh>
    <phoneticPr fontId="1"/>
  </si>
  <si>
    <t>区　　　分</t>
    <rPh sb="0" eb="1">
      <t>ク</t>
    </rPh>
    <rPh sb="4" eb="5">
      <t>ブン</t>
    </rPh>
    <phoneticPr fontId="1"/>
  </si>
  <si>
    <t>被保険者一人当たり基礎課税（賦課）額　　　</t>
    <phoneticPr fontId="1"/>
  </si>
  <si>
    <t>G</t>
  </si>
  <si>
    <t>超える額の割合</t>
    <phoneticPr fontId="1"/>
  </si>
  <si>
    <t>課税（賦課）額に対する限度額を</t>
    <phoneticPr fontId="1"/>
  </si>
  <si>
    <t>所得区分１</t>
    <phoneticPr fontId="1"/>
  </si>
  <si>
    <t>所得区分２</t>
    <phoneticPr fontId="1"/>
  </si>
  <si>
    <t>所得区分３</t>
    <phoneticPr fontId="1"/>
  </si>
  <si>
    <t>７割</t>
    <phoneticPr fontId="1"/>
  </si>
  <si>
    <t>５割</t>
    <phoneticPr fontId="1"/>
  </si>
  <si>
    <t>２割</t>
    <phoneticPr fontId="1"/>
  </si>
  <si>
    <t>減額した額</t>
    <phoneticPr fontId="1"/>
  </si>
  <si>
    <t>　</t>
    <phoneticPr fontId="1"/>
  </si>
  <si>
    <t>　</t>
    <phoneticPr fontId="1"/>
  </si>
  <si>
    <t xml:space="preserve">減額した額の割合  </t>
    <phoneticPr fontId="1"/>
  </si>
  <si>
    <t>Y　</t>
    <phoneticPr fontId="1"/>
  </si>
  <si>
    <t>Z　</t>
    <phoneticPr fontId="1"/>
  </si>
  <si>
    <t>W/L　</t>
    <phoneticPr fontId="1"/>
  </si>
  <si>
    <t>減額した額の割合 　　 X/(N+X)</t>
    <phoneticPr fontId="1"/>
  </si>
  <si>
    <t>W　</t>
    <phoneticPr fontId="1"/>
  </si>
  <si>
    <t>V/G　</t>
    <phoneticPr fontId="1"/>
  </si>
  <si>
    <t>V　</t>
    <phoneticPr fontId="1"/>
  </si>
  <si>
    <t>X/(N+X)　</t>
    <phoneticPr fontId="1"/>
  </si>
  <si>
    <t>　Y+Z　X　</t>
    <phoneticPr fontId="1"/>
  </si>
  <si>
    <t>Y+Z　X　</t>
    <phoneticPr fontId="1"/>
  </si>
  <si>
    <t>計</t>
    <rPh sb="0" eb="1">
      <t>ケイ</t>
    </rPh>
    <phoneticPr fontId="1"/>
  </si>
  <si>
    <t>(1)　基礎課税（賦課）額（つづき）</t>
    <rPh sb="4" eb="6">
      <t>キソ</t>
    </rPh>
    <rPh sb="6" eb="8">
      <t>カゼイ</t>
    </rPh>
    <phoneticPr fontId="1"/>
  </si>
  <si>
    <t>(2)　後期高齢者支援金等課税（賦課）額（つづき）</t>
    <rPh sb="4" eb="6">
      <t>コウキ</t>
    </rPh>
    <rPh sb="6" eb="9">
      <t>コウレイシャ</t>
    </rPh>
    <rPh sb="9" eb="12">
      <t>シエンキン</t>
    </rPh>
    <rPh sb="12" eb="13">
      <t>トウ</t>
    </rPh>
    <phoneticPr fontId="1"/>
  </si>
  <si>
    <t>(3)　介護納付金課税（賦課）額（つづき）</t>
    <phoneticPr fontId="1"/>
  </si>
  <si>
    <t>合　計</t>
    <rPh sb="0" eb="1">
      <t>ゴウ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</si>
  <si>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</si>
  <si>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</si>
  <si>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千円</t>
    <rPh sb="0" eb="2">
      <t>センエン</t>
    </rPh>
    <phoneticPr fontId="1"/>
  </si>
  <si>
    <t>Z　</t>
    <phoneticPr fontId="1"/>
  </si>
  <si>
    <t>Z　</t>
    <phoneticPr fontId="1"/>
  </si>
  <si>
    <t>W/J</t>
    <phoneticPr fontId="1"/>
  </si>
  <si>
    <t>W/J　</t>
    <phoneticPr fontId="1"/>
  </si>
  <si>
    <t>国民健康保険税</t>
    <rPh sb="0" eb="2">
      <t>コクミン</t>
    </rPh>
    <rPh sb="2" eb="4">
      <t>ケンコウ</t>
    </rPh>
    <rPh sb="4" eb="7">
      <t>ホケンゼイ</t>
    </rPh>
    <phoneticPr fontId="1"/>
  </si>
  <si>
    <t>国民健康保険料</t>
    <rPh sb="0" eb="2">
      <t>コクミン</t>
    </rPh>
    <rPh sb="2" eb="4">
      <t>ケンコウ</t>
    </rPh>
    <rPh sb="4" eb="6">
      <t>ホケン</t>
    </rPh>
    <phoneticPr fontId="1"/>
  </si>
  <si>
    <t>区　　　分</t>
    <phoneticPr fontId="1"/>
  </si>
  <si>
    <t>３割</t>
    <rPh sb="1" eb="2">
      <t>ワリ</t>
    </rPh>
    <phoneticPr fontId="1"/>
  </si>
  <si>
    <t xml:space="preserve">第２表　国民健康保険税（料）額の実績等に関する調 </t>
    <rPh sb="14" eb="15">
      <t>ガク</t>
    </rPh>
    <rPh sb="16" eb="18">
      <t>ジッセキ</t>
    </rPh>
    <rPh sb="18" eb="19">
      <t>トウ</t>
    </rPh>
    <phoneticPr fontId="1"/>
  </si>
  <si>
    <t>一世帯当たり後期高齢者支援金等課税（賦課）額</t>
    <rPh sb="6" eb="8">
      <t>コウキ</t>
    </rPh>
    <rPh sb="8" eb="11">
      <t>コウレイシャ</t>
    </rPh>
    <rPh sb="11" eb="14">
      <t>シエンキン</t>
    </rPh>
    <rPh sb="14" eb="15">
      <t>トウ</t>
    </rPh>
    <rPh sb="15" eb="17">
      <t>カゼイ</t>
    </rPh>
    <phoneticPr fontId="1"/>
  </si>
  <si>
    <t>被保険者一人当たり後期高齢者支援金等課税（賦課）額　　　　　　</t>
    <phoneticPr fontId="1"/>
  </si>
  <si>
    <t>一世帯当たり介護納付金課税（賦課）額</t>
    <rPh sb="6" eb="8">
      <t>カイゴ</t>
    </rPh>
    <rPh sb="8" eb="11">
      <t>ノウフキン</t>
    </rPh>
    <phoneticPr fontId="1"/>
  </si>
  <si>
    <t>被保険者一人当たり介護納付金課税（賦課）額</t>
    <phoneticPr fontId="1"/>
  </si>
  <si>
    <t>N/J</t>
    <phoneticPr fontId="1"/>
  </si>
  <si>
    <t>R/J</t>
    <phoneticPr fontId="1"/>
  </si>
  <si>
    <t>２　減額対象となった世帯数等（つづき）</t>
    <rPh sb="2" eb="4">
      <t>ゲンガク</t>
    </rPh>
    <rPh sb="4" eb="6">
      <t>タイショウ</t>
    </rPh>
    <rPh sb="10" eb="13">
      <t>セタイスウ</t>
    </rPh>
    <rPh sb="13" eb="14">
      <t>トウ</t>
    </rPh>
    <phoneticPr fontId="1"/>
  </si>
  <si>
    <t>％</t>
    <phoneticPr fontId="1"/>
  </si>
  <si>
    <t>保険税</t>
    <phoneticPr fontId="1"/>
  </si>
  <si>
    <t>保険税</t>
    <phoneticPr fontId="1"/>
  </si>
  <si>
    <t>保険税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</si>
  <si>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</si>
  <si>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</si>
  <si>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</si>
  <si>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</si>
  <si>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</si>
  <si>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</si>
  <si>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</si>
  <si>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</si>
  <si>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６割</t>
    <phoneticPr fontId="1"/>
  </si>
  <si>
    <t>６割</t>
    <phoneticPr fontId="1"/>
  </si>
  <si>
    <t>４割</t>
    <phoneticPr fontId="1"/>
  </si>
  <si>
    <t>－</t>
    <phoneticPr fontId="1"/>
  </si>
  <si>
    <t>％</t>
    <phoneticPr fontId="1"/>
  </si>
  <si>
    <t>％</t>
    <phoneticPr fontId="1"/>
  </si>
  <si>
    <t>所得区分３</t>
    <phoneticPr fontId="1"/>
  </si>
  <si>
    <t>－</t>
    <phoneticPr fontId="1"/>
  </si>
  <si>
    <t>所得区分１</t>
    <phoneticPr fontId="1"/>
  </si>
  <si>
    <t>所得区分２</t>
    <phoneticPr fontId="1"/>
  </si>
  <si>
    <t>所得区分２</t>
    <phoneticPr fontId="1"/>
  </si>
  <si>
    <t>　３　所得区分３ ＝ 33万円 ＋（28万円×世帯に属する被保険者数及び特定同一世帯所属者数）＜ 所得</t>
    <rPh sb="3" eb="5">
      <t>ショトク</t>
    </rPh>
    <rPh sb="5" eb="7">
      <t>クブン</t>
    </rPh>
    <rPh sb="13" eb="15">
      <t>マンエン</t>
    </rPh>
    <rPh sb="20" eb="22">
      <t>マンエン</t>
    </rPh>
    <rPh sb="23" eb="25">
      <t>セタイ</t>
    </rPh>
    <rPh sb="26" eb="27">
      <t>ゾク</t>
    </rPh>
    <rPh sb="29" eb="33">
      <t>ヒホケンシャ</t>
    </rPh>
    <rPh sb="33" eb="34">
      <t>スウ</t>
    </rPh>
    <rPh sb="49" eb="51">
      <t>ショトク</t>
    </rPh>
    <phoneticPr fontId="1"/>
  </si>
  <si>
    <t>千円</t>
    <phoneticPr fontId="1"/>
  </si>
  <si>
    <t>　２　所得区分２ ＝ 33万円 ＜ 所得 ≦ 33万円 ＋（28.5万円×世帯に属する被保険者数及び特定同一世帯所属者数）</t>
    <rPh sb="3" eb="5">
      <t>ショトク</t>
    </rPh>
    <rPh sb="5" eb="7">
      <t>クブン</t>
    </rPh>
    <rPh sb="13" eb="15">
      <t>マンエン</t>
    </rPh>
    <rPh sb="18" eb="20">
      <t>ショトク</t>
    </rPh>
    <rPh sb="34" eb="36">
      <t>マンエン</t>
    </rPh>
    <rPh sb="37" eb="39">
      <t>セタイ</t>
    </rPh>
    <rPh sb="40" eb="41">
      <t>ゾク</t>
    </rPh>
    <rPh sb="43" eb="47">
      <t>ヒホケンシャ</t>
    </rPh>
    <rPh sb="47" eb="48">
      <t>スウ</t>
    </rPh>
    <rPh sb="48" eb="49">
      <t>オヨ</t>
    </rPh>
    <rPh sb="50" eb="52">
      <t>トクテイ</t>
    </rPh>
    <rPh sb="52" eb="54">
      <t>ドウイツ</t>
    </rPh>
    <rPh sb="54" eb="56">
      <t>セタイ</t>
    </rPh>
    <rPh sb="56" eb="58">
      <t>ショゾク</t>
    </rPh>
    <rPh sb="58" eb="59">
      <t>シャ</t>
    </rPh>
    <rPh sb="59" eb="60">
      <t>スウ</t>
    </rPh>
    <phoneticPr fontId="1"/>
  </si>
  <si>
    <t>　　　　　　　　　　　　　　　　　　　　　　　≦ 33万円 ＋（52万円×世帯に属する被保険者数及び特定同一世帯所属者数）</t>
    <rPh sb="27" eb="29">
      <t>マンエン</t>
    </rPh>
    <rPh sb="37" eb="39">
      <t>セタイ</t>
    </rPh>
    <rPh sb="40" eb="41">
      <t>ゾク</t>
    </rPh>
    <phoneticPr fontId="1"/>
  </si>
  <si>
    <t>国民健康保険税</t>
  </si>
  <si>
    <t>国民健康保険料</t>
  </si>
  <si>
    <t>合　計</t>
  </si>
  <si>
    <t>所得区分１</t>
  </si>
  <si>
    <t>所得区分２</t>
  </si>
  <si>
    <t>所得区分３</t>
  </si>
  <si>
    <t>計</t>
  </si>
  <si>
    <t>６割</t>
  </si>
  <si>
    <t>４割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</si>
</sst>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0.0_ "/>
    <numFmt numFmtId="180" formatCode="#,##0_);[Red]\(#,##0\)"/>
    <numFmt numFmtId="181" formatCode="#,##0_ "/>
    <numFmt numFmtId="182" formatCode="_(* #,##0_);_(* \(#,##0\);_(* &quot;-&quot;_);_(@_)"/>
    <numFmt numFmtId="183" formatCode="#,##0.0_ ;[Red]\-#,##0.0\ "/>
  </numFmts>
  <fonts count="3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0"/>
      <name val="ＭＳ Ｐゴシック"/>
      <family val="3"/>
      <charset val="128"/>
    </font>
    <font>
      <b/>
      <sz val="6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82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2" fillId="0" borderId="0"/>
    <xf numFmtId="0" fontId="12" fillId="0" borderId="0"/>
    <xf numFmtId="38" fontId="14" fillId="0" borderId="0" applyFont="0" applyFill="0" applyBorder="0" applyAlignment="0" applyProtection="0">
      <alignment vertical="center"/>
    </xf>
    <xf numFmtId="0" fontId="18" fillId="0" borderId="0"/>
    <xf numFmtId="9" fontId="18" fillId="0" borderId="0" applyFont="0" applyFill="0" applyBorder="0" applyAlignment="0" applyProtection="0">
      <alignment vertical="center"/>
    </xf>
  </cellStyleXfs>
  <cellXfs count="436">
    <xf numFmtId="0" fontId="0" fillId="0" borderId="0" xfId="0"/>
    <xf numFmtId="0" fontId="5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3" fontId="2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" fillId="2" borderId="0" xfId="0" applyNumberFormat="1" applyFont="1" applyFill="1" applyAlignment="1" applyProtection="1">
      <alignment horizontal="center" vertical="center"/>
      <protection locked="0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3" fontId="2" fillId="2" borderId="7" xfId="0" applyNumberFormat="1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3" fontId="2" fillId="2" borderId="10" xfId="0" applyNumberFormat="1" applyFont="1" applyFill="1" applyBorder="1" applyAlignment="1" applyProtection="1">
      <alignment vertical="center"/>
      <protection locked="0"/>
    </xf>
    <xf numFmtId="3" fontId="7" fillId="2" borderId="0" xfId="0" applyNumberFormat="1" applyFont="1" applyFill="1" applyBorder="1" applyAlignment="1" applyProtection="1">
      <alignment vertical="center"/>
      <protection locked="0"/>
    </xf>
    <xf numFmtId="3" fontId="11" fillId="2" borderId="0" xfId="0" applyNumberFormat="1" applyFont="1" applyFill="1" applyAlignment="1" applyProtection="1">
      <alignment vertical="center"/>
      <protection locked="0"/>
    </xf>
    <xf numFmtId="3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3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3" fontId="2" fillId="2" borderId="28" xfId="0" applyNumberFormat="1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3" fontId="2" fillId="2" borderId="3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3" fontId="8" fillId="2" borderId="0" xfId="0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horizontal="center" vertical="center"/>
      <protection locked="0"/>
    </xf>
    <xf numFmtId="3" fontId="2" fillId="2" borderId="41" xfId="0" applyNumberFormat="1" applyFont="1" applyFill="1" applyBorder="1" applyAlignment="1" applyProtection="1">
      <alignment vertical="center"/>
      <protection locked="0"/>
    </xf>
    <xf numFmtId="0" fontId="2" fillId="2" borderId="42" xfId="0" applyFont="1" applyFill="1" applyBorder="1" applyAlignment="1" applyProtection="1">
      <alignment vertical="center"/>
      <protection locked="0"/>
    </xf>
    <xf numFmtId="0" fontId="2" fillId="2" borderId="43" xfId="0" applyFont="1" applyFill="1" applyBorder="1" applyAlignment="1" applyProtection="1">
      <alignment vertical="center"/>
      <protection locked="0"/>
    </xf>
    <xf numFmtId="3" fontId="2" fillId="2" borderId="43" xfId="0" applyNumberFormat="1" applyFont="1" applyFill="1" applyBorder="1" applyAlignment="1" applyProtection="1">
      <alignment horizontal="center" vertical="center"/>
      <protection locked="0"/>
    </xf>
    <xf numFmtId="3" fontId="2" fillId="2" borderId="62" xfId="0" applyNumberFormat="1" applyFont="1" applyFill="1" applyBorder="1" applyAlignment="1" applyProtection="1">
      <alignment vertical="center"/>
      <protection locked="0"/>
    </xf>
    <xf numFmtId="3" fontId="2" fillId="2" borderId="82" xfId="0" applyNumberFormat="1" applyFont="1" applyFill="1" applyBorder="1" applyAlignment="1" applyProtection="1">
      <alignment vertical="center"/>
      <protection locked="0"/>
    </xf>
    <xf numFmtId="3" fontId="2" fillId="2" borderId="83" xfId="0" applyNumberFormat="1" applyFont="1" applyFill="1" applyBorder="1" applyAlignment="1" applyProtection="1">
      <alignment vertical="center"/>
      <protection locked="0"/>
    </xf>
    <xf numFmtId="3" fontId="2" fillId="2" borderId="83" xfId="0" applyNumberFormat="1" applyFont="1" applyFill="1" applyBorder="1" applyAlignment="1" applyProtection="1">
      <alignment horizontal="center" vertical="center"/>
      <protection locked="0"/>
    </xf>
    <xf numFmtId="3" fontId="2" fillId="2" borderId="84" xfId="0" applyNumberFormat="1" applyFont="1" applyFill="1" applyBorder="1" applyAlignment="1" applyProtection="1">
      <alignment horizontal="center" vertical="center"/>
      <protection locked="0"/>
    </xf>
    <xf numFmtId="3" fontId="16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3" fontId="16" fillId="0" borderId="0" xfId="0" applyNumberFormat="1" applyFont="1" applyFill="1" applyAlignment="1" applyProtection="1">
      <alignment vertical="center"/>
      <protection locked="0"/>
    </xf>
    <xf numFmtId="3" fontId="16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2" fillId="0" borderId="0" xfId="0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/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3" fontId="6" fillId="0" borderId="20" xfId="0" applyNumberFormat="1" applyFont="1" applyFill="1" applyBorder="1" applyAlignment="1" applyProtection="1">
      <alignment vertical="center"/>
      <protection locked="0"/>
    </xf>
    <xf numFmtId="3" fontId="6" fillId="0" borderId="21" xfId="0" applyNumberFormat="1" applyFont="1" applyFill="1" applyBorder="1" applyAlignment="1" applyProtection="1">
      <alignment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3" fontId="6" fillId="0" borderId="19" xfId="0" applyNumberFormat="1" applyFont="1" applyFill="1" applyBorder="1" applyAlignment="1" applyProtection="1">
      <alignment vertical="center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181" fontId="6" fillId="0" borderId="0" xfId="0" applyNumberFormat="1" applyFont="1" applyFill="1" applyBorder="1" applyAlignment="1" applyProtection="1">
      <alignment vertical="center"/>
      <protection locked="0"/>
    </xf>
    <xf numFmtId="3" fontId="6" fillId="0" borderId="24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Alignment="1" applyProtection="1">
      <alignment horizontal="center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27" xfId="0" applyFont="1" applyFill="1" applyBorder="1" applyAlignment="1" applyProtection="1">
      <alignment horizontal="right" vertical="center"/>
      <protection locked="0"/>
    </xf>
    <xf numFmtId="3" fontId="6" fillId="0" borderId="92" xfId="0" applyNumberFormat="1" applyFont="1" applyFill="1" applyBorder="1" applyAlignment="1" applyProtection="1">
      <alignment vertical="center"/>
      <protection locked="0"/>
    </xf>
    <xf numFmtId="3" fontId="6" fillId="0" borderId="60" xfId="0" applyNumberFormat="1" applyFont="1" applyFill="1" applyBorder="1" applyAlignment="1" applyProtection="1">
      <alignment vertical="center"/>
      <protection locked="0"/>
    </xf>
    <xf numFmtId="3" fontId="6" fillId="0" borderId="93" xfId="0" applyNumberFormat="1" applyFont="1" applyFill="1" applyBorder="1" applyAlignment="1" applyProtection="1">
      <alignment vertical="center"/>
      <protection locked="0"/>
    </xf>
    <xf numFmtId="3" fontId="6" fillId="0" borderId="15" xfId="0" applyNumberFormat="1" applyFont="1" applyFill="1" applyBorder="1" applyAlignment="1" applyProtection="1">
      <alignment vertical="center"/>
      <protection locked="0"/>
    </xf>
    <xf numFmtId="3" fontId="6" fillId="0" borderId="23" xfId="0" applyNumberFormat="1" applyFont="1" applyFill="1" applyBorder="1" applyAlignment="1" applyProtection="1">
      <alignment horizontal="center" vertical="center"/>
      <protection locked="0"/>
    </xf>
    <xf numFmtId="3" fontId="6" fillId="0" borderId="21" xfId="0" applyNumberFormat="1" applyFont="1" applyFill="1" applyBorder="1" applyAlignment="1" applyProtection="1">
      <alignment horizontal="center" vertical="center"/>
      <protection locked="0"/>
    </xf>
    <xf numFmtId="3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6" fillId="0" borderId="58" xfId="0" applyFont="1" applyFill="1" applyBorder="1" applyAlignment="1" applyProtection="1">
      <alignment vertical="center"/>
      <protection locked="0"/>
    </xf>
    <xf numFmtId="3" fontId="6" fillId="0" borderId="58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32" xfId="0" applyFont="1" applyFill="1" applyBorder="1" applyAlignment="1" applyProtection="1">
      <alignment vertical="top"/>
      <protection locked="0"/>
    </xf>
    <xf numFmtId="0" fontId="2" fillId="0" borderId="9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/>
    <xf numFmtId="0" fontId="2" fillId="0" borderId="69" xfId="0" applyFont="1" applyFill="1" applyBorder="1" applyAlignment="1" applyProtection="1">
      <alignment horizontal="center" vertical="center"/>
      <protection locked="0"/>
    </xf>
    <xf numFmtId="0" fontId="2" fillId="0" borderId="6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2" fillId="0" borderId="10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3" fontId="20" fillId="2" borderId="0" xfId="0" applyNumberFormat="1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3" fontId="22" fillId="2" borderId="0" xfId="0" applyNumberFormat="1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3" fontId="23" fillId="0" borderId="0" xfId="0" applyNumberFormat="1" applyFont="1" applyFill="1" applyAlignment="1" applyProtection="1">
      <alignment vertical="center"/>
      <protection locked="0"/>
    </xf>
    <xf numFmtId="3" fontId="23" fillId="2" borderId="0" xfId="0" applyNumberFormat="1" applyFont="1" applyFill="1" applyAlignment="1" applyProtection="1">
      <alignment vertical="center"/>
      <protection locked="0"/>
    </xf>
    <xf numFmtId="0" fontId="23" fillId="2" borderId="71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69" xfId="0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3" fontId="23" fillId="2" borderId="69" xfId="0" applyNumberFormat="1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3" fontId="23" fillId="2" borderId="0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176" fontId="23" fillId="2" borderId="7" xfId="0" applyNumberFormat="1" applyFont="1" applyFill="1" applyBorder="1" applyAlignment="1" applyProtection="1">
      <alignment horizontal="center" vertical="center"/>
      <protection locked="0"/>
    </xf>
    <xf numFmtId="176" fontId="23" fillId="2" borderId="69" xfId="0" applyNumberFormat="1" applyFont="1" applyFill="1" applyBorder="1" applyAlignment="1" applyProtection="1">
      <alignment horizontal="center" vertical="center"/>
      <protection locked="0"/>
    </xf>
    <xf numFmtId="176" fontId="23" fillId="2" borderId="28" xfId="0" applyNumberFormat="1" applyFont="1" applyFill="1" applyBorder="1" applyAlignment="1" applyProtection="1">
      <alignment horizontal="center" vertical="center"/>
      <protection locked="0"/>
    </xf>
    <xf numFmtId="176" fontId="23" fillId="2" borderId="70" xfId="0" applyNumberFormat="1" applyFont="1" applyFill="1" applyBorder="1" applyAlignment="1" applyProtection="1">
      <alignment horizontal="center" vertical="center"/>
      <protection locked="0"/>
    </xf>
    <xf numFmtId="176" fontId="23" fillId="2" borderId="12" xfId="0" applyNumberFormat="1" applyFont="1" applyFill="1" applyBorder="1" applyAlignment="1" applyProtection="1">
      <alignment horizontal="center" vertical="center"/>
      <protection locked="0"/>
    </xf>
    <xf numFmtId="3" fontId="23" fillId="2" borderId="6" xfId="0" applyNumberFormat="1" applyFont="1" applyFill="1" applyBorder="1" applyAlignment="1" applyProtection="1">
      <alignment vertical="center"/>
      <protection locked="0"/>
    </xf>
    <xf numFmtId="0" fontId="23" fillId="2" borderId="62" xfId="0" applyFont="1" applyFill="1" applyBorder="1" applyAlignment="1" applyProtection="1">
      <alignment horizontal="center" vertical="center"/>
      <protection locked="0"/>
    </xf>
    <xf numFmtId="0" fontId="23" fillId="2" borderId="63" xfId="0" applyFont="1" applyFill="1" applyBorder="1" applyAlignment="1" applyProtection="1">
      <alignment horizontal="center" vertical="center"/>
      <protection locked="0"/>
    </xf>
    <xf numFmtId="0" fontId="23" fillId="2" borderId="66" xfId="0" applyFont="1" applyFill="1" applyBorder="1" applyAlignment="1" applyProtection="1">
      <alignment horizontal="center" vertical="center"/>
      <protection locked="0"/>
    </xf>
    <xf numFmtId="3" fontId="23" fillId="2" borderId="10" xfId="0" applyNumberFormat="1" applyFont="1" applyFill="1" applyBorder="1" applyAlignment="1" applyProtection="1">
      <alignment horizontal="center" vertical="center"/>
      <protection locked="0"/>
    </xf>
    <xf numFmtId="3" fontId="23" fillId="2" borderId="34" xfId="0" applyNumberFormat="1" applyFont="1" applyFill="1" applyBorder="1" applyAlignment="1" applyProtection="1">
      <alignment horizontal="center" vertical="center"/>
      <protection locked="0"/>
    </xf>
    <xf numFmtId="3" fontId="25" fillId="2" borderId="0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77" xfId="0" applyFont="1" applyFill="1" applyBorder="1" applyAlignment="1" applyProtection="1">
      <alignment horizontal="center" vertical="center"/>
      <protection locked="0"/>
    </xf>
    <xf numFmtId="0" fontId="23" fillId="2" borderId="72" xfId="0" applyFont="1" applyFill="1" applyBorder="1" applyAlignment="1" applyProtection="1">
      <alignment horizontal="center" vertical="center"/>
      <protection locked="0"/>
    </xf>
    <xf numFmtId="0" fontId="23" fillId="2" borderId="73" xfId="0" applyFont="1" applyFill="1" applyBorder="1" applyAlignment="1" applyProtection="1">
      <alignment horizontal="center" vertical="center"/>
      <protection locked="0"/>
    </xf>
    <xf numFmtId="3" fontId="23" fillId="2" borderId="7" xfId="0" applyNumberFormat="1" applyFont="1" applyFill="1" applyBorder="1" applyAlignment="1" applyProtection="1">
      <alignment horizontal="center" vertical="center"/>
      <protection locked="0"/>
    </xf>
    <xf numFmtId="3" fontId="23" fillId="2" borderId="72" xfId="0" applyNumberFormat="1" applyFont="1" applyFill="1" applyBorder="1" applyAlignment="1" applyProtection="1">
      <alignment horizontal="center" vertical="center"/>
      <protection locked="0"/>
    </xf>
    <xf numFmtId="176" fontId="23" fillId="2" borderId="76" xfId="0" applyNumberFormat="1" applyFont="1" applyFill="1" applyBorder="1" applyAlignment="1" applyProtection="1">
      <alignment horizontal="center" vertical="center"/>
      <protection locked="0"/>
    </xf>
    <xf numFmtId="3" fontId="23" fillId="2" borderId="62" xfId="0" applyNumberFormat="1" applyFont="1" applyFill="1" applyBorder="1" applyAlignment="1" applyProtection="1">
      <alignment horizontal="center" vertical="center"/>
      <protection locked="0"/>
    </xf>
    <xf numFmtId="3" fontId="23" fillId="2" borderId="79" xfId="0" applyNumberFormat="1" applyFont="1" applyFill="1" applyBorder="1" applyAlignment="1" applyProtection="1">
      <alignment horizontal="center" vertical="center"/>
      <protection locked="0"/>
    </xf>
    <xf numFmtId="3" fontId="23" fillId="2" borderId="73" xfId="0" applyNumberFormat="1" applyFont="1" applyFill="1" applyBorder="1" applyAlignment="1" applyProtection="1">
      <alignment horizontal="center" vertical="center"/>
      <protection locked="0"/>
    </xf>
    <xf numFmtId="3" fontId="23" fillId="2" borderId="27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3" fontId="22" fillId="2" borderId="0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3" fontId="23" fillId="2" borderId="0" xfId="0" applyNumberFormat="1" applyFont="1" applyFill="1" applyBorder="1" applyAlignment="1" applyProtection="1">
      <alignment horizontal="center" vertical="center"/>
      <protection locked="0"/>
    </xf>
    <xf numFmtId="3" fontId="23" fillId="2" borderId="0" xfId="0" applyNumberFormat="1" applyFont="1" applyFill="1" applyAlignment="1" applyProtection="1">
      <alignment horizontal="center" vertical="center"/>
      <protection locked="0"/>
    </xf>
    <xf numFmtId="3" fontId="23" fillId="2" borderId="52" xfId="0" applyNumberFormat="1" applyFont="1" applyFill="1" applyBorder="1" applyAlignment="1" applyProtection="1">
      <alignment vertical="center"/>
      <protection locked="0"/>
    </xf>
    <xf numFmtId="3" fontId="23" fillId="2" borderId="45" xfId="0" applyNumberFormat="1" applyFont="1" applyFill="1" applyBorder="1" applyAlignment="1" applyProtection="1">
      <alignment vertical="center"/>
      <protection locked="0"/>
    </xf>
    <xf numFmtId="3" fontId="23" fillId="2" borderId="45" xfId="0" applyNumberFormat="1" applyFont="1" applyFill="1" applyBorder="1" applyAlignment="1" applyProtection="1">
      <alignment horizontal="center" vertical="center"/>
      <protection locked="0"/>
    </xf>
    <xf numFmtId="3" fontId="23" fillId="2" borderId="33" xfId="0" applyNumberFormat="1" applyFont="1" applyFill="1" applyBorder="1" applyAlignment="1" applyProtection="1">
      <alignment horizontal="center" vertical="center"/>
      <protection locked="0"/>
    </xf>
    <xf numFmtId="3" fontId="23" fillId="2" borderId="3" xfId="0" applyNumberFormat="1" applyFont="1" applyFill="1" applyBorder="1" applyAlignment="1" applyProtection="1">
      <alignment vertical="center"/>
      <protection locked="0"/>
    </xf>
    <xf numFmtId="0" fontId="23" fillId="2" borderId="4" xfId="0" applyFont="1" applyFill="1" applyBorder="1" applyAlignment="1" applyProtection="1">
      <alignment vertical="center"/>
      <protection locked="0"/>
    </xf>
    <xf numFmtId="3" fontId="23" fillId="2" borderId="7" xfId="0" applyNumberFormat="1" applyFont="1" applyFill="1" applyBorder="1" applyAlignment="1" applyProtection="1">
      <alignment vertical="center"/>
      <protection locked="0"/>
    </xf>
    <xf numFmtId="0" fontId="23" fillId="2" borderId="30" xfId="0" applyFont="1" applyFill="1" applyBorder="1" applyAlignment="1" applyProtection="1">
      <alignment vertical="center"/>
      <protection locked="0"/>
    </xf>
    <xf numFmtId="3" fontId="23" fillId="2" borderId="10" xfId="0" applyNumberFormat="1" applyFont="1" applyFill="1" applyBorder="1" applyAlignment="1" applyProtection="1">
      <alignment vertical="center"/>
      <protection locked="0"/>
    </xf>
    <xf numFmtId="0" fontId="23" fillId="2" borderId="10" xfId="0" applyFont="1" applyFill="1" applyBorder="1" applyAlignment="1" applyProtection="1">
      <alignment vertical="center"/>
      <protection locked="0"/>
    </xf>
    <xf numFmtId="0" fontId="23" fillId="2" borderId="8" xfId="0" applyFont="1" applyFill="1" applyBorder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vertical="center"/>
      <protection locked="0"/>
    </xf>
    <xf numFmtId="3" fontId="23" fillId="2" borderId="6" xfId="0" applyNumberFormat="1" applyFont="1" applyFill="1" applyBorder="1" applyAlignment="1" applyProtection="1">
      <alignment horizontal="center" vertical="center"/>
      <protection locked="0"/>
    </xf>
    <xf numFmtId="3" fontId="23" fillId="2" borderId="82" xfId="0" applyNumberFormat="1" applyFont="1" applyFill="1" applyBorder="1" applyAlignment="1" applyProtection="1">
      <alignment vertical="center"/>
      <protection locked="0"/>
    </xf>
    <xf numFmtId="3" fontId="23" fillId="2" borderId="83" xfId="0" applyNumberFormat="1" applyFont="1" applyFill="1" applyBorder="1" applyAlignment="1" applyProtection="1">
      <alignment vertical="center"/>
      <protection locked="0"/>
    </xf>
    <xf numFmtId="3" fontId="23" fillId="2" borderId="83" xfId="0" applyNumberFormat="1" applyFont="1" applyFill="1" applyBorder="1" applyAlignment="1" applyProtection="1">
      <alignment horizontal="center" vertical="center"/>
      <protection locked="0"/>
    </xf>
    <xf numFmtId="3" fontId="23" fillId="2" borderId="84" xfId="0" applyNumberFormat="1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vertical="center"/>
      <protection locked="0"/>
    </xf>
    <xf numFmtId="0" fontId="23" fillId="2" borderId="4" xfId="0" applyFont="1" applyFill="1" applyBorder="1" applyAlignment="1" applyProtection="1">
      <protection locked="0"/>
    </xf>
    <xf numFmtId="0" fontId="23" fillId="2" borderId="32" xfId="0" applyFont="1" applyFill="1" applyBorder="1" applyAlignment="1" applyProtection="1">
      <alignment vertical="top"/>
      <protection locked="0"/>
    </xf>
    <xf numFmtId="3" fontId="23" fillId="2" borderId="28" xfId="0" applyNumberFormat="1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79" xfId="0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3" fontId="29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/>
    <xf numFmtId="3" fontId="29" fillId="0" borderId="0" xfId="0" applyNumberFormat="1" applyFont="1" applyFill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3" fontId="24" fillId="0" borderId="0" xfId="0" applyNumberFormat="1" applyFont="1" applyFill="1" applyAlignment="1" applyProtection="1">
      <alignment vertical="center"/>
      <protection locked="0"/>
    </xf>
    <xf numFmtId="3" fontId="24" fillId="0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/>
    <xf numFmtId="3" fontId="29" fillId="0" borderId="0" xfId="0" applyNumberFormat="1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3" fontId="24" fillId="0" borderId="0" xfId="0" applyNumberFormat="1" applyFont="1" applyFill="1" applyBorder="1" applyAlignment="1" applyProtection="1">
      <alignment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58" xfId="0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3" fontId="24" fillId="0" borderId="20" xfId="0" applyNumberFormat="1" applyFont="1" applyFill="1" applyBorder="1" applyAlignment="1" applyProtection="1">
      <alignment vertical="center"/>
      <protection locked="0"/>
    </xf>
    <xf numFmtId="3" fontId="24" fillId="0" borderId="92" xfId="0" applyNumberFormat="1" applyFont="1" applyFill="1" applyBorder="1" applyAlignment="1" applyProtection="1">
      <alignment vertical="center"/>
      <protection locked="0"/>
    </xf>
    <xf numFmtId="3" fontId="24" fillId="0" borderId="21" xfId="0" applyNumberFormat="1" applyFont="1" applyFill="1" applyBorder="1" applyAlignment="1" applyProtection="1">
      <alignment vertical="center"/>
      <protection locked="0"/>
    </xf>
    <xf numFmtId="3" fontId="24" fillId="0" borderId="21" xfId="0" applyNumberFormat="1" applyFont="1" applyFill="1" applyBorder="1" applyAlignment="1" applyProtection="1">
      <alignment horizontal="center" vertical="center"/>
      <protection locked="0"/>
    </xf>
    <xf numFmtId="3" fontId="24" fillId="0" borderId="58" xfId="0" applyNumberFormat="1" applyFont="1" applyFill="1" applyBorder="1" applyAlignment="1" applyProtection="1">
      <alignment horizontal="center" vertical="center"/>
      <protection locked="0"/>
    </xf>
    <xf numFmtId="180" fontId="24" fillId="0" borderId="0" xfId="0" applyNumberFormat="1" applyFont="1" applyFill="1" applyBorder="1" applyAlignment="1" applyProtection="1">
      <alignment vertical="center"/>
      <protection locked="0"/>
    </xf>
    <xf numFmtId="3" fontId="24" fillId="0" borderId="19" xfId="0" applyNumberFormat="1" applyFont="1" applyFill="1" applyBorder="1" applyAlignment="1" applyProtection="1">
      <alignment vertical="center"/>
      <protection locked="0"/>
    </xf>
    <xf numFmtId="3" fontId="24" fillId="0" borderId="60" xfId="0" applyNumberFormat="1" applyFont="1" applyFill="1" applyBorder="1" applyAlignment="1" applyProtection="1">
      <alignment vertical="center"/>
      <protection locked="0"/>
    </xf>
    <xf numFmtId="3" fontId="24" fillId="0" borderId="23" xfId="0" applyNumberFormat="1" applyFont="1" applyFill="1" applyBorder="1" applyAlignment="1" applyProtection="1">
      <alignment horizontal="center" vertical="center"/>
      <protection locked="0"/>
    </xf>
    <xf numFmtId="179" fontId="24" fillId="0" borderId="0" xfId="0" applyNumberFormat="1" applyFont="1" applyFill="1" applyBorder="1" applyAlignment="1" applyProtection="1">
      <alignment vertical="center"/>
      <protection locked="0"/>
    </xf>
    <xf numFmtId="3" fontId="24" fillId="0" borderId="93" xfId="0" applyNumberFormat="1" applyFont="1" applyFill="1" applyBorder="1" applyAlignment="1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vertical="center"/>
      <protection locked="0"/>
    </xf>
    <xf numFmtId="181" fontId="24" fillId="0" borderId="0" xfId="0" applyNumberFormat="1" applyFont="1" applyFill="1" applyBorder="1" applyAlignment="1" applyProtection="1">
      <alignment vertical="center"/>
      <protection locked="0"/>
    </xf>
    <xf numFmtId="3" fontId="24" fillId="0" borderId="24" xfId="0" applyNumberFormat="1" applyFont="1" applyFill="1" applyBorder="1" applyAlignment="1" applyProtection="1">
      <alignment vertical="center"/>
      <protection locked="0"/>
    </xf>
    <xf numFmtId="3" fontId="24" fillId="0" borderId="15" xfId="0" applyNumberFormat="1" applyFont="1" applyFill="1" applyBorder="1" applyAlignment="1" applyProtection="1">
      <alignment vertical="center"/>
      <protection locked="0"/>
    </xf>
    <xf numFmtId="3" fontId="24" fillId="0" borderId="26" xfId="0" applyNumberFormat="1" applyFont="1" applyFill="1" applyBorder="1" applyAlignment="1" applyProtection="1">
      <alignment horizontal="center" vertical="center"/>
      <protection locked="0"/>
    </xf>
    <xf numFmtId="3" fontId="24" fillId="0" borderId="95" xfId="0" applyNumberFormat="1" applyFont="1" applyFill="1" applyBorder="1" applyAlignment="1" applyProtection="1">
      <alignment horizontal="center" vertical="center"/>
      <protection locked="0"/>
    </xf>
    <xf numFmtId="177" fontId="24" fillId="0" borderId="0" xfId="0" applyNumberFormat="1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23" fillId="2" borderId="1" xfId="0" applyNumberFormat="1" applyFont="1" applyFill="1" applyBorder="1" applyAlignment="1" applyProtection="1">
      <alignment vertical="center"/>
      <protection locked="0"/>
    </xf>
    <xf numFmtId="3" fontId="23" fillId="2" borderId="61" xfId="0" applyNumberFormat="1" applyFont="1" applyFill="1" applyBorder="1" applyAlignment="1" applyProtection="1">
      <alignment horizontal="center" vertical="center"/>
      <protection locked="0"/>
    </xf>
    <xf numFmtId="3" fontId="23" fillId="2" borderId="30" xfId="0" applyNumberFormat="1" applyFont="1" applyFill="1" applyBorder="1" applyAlignment="1" applyProtection="1">
      <alignment vertical="center"/>
      <protection locked="0"/>
    </xf>
    <xf numFmtId="3" fontId="23" fillId="2" borderId="4" xfId="0" applyNumberFormat="1" applyFont="1" applyFill="1" applyBorder="1" applyAlignment="1" applyProtection="1">
      <alignment vertical="center"/>
      <protection locked="0"/>
    </xf>
    <xf numFmtId="3" fontId="23" fillId="2" borderId="3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102" xfId="0" applyFont="1" applyFill="1" applyBorder="1" applyAlignment="1" applyProtection="1">
      <alignment horizontal="center" vertical="center"/>
      <protection locked="0"/>
    </xf>
    <xf numFmtId="3" fontId="23" fillId="2" borderId="9" xfId="0" applyNumberFormat="1" applyFont="1" applyFill="1" applyBorder="1" applyAlignment="1" applyProtection="1">
      <alignment horizontal="center" vertical="center"/>
      <protection locked="0"/>
    </xf>
    <xf numFmtId="0" fontId="23" fillId="2" borderId="104" xfId="0" applyFont="1" applyFill="1" applyBorder="1" applyAlignment="1" applyProtection="1">
      <alignment horizontal="center" vertical="center"/>
      <protection locked="0"/>
    </xf>
    <xf numFmtId="0" fontId="23" fillId="2" borderId="105" xfId="0" applyFont="1" applyFill="1" applyBorder="1" applyAlignment="1" applyProtection="1">
      <alignment horizontal="center" vertical="center"/>
      <protection locked="0"/>
    </xf>
    <xf numFmtId="176" fontId="23" fillId="2" borderId="9" xfId="0" applyNumberFormat="1" applyFont="1" applyFill="1" applyBorder="1" applyAlignment="1" applyProtection="1">
      <alignment horizontal="center" vertical="center"/>
      <protection locked="0"/>
    </xf>
    <xf numFmtId="3" fontId="23" fillId="2" borderId="102" xfId="0" applyNumberFormat="1" applyFont="1" applyFill="1" applyBorder="1" applyAlignment="1" applyProtection="1">
      <alignment horizontal="center" vertical="center"/>
      <protection locked="0"/>
    </xf>
    <xf numFmtId="0" fontId="23" fillId="2" borderId="106" xfId="0" applyFont="1" applyFill="1" applyBorder="1" applyAlignment="1" applyProtection="1">
      <alignment horizontal="center" vertical="center"/>
      <protection locked="0"/>
    </xf>
    <xf numFmtId="0" fontId="23" fillId="2" borderId="108" xfId="0" applyFont="1" applyFill="1" applyBorder="1" applyAlignment="1" applyProtection="1">
      <alignment horizontal="center" vertical="center"/>
      <protection locked="0"/>
    </xf>
    <xf numFmtId="0" fontId="23" fillId="2" borderId="112" xfId="0" applyFont="1" applyFill="1" applyBorder="1" applyAlignment="1" applyProtection="1">
      <alignment horizontal="center" vertical="center"/>
      <protection locked="0"/>
    </xf>
    <xf numFmtId="0" fontId="23" fillId="2" borderId="113" xfId="0" applyFont="1" applyFill="1" applyBorder="1" applyAlignment="1" applyProtection="1">
      <alignment horizontal="center" vertical="center"/>
      <protection locked="0"/>
    </xf>
    <xf numFmtId="3" fontId="23" fillId="2" borderId="106" xfId="0" applyNumberFormat="1" applyFont="1" applyFill="1" applyBorder="1" applyAlignment="1" applyProtection="1">
      <alignment horizontal="center" vertical="center"/>
      <protection locked="0"/>
    </xf>
    <xf numFmtId="3" fontId="23" fillId="2" borderId="114" xfId="0" applyNumberFormat="1" applyFont="1" applyFill="1" applyBorder="1" applyAlignment="1" applyProtection="1">
      <alignment horizontal="center" vertical="center"/>
      <protection locked="0"/>
    </xf>
    <xf numFmtId="0" fontId="23" fillId="2" borderId="114" xfId="0" applyFont="1" applyFill="1" applyBorder="1" applyAlignment="1" applyProtection="1">
      <alignment horizontal="center" vertical="center"/>
      <protection locked="0"/>
    </xf>
    <xf numFmtId="3" fontId="24" fillId="0" borderId="116" xfId="0" applyNumberFormat="1" applyFont="1" applyFill="1" applyBorder="1" applyAlignment="1" applyProtection="1">
      <alignment horizontal="center" vertical="center"/>
      <protection locked="0"/>
    </xf>
    <xf numFmtId="3" fontId="2" fillId="0" borderId="96" xfId="0" applyNumberFormat="1" applyFont="1" applyFill="1" applyBorder="1" applyAlignment="1" applyProtection="1">
      <alignment horizontal="center" vertical="center"/>
      <protection locked="0"/>
    </xf>
    <xf numFmtId="176" fontId="2" fillId="0" borderId="96" xfId="0" applyNumberFormat="1" applyFont="1" applyFill="1" applyBorder="1" applyAlignment="1" applyProtection="1">
      <alignment horizontal="center" vertical="center"/>
    </xf>
    <xf numFmtId="3" fontId="2" fillId="0" borderId="96" xfId="0" applyNumberFormat="1" applyFont="1" applyFill="1" applyBorder="1" applyAlignment="1" applyProtection="1">
      <alignment horizontal="center" vertical="center"/>
    </xf>
    <xf numFmtId="176" fontId="2" fillId="0" borderId="66" xfId="0" applyNumberFormat="1" applyFont="1" applyFill="1" applyBorder="1" applyAlignment="1" applyProtection="1">
      <alignment horizontal="center" vertical="center"/>
    </xf>
    <xf numFmtId="176" fontId="2" fillId="0" borderId="17" xfId="0" applyNumberFormat="1" applyFont="1" applyFill="1" applyBorder="1" applyAlignment="1" applyProtection="1">
      <alignment horizontal="center" vertical="center"/>
    </xf>
    <xf numFmtId="3" fontId="2" fillId="0" borderId="10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01" xfId="0" applyFont="1" applyFill="1" applyBorder="1" applyAlignment="1" applyProtection="1">
      <alignment horizontal="center" vertical="center"/>
      <protection locked="0"/>
    </xf>
    <xf numFmtId="0" fontId="2" fillId="0" borderId="11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98" xfId="0" applyNumberFormat="1" applyFont="1" applyFill="1" applyBorder="1" applyAlignment="1" applyProtection="1">
      <alignment vertical="center"/>
      <protection locked="0"/>
    </xf>
    <xf numFmtId="3" fontId="6" fillId="0" borderId="117" xfId="0" applyNumberFormat="1" applyFont="1" applyFill="1" applyBorder="1" applyAlignment="1" applyProtection="1">
      <alignment vertical="center"/>
      <protection locked="0"/>
    </xf>
    <xf numFmtId="3" fontId="6" fillId="0" borderId="7" xfId="0" applyNumberFormat="1" applyFont="1" applyFill="1" applyBorder="1" applyAlignment="1" applyProtection="1">
      <alignment vertical="center"/>
      <protection locked="0"/>
    </xf>
    <xf numFmtId="176" fontId="6" fillId="0" borderId="4" xfId="0" applyNumberFormat="1" applyFont="1" applyFill="1" applyBorder="1" applyAlignment="1" applyProtection="1">
      <alignment vertical="center"/>
      <protection locked="0"/>
    </xf>
    <xf numFmtId="176" fontId="6" fillId="0" borderId="98" xfId="0" applyNumberFormat="1" applyFont="1" applyFill="1" applyBorder="1" applyAlignment="1" applyProtection="1">
      <alignment vertical="center"/>
      <protection locked="0"/>
    </xf>
    <xf numFmtId="176" fontId="6" fillId="0" borderId="110" xfId="0" applyNumberFormat="1" applyFont="1" applyFill="1" applyBorder="1" applyAlignment="1" applyProtection="1">
      <alignment vertical="center"/>
      <protection locked="0"/>
    </xf>
    <xf numFmtId="176" fontId="6" fillId="0" borderId="7" xfId="0" applyNumberFormat="1" applyFont="1" applyFill="1" applyBorder="1" applyAlignment="1" applyProtection="1">
      <alignment vertical="center"/>
      <protection locked="0"/>
    </xf>
    <xf numFmtId="176" fontId="6" fillId="0" borderId="98" xfId="0" applyNumberFormat="1" applyFont="1" applyFill="1" applyBorder="1" applyAlignment="1" applyProtection="1">
      <alignment vertical="center"/>
    </xf>
    <xf numFmtId="3" fontId="6" fillId="0" borderId="110" xfId="0" applyNumberFormat="1" applyFont="1" applyFill="1" applyBorder="1" applyAlignment="1" applyProtection="1">
      <alignment vertical="center"/>
      <protection locked="0"/>
    </xf>
    <xf numFmtId="3" fontId="6" fillId="0" borderId="98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 applyProtection="1">
      <alignment vertical="center"/>
    </xf>
    <xf numFmtId="3" fontId="6" fillId="0" borderId="7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6" fontId="6" fillId="0" borderId="80" xfId="0" applyNumberFormat="1" applyFont="1" applyFill="1" applyBorder="1" applyAlignment="1" applyProtection="1">
      <alignment vertical="center"/>
      <protection locked="0"/>
    </xf>
    <xf numFmtId="176" fontId="6" fillId="0" borderId="39" xfId="0" applyNumberFormat="1" applyFont="1" applyFill="1" applyBorder="1" applyAlignment="1" applyProtection="1">
      <alignment vertical="center"/>
      <protection locked="0"/>
    </xf>
    <xf numFmtId="176" fontId="6" fillId="0" borderId="62" xfId="0" applyNumberFormat="1" applyFont="1" applyFill="1" applyBorder="1" applyAlignment="1" applyProtection="1">
      <alignment vertical="center"/>
      <protection locked="0"/>
    </xf>
    <xf numFmtId="3" fontId="6" fillId="0" borderId="118" xfId="0" applyNumberFormat="1" applyFont="1" applyFill="1" applyBorder="1" applyAlignment="1" applyProtection="1">
      <alignment vertical="center"/>
      <protection locked="0"/>
    </xf>
    <xf numFmtId="3" fontId="6" fillId="0" borderId="103" xfId="0" applyNumberFormat="1" applyFont="1" applyFill="1" applyBorder="1" applyAlignment="1" applyProtection="1">
      <alignment vertical="center"/>
      <protection locked="0"/>
    </xf>
    <xf numFmtId="3" fontId="6" fillId="0" borderId="106" xfId="0" applyNumberFormat="1" applyFont="1" applyFill="1" applyBorder="1" applyAlignment="1" applyProtection="1">
      <alignment vertical="center"/>
      <protection locked="0"/>
    </xf>
    <xf numFmtId="41" fontId="6" fillId="0" borderId="98" xfId="0" applyNumberFormat="1" applyFont="1" applyFill="1" applyBorder="1" applyAlignment="1" applyProtection="1">
      <alignment vertical="center"/>
      <protection locked="0"/>
    </xf>
    <xf numFmtId="176" fontId="6" fillId="0" borderId="7" xfId="0" applyNumberFormat="1" applyFont="1" applyFill="1" applyBorder="1" applyAlignment="1" applyProtection="1">
      <alignment vertical="center"/>
    </xf>
    <xf numFmtId="41" fontId="6" fillId="0" borderId="98" xfId="0" applyNumberFormat="1" applyFont="1" applyFill="1" applyBorder="1" applyAlignment="1" applyProtection="1">
      <alignment vertical="center"/>
    </xf>
    <xf numFmtId="3" fontId="6" fillId="0" borderId="4" xfId="0" applyNumberFormat="1" applyFont="1" applyFill="1" applyBorder="1" applyAlignment="1" applyProtection="1">
      <alignment vertical="center"/>
    </xf>
    <xf numFmtId="41" fontId="6" fillId="0" borderId="39" xfId="0" applyNumberFormat="1" applyFont="1" applyFill="1" applyBorder="1" applyAlignment="1" applyProtection="1">
      <alignment vertical="center"/>
      <protection locked="0"/>
    </xf>
    <xf numFmtId="41" fontId="6" fillId="0" borderId="103" xfId="0" applyNumberFormat="1" applyFont="1" applyFill="1" applyBorder="1" applyAlignment="1" applyProtection="1">
      <alignment vertical="center"/>
      <protection locked="0"/>
    </xf>
    <xf numFmtId="3" fontId="2" fillId="0" borderId="102" xfId="0" applyNumberFormat="1" applyFont="1" applyFill="1" applyBorder="1" applyAlignment="1" applyProtection="1">
      <alignment horizontal="center" vertical="center"/>
      <protection locked="0"/>
    </xf>
    <xf numFmtId="3" fontId="32" fillId="2" borderId="74" xfId="0" applyNumberFormat="1" applyFont="1" applyFill="1" applyBorder="1" applyAlignment="1" applyProtection="1">
      <alignment vertical="center"/>
    </xf>
    <xf numFmtId="3" fontId="32" fillId="2" borderId="7" xfId="0" applyNumberFormat="1" applyFont="1" applyFill="1" applyBorder="1" applyAlignment="1" applyProtection="1">
      <alignment vertical="center"/>
    </xf>
    <xf numFmtId="3" fontId="32" fillId="0" borderId="4" xfId="0" applyNumberFormat="1" applyFont="1" applyFill="1" applyBorder="1" applyAlignment="1" applyProtection="1">
      <alignment vertical="center"/>
    </xf>
    <xf numFmtId="3" fontId="32" fillId="0" borderId="98" xfId="0" applyNumberFormat="1" applyFont="1" applyFill="1" applyBorder="1" applyAlignment="1" applyProtection="1">
      <alignment vertical="center"/>
    </xf>
    <xf numFmtId="3" fontId="32" fillId="0" borderId="7" xfId="0" applyNumberFormat="1" applyFont="1" applyFill="1" applyBorder="1" applyAlignment="1" applyProtection="1">
      <alignment vertical="center"/>
    </xf>
    <xf numFmtId="3" fontId="32" fillId="0" borderId="49" xfId="0" applyNumberFormat="1" applyFont="1" applyFill="1" applyBorder="1" applyAlignment="1" applyProtection="1">
      <alignment vertical="center"/>
    </xf>
    <xf numFmtId="41" fontId="32" fillId="0" borderId="98" xfId="0" applyNumberFormat="1" applyFont="1" applyFill="1" applyBorder="1" applyAlignment="1" applyProtection="1">
      <alignment vertical="center"/>
    </xf>
    <xf numFmtId="3" fontId="6" fillId="2" borderId="8" xfId="0" applyNumberFormat="1" applyFont="1" applyFill="1" applyBorder="1" applyAlignment="1" applyProtection="1">
      <alignment vertical="center"/>
    </xf>
    <xf numFmtId="3" fontId="6" fillId="2" borderId="8" xfId="0" applyNumberFormat="1" applyFont="1" applyFill="1" applyBorder="1" applyAlignment="1" applyProtection="1">
      <alignment horizontal="right" vertical="center"/>
    </xf>
    <xf numFmtId="3" fontId="6" fillId="2" borderId="103" xfId="0" applyNumberFormat="1" applyFont="1" applyFill="1" applyBorder="1" applyAlignment="1" applyProtection="1">
      <alignment vertical="center"/>
    </xf>
    <xf numFmtId="3" fontId="6" fillId="2" borderId="80" xfId="0" applyNumberFormat="1" applyFont="1" applyFill="1" applyBorder="1" applyAlignment="1" applyProtection="1">
      <alignment vertical="center"/>
    </xf>
    <xf numFmtId="3" fontId="6" fillId="2" borderId="31" xfId="0" applyNumberFormat="1" applyFont="1" applyFill="1" applyBorder="1" applyAlignment="1" applyProtection="1">
      <alignment vertical="center"/>
    </xf>
    <xf numFmtId="176" fontId="6" fillId="2" borderId="8" xfId="0" applyNumberFormat="1" applyFont="1" applyFill="1" applyBorder="1" applyAlignment="1" applyProtection="1">
      <alignment vertical="center"/>
    </xf>
    <xf numFmtId="176" fontId="6" fillId="2" borderId="11" xfId="0" applyNumberFormat="1" applyFont="1" applyFill="1" applyBorder="1" applyAlignment="1" applyProtection="1">
      <alignment vertical="center"/>
    </xf>
    <xf numFmtId="176" fontId="6" fillId="2" borderId="7" xfId="0" applyNumberFormat="1" applyFont="1" applyFill="1" applyBorder="1" applyAlignment="1" applyProtection="1">
      <alignment vertical="center"/>
    </xf>
    <xf numFmtId="3" fontId="6" fillId="2" borderId="39" xfId="0" applyNumberFormat="1" applyFont="1" applyFill="1" applyBorder="1" applyAlignment="1" applyProtection="1">
      <alignment vertical="center"/>
    </xf>
    <xf numFmtId="3" fontId="6" fillId="2" borderId="78" xfId="0" applyNumberFormat="1" applyFont="1" applyFill="1" applyBorder="1" applyAlignment="1" applyProtection="1">
      <alignment vertical="center"/>
    </xf>
    <xf numFmtId="3" fontId="6" fillId="2" borderId="109" xfId="0" applyNumberFormat="1" applyFont="1" applyFill="1" applyBorder="1" applyAlignment="1" applyProtection="1">
      <alignment vertical="center"/>
    </xf>
    <xf numFmtId="3" fontId="6" fillId="2" borderId="74" xfId="0" applyNumberFormat="1" applyFont="1" applyFill="1" applyBorder="1" applyAlignment="1" applyProtection="1">
      <alignment horizontal="right" vertical="center"/>
    </xf>
    <xf numFmtId="0" fontId="2" fillId="2" borderId="72" xfId="0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right" vertical="center"/>
    </xf>
    <xf numFmtId="3" fontId="6" fillId="2" borderId="110" xfId="0" applyNumberFormat="1" applyFont="1" applyFill="1" applyBorder="1" applyAlignment="1" applyProtection="1">
      <alignment vertical="center"/>
    </xf>
    <xf numFmtId="3" fontId="6" fillId="2" borderId="111" xfId="0" applyNumberFormat="1" applyFont="1" applyFill="1" applyBorder="1" applyAlignment="1" applyProtection="1">
      <alignment vertical="center"/>
    </xf>
    <xf numFmtId="3" fontId="6" fillId="2" borderId="74" xfId="0" applyNumberFormat="1" applyFont="1" applyFill="1" applyBorder="1" applyAlignment="1" applyProtection="1">
      <alignment vertical="center"/>
    </xf>
    <xf numFmtId="3" fontId="6" fillId="0" borderId="107" xfId="0" applyNumberFormat="1" applyFont="1" applyFill="1" applyBorder="1" applyAlignment="1" applyProtection="1">
      <alignment vertical="center"/>
    </xf>
    <xf numFmtId="3" fontId="6" fillId="2" borderId="7" xfId="0" applyNumberFormat="1" applyFont="1" applyFill="1" applyBorder="1" applyAlignment="1" applyProtection="1">
      <alignment vertical="center"/>
    </xf>
    <xf numFmtId="3" fontId="6" fillId="2" borderId="106" xfId="0" applyNumberFormat="1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vertical="center"/>
    </xf>
    <xf numFmtId="38" fontId="6" fillId="0" borderId="110" xfId="6" applyFont="1" applyFill="1" applyBorder="1" applyAlignment="1" applyProtection="1">
      <alignment vertical="center"/>
      <protection locked="0"/>
    </xf>
    <xf numFmtId="3" fontId="6" fillId="2" borderId="7" xfId="0" applyNumberFormat="1" applyFont="1" applyFill="1" applyBorder="1" applyAlignment="1" applyProtection="1">
      <alignment horizontal="right" vertical="center"/>
    </xf>
    <xf numFmtId="3" fontId="6" fillId="2" borderId="81" xfId="0" applyNumberFormat="1" applyFont="1" applyFill="1" applyBorder="1" applyAlignment="1" applyProtection="1">
      <alignment vertical="center"/>
    </xf>
    <xf numFmtId="176" fontId="6" fillId="2" borderId="74" xfId="0" applyNumberFormat="1" applyFont="1" applyFill="1" applyBorder="1" applyAlignment="1" applyProtection="1">
      <alignment vertical="center"/>
    </xf>
    <xf numFmtId="176" fontId="6" fillId="2" borderId="75" xfId="0" applyNumberFormat="1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97" xfId="0" applyFont="1" applyFill="1" applyBorder="1" applyAlignment="1" applyProtection="1">
      <alignment horizontal="center" vertical="center"/>
      <protection locked="0"/>
    </xf>
    <xf numFmtId="3" fontId="6" fillId="0" borderId="115" xfId="0" applyNumberFormat="1" applyFont="1" applyFill="1" applyBorder="1" applyAlignment="1" applyProtection="1">
      <alignment vertical="center"/>
    </xf>
    <xf numFmtId="3" fontId="2" fillId="2" borderId="17" xfId="0" applyNumberFormat="1" applyFont="1" applyFill="1" applyBorder="1" applyAlignment="1" applyProtection="1">
      <alignment horizontal="center" vertical="center"/>
      <protection locked="0"/>
    </xf>
    <xf numFmtId="176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06" xfId="0" applyFont="1" applyFill="1" applyBorder="1" applyAlignment="1" applyProtection="1">
      <alignment horizontal="center" vertical="center"/>
      <protection locked="0"/>
    </xf>
    <xf numFmtId="180" fontId="6" fillId="0" borderId="18" xfId="0" applyNumberFormat="1" applyFont="1" applyFill="1" applyBorder="1" applyAlignment="1" applyProtection="1">
      <alignment horizontal="right" vertical="center"/>
      <protection locked="0"/>
    </xf>
    <xf numFmtId="183" fontId="6" fillId="0" borderId="18" xfId="6" applyNumberFormat="1" applyFont="1" applyFill="1" applyBorder="1" applyAlignment="1" applyProtection="1">
      <alignment horizontal="right" vertical="center"/>
      <protection locked="0"/>
    </xf>
    <xf numFmtId="179" fontId="6" fillId="0" borderId="18" xfId="0" applyNumberFormat="1" applyFont="1" applyFill="1" applyBorder="1" applyAlignment="1" applyProtection="1">
      <alignment horizontal="right" vertical="center"/>
      <protection locked="0"/>
    </xf>
    <xf numFmtId="181" fontId="6" fillId="0" borderId="18" xfId="0" applyNumberFormat="1" applyFont="1" applyFill="1" applyBorder="1" applyAlignment="1" applyProtection="1">
      <alignment horizontal="right" vertical="center"/>
      <protection locked="0"/>
    </xf>
    <xf numFmtId="179" fontId="6" fillId="0" borderId="25" xfId="0" applyNumberFormat="1" applyFont="1" applyFill="1" applyBorder="1" applyAlignment="1" applyProtection="1">
      <alignment horizontal="right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176" fontId="6" fillId="0" borderId="119" xfId="0" applyNumberFormat="1" applyFont="1" applyFill="1" applyBorder="1" applyAlignment="1" applyProtection="1">
      <alignment vertical="center"/>
      <protection locked="0"/>
    </xf>
    <xf numFmtId="41" fontId="6" fillId="0" borderId="99" xfId="0" applyNumberFormat="1" applyFont="1" applyFill="1" applyBorder="1" applyAlignment="1" applyProtection="1">
      <alignment vertical="center"/>
    </xf>
    <xf numFmtId="41" fontId="6" fillId="0" borderId="99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47" xfId="0" applyNumberFormat="1" applyFont="1" applyFill="1" applyBorder="1" applyAlignment="1" applyProtection="1">
      <alignment vertical="center"/>
      <protection locked="0"/>
    </xf>
    <xf numFmtId="41" fontId="6" fillId="0" borderId="119" xfId="0" applyNumberFormat="1" applyFont="1" applyFill="1" applyBorder="1" applyAlignment="1" applyProtection="1">
      <alignment vertical="center"/>
      <protection locked="0"/>
    </xf>
    <xf numFmtId="176" fontId="6" fillId="0" borderId="38" xfId="0" applyNumberFormat="1" applyFont="1" applyFill="1" applyBorder="1" applyAlignment="1" applyProtection="1">
      <alignment vertical="center"/>
      <protection locked="0"/>
    </xf>
    <xf numFmtId="41" fontId="6" fillId="0" borderId="29" xfId="0" applyNumberFormat="1" applyFont="1" applyFill="1" applyBorder="1" applyAlignment="1" applyProtection="1">
      <alignment vertical="center"/>
    </xf>
    <xf numFmtId="176" fontId="6" fillId="0" borderId="29" xfId="0" applyNumberFormat="1" applyFont="1" applyFill="1" applyBorder="1" applyAlignment="1" applyProtection="1">
      <alignment vertical="center"/>
      <protection locked="0"/>
    </xf>
    <xf numFmtId="0" fontId="23" fillId="2" borderId="68" xfId="0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3" fillId="2" borderId="67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61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>
      <alignment vertical="center" wrapText="1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7" fillId="0" borderId="27" xfId="0" applyFont="1" applyBorder="1" applyAlignment="1">
      <alignment vertical="center" wrapText="1"/>
    </xf>
    <xf numFmtId="0" fontId="23" fillId="2" borderId="49" xfId="0" applyFont="1" applyFill="1" applyBorder="1" applyAlignment="1" applyProtection="1">
      <alignment horizontal="center" vertical="center" textRotation="255"/>
      <protection locked="0"/>
    </xf>
    <xf numFmtId="0" fontId="27" fillId="0" borderId="50" xfId="0" applyFont="1" applyBorder="1" applyAlignment="1">
      <alignment horizontal="center" vertical="center" textRotation="255"/>
    </xf>
    <xf numFmtId="0" fontId="27" fillId="0" borderId="51" xfId="0" applyFont="1" applyBorder="1" applyAlignment="1">
      <alignment horizontal="center" vertical="center" textRotation="255"/>
    </xf>
    <xf numFmtId="3" fontId="23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>
      <alignment vertical="center" wrapText="1"/>
    </xf>
    <xf numFmtId="3" fontId="23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46" xfId="0" applyFont="1" applyFill="1" applyBorder="1" applyAlignment="1" applyProtection="1">
      <alignment vertical="center" textRotation="255"/>
      <protection locked="0"/>
    </xf>
    <xf numFmtId="0" fontId="23" fillId="2" borderId="47" xfId="0" applyFont="1" applyFill="1" applyBorder="1" applyAlignment="1" applyProtection="1">
      <alignment vertical="center" textRotation="255"/>
      <protection locked="0"/>
    </xf>
    <xf numFmtId="3" fontId="23" fillId="2" borderId="29" xfId="0" applyNumberFormat="1" applyFont="1" applyFill="1" applyBorder="1" applyAlignment="1" applyProtection="1">
      <alignment vertical="center" textRotation="255"/>
      <protection locked="0"/>
    </xf>
    <xf numFmtId="0" fontId="23" fillId="2" borderId="46" xfId="0" applyFont="1" applyFill="1" applyBorder="1" applyAlignment="1" applyProtection="1">
      <alignment horizontal="center" vertical="center" textRotation="255"/>
      <protection locked="0"/>
    </xf>
    <xf numFmtId="0" fontId="27" fillId="0" borderId="47" xfId="0" applyFont="1" applyBorder="1" applyAlignment="1">
      <alignment horizontal="center" vertical="center" textRotation="255"/>
    </xf>
    <xf numFmtId="0" fontId="27" fillId="0" borderId="48" xfId="0" applyFont="1" applyBorder="1" applyAlignment="1">
      <alignment horizontal="center" vertical="center" textRotation="255"/>
    </xf>
    <xf numFmtId="0" fontId="23" fillId="2" borderId="87" xfId="0" applyFont="1" applyFill="1" applyBorder="1" applyAlignment="1" applyProtection="1">
      <alignment horizontal="center" vertical="center"/>
      <protection locked="0"/>
    </xf>
    <xf numFmtId="0" fontId="23" fillId="2" borderId="88" xfId="0" applyFont="1" applyFill="1" applyBorder="1" applyAlignment="1" applyProtection="1">
      <alignment horizontal="center" vertical="center"/>
      <protection locked="0"/>
    </xf>
    <xf numFmtId="0" fontId="23" fillId="2" borderId="84" xfId="0" applyFont="1" applyFill="1" applyBorder="1" applyAlignment="1" applyProtection="1">
      <alignment horizontal="center" vertical="center"/>
      <protection locked="0"/>
    </xf>
    <xf numFmtId="0" fontId="23" fillId="2" borderId="89" xfId="0" applyFont="1" applyFill="1" applyBorder="1" applyAlignment="1" applyProtection="1">
      <alignment horizontal="center" vertical="center"/>
      <protection locked="0"/>
    </xf>
    <xf numFmtId="3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>
      <alignment vertical="center" wrapText="1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>
      <alignment vertical="center" wrapText="1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textRotation="255"/>
      <protection locked="0"/>
    </xf>
    <xf numFmtId="0" fontId="13" fillId="0" borderId="54" xfId="0" applyFont="1" applyBorder="1" applyAlignment="1">
      <alignment horizontal="center" vertical="center" textRotation="255"/>
    </xf>
    <xf numFmtId="0" fontId="13" fillId="0" borderId="56" xfId="0" applyFont="1" applyBorder="1" applyAlignment="1">
      <alignment horizontal="center" vertical="center" textRotation="255"/>
    </xf>
    <xf numFmtId="3" fontId="2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62" xfId="0" applyFont="1" applyBorder="1" applyAlignment="1">
      <alignment vertical="center" wrapText="1"/>
    </xf>
    <xf numFmtId="0" fontId="2" fillId="2" borderId="49" xfId="0" applyFont="1" applyFill="1" applyBorder="1" applyAlignment="1" applyProtection="1">
      <alignment horizontal="center" vertical="center" textRotation="255"/>
      <protection locked="0"/>
    </xf>
    <xf numFmtId="0" fontId="13" fillId="0" borderId="50" xfId="0" applyFont="1" applyBorder="1" applyAlignment="1">
      <alignment horizontal="center" vertical="center" textRotation="255"/>
    </xf>
    <xf numFmtId="0" fontId="13" fillId="0" borderId="51" xfId="0" applyFont="1" applyBorder="1" applyAlignment="1">
      <alignment horizontal="center" vertical="center" textRotation="255"/>
    </xf>
    <xf numFmtId="0" fontId="2" fillId="2" borderId="53" xfId="0" applyFont="1" applyFill="1" applyBorder="1" applyAlignment="1" applyProtection="1">
      <alignment vertical="center" textRotation="255"/>
      <protection locked="0"/>
    </xf>
    <xf numFmtId="0" fontId="2" fillId="2" borderId="54" xfId="0" applyFont="1" applyFill="1" applyBorder="1" applyAlignment="1" applyProtection="1">
      <alignment vertical="center" textRotation="255"/>
      <protection locked="0"/>
    </xf>
    <xf numFmtId="3" fontId="2" fillId="2" borderId="55" xfId="0" applyNumberFormat="1" applyFont="1" applyFill="1" applyBorder="1" applyAlignment="1" applyProtection="1">
      <alignment vertical="center" textRotation="255"/>
      <protection locked="0"/>
    </xf>
    <xf numFmtId="0" fontId="23" fillId="2" borderId="85" xfId="0" applyFont="1" applyFill="1" applyBorder="1" applyAlignment="1" applyProtection="1">
      <alignment horizontal="center" vertical="center"/>
      <protection locked="0"/>
    </xf>
    <xf numFmtId="0" fontId="23" fillId="2" borderId="86" xfId="0" applyFont="1" applyFill="1" applyBorder="1" applyAlignment="1" applyProtection="1">
      <alignment horizontal="center" vertical="center"/>
      <protection locked="0"/>
    </xf>
    <xf numFmtId="0" fontId="23" fillId="2" borderId="90" xfId="0" applyFont="1" applyFill="1" applyBorder="1" applyAlignment="1" applyProtection="1">
      <alignment horizontal="center" vertical="center"/>
      <protection locked="0"/>
    </xf>
    <xf numFmtId="0" fontId="23" fillId="2" borderId="91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15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 applyProtection="1">
      <alignment vertical="center"/>
      <protection locked="0"/>
    </xf>
    <xf numFmtId="178" fontId="6" fillId="0" borderId="95" xfId="0" applyNumberFormat="1" applyFont="1" applyFill="1" applyBorder="1" applyAlignment="1" applyProtection="1">
      <alignment vertical="center"/>
      <protection locked="0"/>
    </xf>
    <xf numFmtId="180" fontId="6" fillId="0" borderId="115" xfId="0" applyNumberFormat="1" applyFont="1" applyFill="1" applyBorder="1" applyAlignment="1" applyProtection="1">
      <alignment vertical="center"/>
      <protection locked="0"/>
    </xf>
    <xf numFmtId="180" fontId="6" fillId="0" borderId="116" xfId="0" applyNumberFormat="1" applyFont="1" applyFill="1" applyBorder="1" applyAlignment="1" applyProtection="1">
      <alignment vertical="center"/>
      <protection locked="0"/>
    </xf>
    <xf numFmtId="179" fontId="6" fillId="0" borderId="115" xfId="0" applyNumberFormat="1" applyFont="1" applyFill="1" applyBorder="1" applyAlignment="1" applyProtection="1">
      <alignment vertical="center"/>
      <protection locked="0"/>
    </xf>
    <xf numFmtId="179" fontId="6" fillId="0" borderId="116" xfId="0" applyNumberFormat="1" applyFont="1" applyFill="1" applyBorder="1" applyAlignment="1" applyProtection="1">
      <alignment vertical="center"/>
      <protection locked="0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0" fontId="6" fillId="0" borderId="94" xfId="0" applyFont="1" applyFill="1" applyBorder="1" applyAlignment="1" applyProtection="1">
      <alignment horizontal="center" vertical="center"/>
      <protection locked="0"/>
    </xf>
    <xf numFmtId="0" fontId="6" fillId="0" borderId="6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93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9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38" xfId="0" applyNumberFormat="1" applyFont="1" applyFill="1" applyBorder="1" applyAlignment="1" applyProtection="1">
      <alignment horizontal="center" vertical="center"/>
      <protection locked="0"/>
    </xf>
    <xf numFmtId="3" fontId="2" fillId="0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2" fillId="0" borderId="96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2" fillId="0" borderId="110" xfId="0" applyFont="1" applyFill="1" applyBorder="1" applyAlignment="1" applyProtection="1">
      <alignment horizontal="center" vertical="center"/>
      <protection locked="0"/>
    </xf>
    <xf numFmtId="0" fontId="2" fillId="0" borderId="102" xfId="0" applyFont="1" applyFill="1" applyBorder="1" applyAlignment="1" applyProtection="1">
      <alignment horizontal="center" vertical="center"/>
      <protection locked="0"/>
    </xf>
    <xf numFmtId="0" fontId="2" fillId="0" borderId="98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31" fillId="0" borderId="57" xfId="0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24" fillId="0" borderId="64" xfId="0" applyFont="1" applyFill="1" applyBorder="1" applyAlignment="1" applyProtection="1">
      <alignment horizontal="center" vertical="center"/>
      <protection locked="0"/>
    </xf>
    <xf numFmtId="0" fontId="24" fillId="0" borderId="94" xfId="0" applyFont="1" applyFill="1" applyBorder="1" applyAlignment="1" applyProtection="1">
      <alignment horizontal="center" vertical="center"/>
      <protection locked="0"/>
    </xf>
    <xf numFmtId="0" fontId="24" fillId="0" borderId="6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24" fillId="0" borderId="9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</cellXfs>
  <cellStyles count="9">
    <cellStyle name="パーセント 2" xfId="8" xr:uid="{00000000-0005-0000-0000-000000000000}"/>
    <cellStyle name="桁区切り" xfId="6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3" xr:uid="{00000000-0005-0000-0000-000006000000}"/>
    <cellStyle name="標準 4" xfId="4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0000"/>
  </sheetPr>
  <dimension ref="A1:M40"/>
  <sheetViews>
    <sheetView tabSelected="1" zoomScaleNormal="100" zoomScaleSheetLayoutView="100" workbookViewId="0">
      <selection activeCell="C18" sqref="C18"/>
    </sheetView>
  </sheetViews>
  <sheetFormatPr defaultColWidth="12.1640625" defaultRowHeight="12" customHeight="1" x14ac:dyDescent="0.2"/>
  <cols>
    <col min="1" max="2" width="3.1640625" style="115" customWidth="1"/>
    <col min="3" max="3" width="20.58203125" style="115" customWidth="1"/>
    <col min="4" max="4" width="5.6640625" style="181" customWidth="1"/>
    <col min="5" max="5" width="15.4140625" style="115" customWidth="1"/>
    <col min="6" max="6" width="5.6640625" style="115" customWidth="1"/>
    <col min="7" max="7" width="15.4140625" style="115" customWidth="1"/>
    <col min="8" max="8" width="5.6640625" style="115" customWidth="1"/>
    <col min="9" max="9" width="15.4140625" style="115" customWidth="1"/>
    <col min="10" max="10" width="5.6640625" style="115" customWidth="1"/>
    <col min="11" max="11" width="2.08203125" style="181" customWidth="1"/>
    <col min="12" max="12" width="10.58203125" style="115" customWidth="1"/>
    <col min="13" max="13" width="3.08203125" style="115" customWidth="1"/>
    <col min="14" max="16384" width="12.1640625" style="115"/>
  </cols>
  <sheetData>
    <row r="1" spans="1:11" s="109" customFormat="1" ht="14" customHeight="1" x14ac:dyDescent="0.2">
      <c r="A1" s="214" t="s">
        <v>149</v>
      </c>
      <c r="D1" s="215"/>
      <c r="H1" s="110"/>
      <c r="K1" s="215"/>
    </row>
    <row r="2" spans="1:11" s="111" customFormat="1" ht="12" customHeight="1" x14ac:dyDescent="0.2">
      <c r="A2" s="152"/>
      <c r="D2" s="151"/>
      <c r="H2" s="112"/>
      <c r="K2" s="151"/>
    </row>
    <row r="3" spans="1:11" s="113" customFormat="1" ht="14" customHeight="1" x14ac:dyDescent="0.2">
      <c r="A3" s="153" t="s">
        <v>21</v>
      </c>
      <c r="D3" s="154"/>
      <c r="H3" s="114"/>
      <c r="K3" s="154"/>
    </row>
    <row r="4" spans="1:11" s="111" customFormat="1" ht="10" customHeight="1" x14ac:dyDescent="0.2">
      <c r="A4" s="112"/>
      <c r="D4" s="151"/>
      <c r="H4" s="112"/>
      <c r="K4" s="151"/>
    </row>
    <row r="5" spans="1:11" ht="14" customHeight="1" x14ac:dyDescent="0.2">
      <c r="A5" s="117" t="s">
        <v>78</v>
      </c>
    </row>
    <row r="6" spans="1:11" ht="9" customHeight="1" x14ac:dyDescent="0.2"/>
    <row r="7" spans="1:11" ht="14.4" customHeight="1" thickBot="1" x14ac:dyDescent="0.25">
      <c r="A7" s="125" t="s">
        <v>55</v>
      </c>
      <c r="B7" s="117"/>
      <c r="C7" s="117"/>
      <c r="D7" s="157"/>
      <c r="E7" s="116"/>
      <c r="F7" s="117"/>
      <c r="G7" s="117"/>
      <c r="H7" s="117"/>
      <c r="I7" s="117"/>
      <c r="J7" s="117"/>
    </row>
    <row r="8" spans="1:11" ht="15" customHeight="1" x14ac:dyDescent="0.2">
      <c r="A8" s="158"/>
      <c r="B8" s="159"/>
      <c r="C8" s="160" t="s">
        <v>108</v>
      </c>
      <c r="D8" s="161"/>
      <c r="E8" s="330" t="s">
        <v>106</v>
      </c>
      <c r="F8" s="333"/>
      <c r="G8" s="330" t="s">
        <v>107</v>
      </c>
      <c r="H8" s="330"/>
      <c r="I8" s="331" t="s">
        <v>18</v>
      </c>
      <c r="J8" s="332"/>
    </row>
    <row r="9" spans="1:11" ht="15" customHeight="1" x14ac:dyDescent="0.2">
      <c r="A9" s="175" t="s">
        <v>0</v>
      </c>
      <c r="B9" s="124"/>
      <c r="C9" s="124"/>
      <c r="D9" s="140" t="s">
        <v>35</v>
      </c>
      <c r="E9" s="286">
        <v>8900645</v>
      </c>
      <c r="F9" s="118" t="s">
        <v>1</v>
      </c>
      <c r="G9" s="286">
        <v>8343151</v>
      </c>
      <c r="H9" s="118" t="s">
        <v>1</v>
      </c>
      <c r="I9" s="286">
        <f>SUM(E9,G9)</f>
        <v>17243796</v>
      </c>
      <c r="J9" s="119" t="s">
        <v>1</v>
      </c>
      <c r="K9" s="115"/>
    </row>
    <row r="10" spans="1:11" ht="15" customHeight="1" x14ac:dyDescent="0.2">
      <c r="A10" s="163" t="s">
        <v>22</v>
      </c>
      <c r="B10" s="164"/>
      <c r="C10" s="164"/>
      <c r="D10" s="127" t="s">
        <v>36</v>
      </c>
      <c r="E10" s="283">
        <v>13909793</v>
      </c>
      <c r="F10" s="120" t="s">
        <v>3</v>
      </c>
      <c r="G10" s="283">
        <v>12288143</v>
      </c>
      <c r="H10" s="120" t="s">
        <v>3</v>
      </c>
      <c r="I10" s="283">
        <f t="shared" ref="I10:I18" si="0">SUM(E10,G10)</f>
        <v>26197936</v>
      </c>
      <c r="J10" s="222" t="s">
        <v>3</v>
      </c>
      <c r="K10" s="115"/>
    </row>
    <row r="11" spans="1:11" ht="15" customHeight="1" x14ac:dyDescent="0.2">
      <c r="A11" s="165" t="s">
        <v>102</v>
      </c>
      <c r="B11" s="166"/>
      <c r="C11" s="167"/>
      <c r="D11" s="137" t="s">
        <v>37</v>
      </c>
      <c r="E11" s="287">
        <f>SUM(E12,E13,E14,E16,E17)</f>
        <v>944299348</v>
      </c>
      <c r="F11" s="121" t="s">
        <v>4</v>
      </c>
      <c r="G11" s="287">
        <f>SUM(G12,G13,G14,G16,G17)</f>
        <v>920463065</v>
      </c>
      <c r="H11" s="121" t="s">
        <v>4</v>
      </c>
      <c r="I11" s="287">
        <f t="shared" si="0"/>
        <v>1864762413</v>
      </c>
      <c r="J11" s="223" t="s">
        <v>4</v>
      </c>
      <c r="K11" s="115"/>
    </row>
    <row r="12" spans="1:11" ht="15" customHeight="1" x14ac:dyDescent="0.2">
      <c r="A12" s="342" t="s">
        <v>62</v>
      </c>
      <c r="B12" s="348" t="s">
        <v>58</v>
      </c>
      <c r="C12" s="168" t="s">
        <v>23</v>
      </c>
      <c r="D12" s="127" t="s">
        <v>38</v>
      </c>
      <c r="E12" s="283">
        <v>574186143</v>
      </c>
      <c r="F12" s="120" t="s">
        <v>181</v>
      </c>
      <c r="G12" s="283">
        <v>565892781</v>
      </c>
      <c r="H12" s="120" t="s">
        <v>4</v>
      </c>
      <c r="I12" s="283">
        <f t="shared" si="0"/>
        <v>1140078924</v>
      </c>
      <c r="J12" s="222" t="s">
        <v>4</v>
      </c>
      <c r="K12" s="115"/>
    </row>
    <row r="13" spans="1:11" ht="15" customHeight="1" x14ac:dyDescent="0.2">
      <c r="A13" s="343"/>
      <c r="B13" s="349"/>
      <c r="C13" s="168" t="s">
        <v>24</v>
      </c>
      <c r="D13" s="127" t="s">
        <v>39</v>
      </c>
      <c r="E13" s="283">
        <v>15338203</v>
      </c>
      <c r="F13" s="120" t="s">
        <v>4</v>
      </c>
      <c r="G13" s="283">
        <v>1361208</v>
      </c>
      <c r="H13" s="120" t="s">
        <v>4</v>
      </c>
      <c r="I13" s="283">
        <f t="shared" si="0"/>
        <v>16699411</v>
      </c>
      <c r="J13" s="222" t="s">
        <v>4</v>
      </c>
      <c r="K13" s="115"/>
    </row>
    <row r="14" spans="1:11" ht="15" customHeight="1" x14ac:dyDescent="0.2">
      <c r="A14" s="343"/>
      <c r="B14" s="349"/>
      <c r="C14" s="168" t="s">
        <v>25</v>
      </c>
      <c r="D14" s="127" t="s">
        <v>40</v>
      </c>
      <c r="E14" s="284" t="s">
        <v>26</v>
      </c>
      <c r="F14" s="120" t="s">
        <v>4</v>
      </c>
      <c r="G14" s="284" t="s">
        <v>26</v>
      </c>
      <c r="H14" s="120" t="s">
        <v>4</v>
      </c>
      <c r="I14" s="284" t="s">
        <v>26</v>
      </c>
      <c r="J14" s="222" t="s">
        <v>4</v>
      </c>
      <c r="K14" s="115"/>
    </row>
    <row r="15" spans="1:11" ht="15" customHeight="1" x14ac:dyDescent="0.2">
      <c r="A15" s="343"/>
      <c r="B15" s="350"/>
      <c r="C15" s="168" t="s">
        <v>61</v>
      </c>
      <c r="D15" s="144"/>
      <c r="E15" s="283">
        <f>SUM(E12:E14)</f>
        <v>589524346</v>
      </c>
      <c r="F15" s="122" t="s">
        <v>4</v>
      </c>
      <c r="G15" s="283">
        <f>SUM(G12:G14)</f>
        <v>567253989</v>
      </c>
      <c r="H15" s="122" t="s">
        <v>4</v>
      </c>
      <c r="I15" s="283">
        <f t="shared" si="0"/>
        <v>1156778335</v>
      </c>
      <c r="J15" s="224" t="s">
        <v>4</v>
      </c>
      <c r="K15" s="115"/>
    </row>
    <row r="16" spans="1:11" ht="15" customHeight="1" x14ac:dyDescent="0.2">
      <c r="A16" s="343"/>
      <c r="B16" s="351" t="s">
        <v>59</v>
      </c>
      <c r="C16" s="168" t="s">
        <v>27</v>
      </c>
      <c r="D16" s="127" t="s">
        <v>41</v>
      </c>
      <c r="E16" s="283">
        <v>243792393</v>
      </c>
      <c r="F16" s="120" t="s">
        <v>4</v>
      </c>
      <c r="G16" s="283">
        <v>259022348</v>
      </c>
      <c r="H16" s="120" t="s">
        <v>4</v>
      </c>
      <c r="I16" s="283">
        <f t="shared" si="0"/>
        <v>502814741</v>
      </c>
      <c r="J16" s="222" t="s">
        <v>4</v>
      </c>
      <c r="K16" s="115"/>
    </row>
    <row r="17" spans="1:13" ht="15" customHeight="1" x14ac:dyDescent="0.2">
      <c r="A17" s="343"/>
      <c r="B17" s="352"/>
      <c r="C17" s="168" t="s">
        <v>28</v>
      </c>
      <c r="D17" s="127" t="s">
        <v>42</v>
      </c>
      <c r="E17" s="283">
        <v>110982609</v>
      </c>
      <c r="F17" s="120" t="s">
        <v>4</v>
      </c>
      <c r="G17" s="283">
        <v>94186728</v>
      </c>
      <c r="H17" s="120" t="s">
        <v>4</v>
      </c>
      <c r="I17" s="283">
        <f t="shared" si="0"/>
        <v>205169337</v>
      </c>
      <c r="J17" s="222" t="s">
        <v>4</v>
      </c>
      <c r="K17" s="115"/>
    </row>
    <row r="18" spans="1:13" ht="15" customHeight="1" thickBot="1" x14ac:dyDescent="0.25">
      <c r="A18" s="344"/>
      <c r="B18" s="353"/>
      <c r="C18" s="169" t="s">
        <v>60</v>
      </c>
      <c r="D18" s="150"/>
      <c r="E18" s="285">
        <f>SUM(E16:E17)</f>
        <v>354775002</v>
      </c>
      <c r="F18" s="225" t="s">
        <v>4</v>
      </c>
      <c r="G18" s="285">
        <f>SUM(G16:G17)</f>
        <v>353209076</v>
      </c>
      <c r="H18" s="225" t="s">
        <v>4</v>
      </c>
      <c r="I18" s="285">
        <f t="shared" si="0"/>
        <v>707984078</v>
      </c>
      <c r="J18" s="226" t="s">
        <v>4</v>
      </c>
      <c r="K18" s="111"/>
      <c r="L18" s="111"/>
      <c r="M18" s="111"/>
    </row>
    <row r="19" spans="1:13" s="111" customFormat="1" ht="15" customHeight="1" x14ac:dyDescent="0.2">
      <c r="A19" s="124"/>
      <c r="B19" s="124"/>
      <c r="C19" s="124"/>
      <c r="D19" s="156"/>
      <c r="E19" s="124"/>
      <c r="F19" s="124"/>
      <c r="G19" s="124"/>
      <c r="H19" s="124"/>
      <c r="I19" s="124"/>
      <c r="J19" s="124"/>
      <c r="K19" s="151"/>
    </row>
    <row r="20" spans="1:13" ht="15" customHeight="1" thickBot="1" x14ac:dyDescent="0.25">
      <c r="A20" s="125" t="s">
        <v>56</v>
      </c>
      <c r="B20" s="117"/>
      <c r="C20" s="117"/>
      <c r="D20" s="117"/>
      <c r="E20" s="117"/>
      <c r="F20" s="117"/>
      <c r="G20" s="117"/>
      <c r="H20" s="125"/>
      <c r="I20" s="117"/>
      <c r="J20" s="117"/>
      <c r="K20" s="115"/>
    </row>
    <row r="21" spans="1:13" ht="15" customHeight="1" x14ac:dyDescent="0.2">
      <c r="A21" s="216"/>
      <c r="B21" s="133"/>
      <c r="C21" s="170" t="s">
        <v>108</v>
      </c>
      <c r="D21" s="217"/>
      <c r="E21" s="334" t="s">
        <v>158</v>
      </c>
      <c r="F21" s="335"/>
      <c r="G21" s="334" t="s">
        <v>107</v>
      </c>
      <c r="H21" s="334"/>
      <c r="I21" s="336" t="s">
        <v>18</v>
      </c>
      <c r="J21" s="337"/>
    </row>
    <row r="22" spans="1:13" ht="15" customHeight="1" x14ac:dyDescent="0.2">
      <c r="A22" s="165" t="s">
        <v>0</v>
      </c>
      <c r="B22" s="218"/>
      <c r="C22" s="166"/>
      <c r="D22" s="126" t="s">
        <v>43</v>
      </c>
      <c r="E22" s="287">
        <v>129677</v>
      </c>
      <c r="F22" s="126" t="s">
        <v>1</v>
      </c>
      <c r="G22" s="287">
        <v>147665</v>
      </c>
      <c r="H22" s="121" t="s">
        <v>1</v>
      </c>
      <c r="I22" s="283">
        <f>SUM(E22,G22)</f>
        <v>277342</v>
      </c>
      <c r="J22" s="223" t="s">
        <v>1</v>
      </c>
      <c r="K22" s="115"/>
    </row>
    <row r="23" spans="1:13" ht="15" customHeight="1" x14ac:dyDescent="0.2">
      <c r="A23" s="163" t="s">
        <v>29</v>
      </c>
      <c r="B23" s="219"/>
      <c r="C23" s="164"/>
      <c r="D23" s="127" t="s">
        <v>44</v>
      </c>
      <c r="E23" s="288">
        <f>E22/E9*100</f>
        <v>1.4569393566421309</v>
      </c>
      <c r="F23" s="127" t="s">
        <v>2</v>
      </c>
      <c r="G23" s="288">
        <f>G22/G9*100</f>
        <v>1.7698948514775774</v>
      </c>
      <c r="H23" s="120" t="s">
        <v>2</v>
      </c>
      <c r="I23" s="288">
        <f>I22/I9*100</f>
        <v>1.6083581596534775</v>
      </c>
      <c r="J23" s="222" t="s">
        <v>2</v>
      </c>
      <c r="K23" s="115"/>
    </row>
    <row r="24" spans="1:13" ht="15" customHeight="1" x14ac:dyDescent="0.2">
      <c r="A24" s="163" t="s">
        <v>30</v>
      </c>
      <c r="B24" s="219"/>
      <c r="C24" s="164"/>
      <c r="D24" s="127" t="s">
        <v>45</v>
      </c>
      <c r="E24" s="283">
        <v>80526325</v>
      </c>
      <c r="F24" s="127" t="s">
        <v>4</v>
      </c>
      <c r="G24" s="283">
        <v>133702982</v>
      </c>
      <c r="H24" s="120" t="s">
        <v>4</v>
      </c>
      <c r="I24" s="283">
        <f>SUM(E24,G24)</f>
        <v>214229307</v>
      </c>
      <c r="J24" s="222" t="s">
        <v>4</v>
      </c>
      <c r="K24" s="115"/>
    </row>
    <row r="25" spans="1:13" ht="12" customHeight="1" x14ac:dyDescent="0.15">
      <c r="A25" s="176" t="s">
        <v>104</v>
      </c>
      <c r="B25" s="219"/>
      <c r="C25" s="164"/>
      <c r="D25" s="120"/>
      <c r="E25" s="288"/>
      <c r="F25" s="128"/>
      <c r="G25" s="288"/>
      <c r="H25" s="129"/>
      <c r="I25" s="290"/>
      <c r="J25" s="227"/>
      <c r="K25" s="115"/>
    </row>
    <row r="26" spans="1:13" ht="12" customHeight="1" thickBot="1" x14ac:dyDescent="0.25">
      <c r="A26" s="177" t="s">
        <v>105</v>
      </c>
      <c r="B26" s="220"/>
      <c r="C26" s="178"/>
      <c r="D26" s="179" t="s">
        <v>46</v>
      </c>
      <c r="E26" s="289">
        <f>E24/E11*100</f>
        <v>8.5276268770652592</v>
      </c>
      <c r="F26" s="130" t="s">
        <v>31</v>
      </c>
      <c r="G26" s="289">
        <f>G24/G11*100</f>
        <v>14.52562162285132</v>
      </c>
      <c r="H26" s="131" t="s">
        <v>31</v>
      </c>
      <c r="I26" s="289">
        <f>I24/I11*100</f>
        <v>11.488289634460795</v>
      </c>
      <c r="J26" s="132" t="s">
        <v>31</v>
      </c>
      <c r="K26" s="115"/>
    </row>
    <row r="27" spans="1:13" ht="15" customHeight="1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15"/>
    </row>
    <row r="28" spans="1:13" ht="15" customHeight="1" thickBot="1" x14ac:dyDescent="0.25">
      <c r="A28" s="125" t="s">
        <v>57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5"/>
    </row>
    <row r="29" spans="1:13" ht="15" customHeight="1" x14ac:dyDescent="0.2">
      <c r="A29" s="158"/>
      <c r="B29" s="159"/>
      <c r="C29" s="160" t="s">
        <v>108</v>
      </c>
      <c r="D29" s="161"/>
      <c r="E29" s="330" t="s">
        <v>106</v>
      </c>
      <c r="F29" s="333"/>
      <c r="G29" s="330" t="s">
        <v>107</v>
      </c>
      <c r="H29" s="330"/>
      <c r="I29" s="331" t="s">
        <v>18</v>
      </c>
      <c r="J29" s="332"/>
    </row>
    <row r="30" spans="1:13" ht="22.75" customHeight="1" x14ac:dyDescent="0.2">
      <c r="A30" s="345" t="s">
        <v>63</v>
      </c>
      <c r="B30" s="346"/>
      <c r="C30" s="346"/>
      <c r="D30" s="135" t="s">
        <v>47</v>
      </c>
      <c r="E30" s="291">
        <f>E11/E9*1000</f>
        <v>106093.361548517</v>
      </c>
      <c r="F30" s="134" t="s">
        <v>32</v>
      </c>
      <c r="G30" s="291">
        <f>G11/G9*1000</f>
        <v>110325.59101471375</v>
      </c>
      <c r="H30" s="135" t="s">
        <v>32</v>
      </c>
      <c r="I30" s="291">
        <f>I11/I9*1000</f>
        <v>108141.06203761631</v>
      </c>
      <c r="J30" s="136" t="s">
        <v>32</v>
      </c>
      <c r="K30" s="115"/>
    </row>
    <row r="31" spans="1:13" ht="22.75" customHeight="1" x14ac:dyDescent="0.2">
      <c r="A31" s="347" t="s">
        <v>109</v>
      </c>
      <c r="B31" s="339"/>
      <c r="C31" s="339"/>
      <c r="D31" s="138" t="s">
        <v>48</v>
      </c>
      <c r="E31" s="287">
        <f>E11/E10*1000</f>
        <v>67887.376037874899</v>
      </c>
      <c r="F31" s="126" t="s">
        <v>32</v>
      </c>
      <c r="G31" s="287">
        <f>G11/G10*1000</f>
        <v>74906.604276984741</v>
      </c>
      <c r="H31" s="121" t="s">
        <v>32</v>
      </c>
      <c r="I31" s="287">
        <f>I11/I10*1000</f>
        <v>71179.745343297269</v>
      </c>
      <c r="J31" s="223" t="s">
        <v>32</v>
      </c>
      <c r="K31" s="115"/>
    </row>
    <row r="32" spans="1:13" ht="22.75" customHeight="1" x14ac:dyDescent="0.2">
      <c r="A32" s="338" t="s">
        <v>64</v>
      </c>
      <c r="B32" s="339"/>
      <c r="C32" s="339"/>
      <c r="D32" s="121" t="s">
        <v>49</v>
      </c>
      <c r="E32" s="287">
        <f>E16/E10*1000</f>
        <v>17526.672970618612</v>
      </c>
      <c r="F32" s="126" t="s">
        <v>32</v>
      </c>
      <c r="G32" s="287">
        <f>G16/G10*1000</f>
        <v>21079.047338560431</v>
      </c>
      <c r="H32" s="121" t="s">
        <v>32</v>
      </c>
      <c r="I32" s="287">
        <f>I16/I10*1000</f>
        <v>19192.914319662435</v>
      </c>
      <c r="J32" s="223" t="s">
        <v>32</v>
      </c>
      <c r="K32" s="115"/>
    </row>
    <row r="33" spans="1:11" ht="22.75" customHeight="1" x14ac:dyDescent="0.2">
      <c r="A33" s="338" t="s">
        <v>65</v>
      </c>
      <c r="B33" s="339"/>
      <c r="C33" s="339"/>
      <c r="D33" s="138" t="s">
        <v>50</v>
      </c>
      <c r="E33" s="287">
        <f>E17/E9*1000</f>
        <v>12469.052411370187</v>
      </c>
      <c r="F33" s="137" t="s">
        <v>33</v>
      </c>
      <c r="G33" s="287">
        <f>G17/G9*1000</f>
        <v>11289.107436746621</v>
      </c>
      <c r="H33" s="138" t="s">
        <v>33</v>
      </c>
      <c r="I33" s="287">
        <f>I17/I9*1000</f>
        <v>11898.15380557738</v>
      </c>
      <c r="J33" s="228" t="s">
        <v>33</v>
      </c>
      <c r="K33" s="115"/>
    </row>
    <row r="34" spans="1:11" ht="22.75" customHeight="1" thickBot="1" x14ac:dyDescent="0.25">
      <c r="A34" s="340" t="s">
        <v>34</v>
      </c>
      <c r="B34" s="341"/>
      <c r="C34" s="341"/>
      <c r="D34" s="123" t="s">
        <v>53</v>
      </c>
      <c r="E34" s="285">
        <f>(92285271+48515005)/4942216*1000</f>
        <v>28489.300346241442</v>
      </c>
      <c r="F34" s="229" t="s">
        <v>32</v>
      </c>
      <c r="G34" s="285">
        <f>(101128989+44398535)/4662012*1000</f>
        <v>31215.604764638101</v>
      </c>
      <c r="H34" s="225" t="s">
        <v>32</v>
      </c>
      <c r="I34" s="285">
        <f>(92285271+48515005+101128989+44398535)/(4942216+4662012)*1000</f>
        <v>29812.682497749949</v>
      </c>
      <c r="J34" s="226" t="s">
        <v>32</v>
      </c>
      <c r="K34" s="115"/>
    </row>
    <row r="35" spans="1:11" s="111" customFormat="1" ht="12" customHeight="1" x14ac:dyDescent="0.2">
      <c r="D35" s="151"/>
      <c r="K35" s="151"/>
    </row>
    <row r="36" spans="1:11" s="111" customFormat="1" ht="12" customHeight="1" x14ac:dyDescent="0.2">
      <c r="D36" s="151"/>
      <c r="K36" s="151"/>
    </row>
    <row r="37" spans="1:11" s="111" customFormat="1" ht="12" customHeight="1" x14ac:dyDescent="0.2">
      <c r="D37" s="151"/>
      <c r="K37" s="151"/>
    </row>
    <row r="38" spans="1:11" s="111" customFormat="1" ht="12" customHeight="1" x14ac:dyDescent="0.2">
      <c r="D38" s="151"/>
      <c r="K38" s="151"/>
    </row>
    <row r="39" spans="1:11" s="111" customFormat="1" ht="12" customHeight="1" x14ac:dyDescent="0.2">
      <c r="D39" s="151"/>
      <c r="K39" s="151"/>
    </row>
    <row r="40" spans="1:11" s="111" customFormat="1" ht="12" customHeight="1" x14ac:dyDescent="0.2">
      <c r="D40" s="151"/>
      <c r="K40" s="151"/>
    </row>
  </sheetData>
  <mergeCells count="17">
    <mergeCell ref="A33:C33"/>
    <mergeCell ref="A34:C34"/>
    <mergeCell ref="A32:C32"/>
    <mergeCell ref="A12:A18"/>
    <mergeCell ref="A30:C30"/>
    <mergeCell ref="A31:C31"/>
    <mergeCell ref="B12:B15"/>
    <mergeCell ref="B16:B18"/>
    <mergeCell ref="G29:H29"/>
    <mergeCell ref="I29:J29"/>
    <mergeCell ref="I8:J8"/>
    <mergeCell ref="G8:H8"/>
    <mergeCell ref="E8:F8"/>
    <mergeCell ref="E21:F21"/>
    <mergeCell ref="G21:H21"/>
    <mergeCell ref="I21:J21"/>
    <mergeCell ref="E29:F29"/>
  </mergeCells>
  <phoneticPr fontId="1"/>
  <printOptions horizontalCentered="1"/>
  <pageMargins left="0.39370078740157483" right="0.39370078740157483" top="0.78740157480314965" bottom="0.39370078740157483" header="0.39370078740157483" footer="0.39370078740157483"/>
  <pageSetup paperSize="9" scale="103" orientation="landscape" horizontalDpi="4294967292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0000"/>
  </sheetPr>
  <dimension ref="A1:P39"/>
  <sheetViews>
    <sheetView zoomScaleNormal="100" zoomScaleSheetLayoutView="100" workbookViewId="0"/>
  </sheetViews>
  <sheetFormatPr defaultColWidth="12.1640625" defaultRowHeight="12" customHeight="1" x14ac:dyDescent="0.2"/>
  <cols>
    <col min="1" max="2" width="3.1640625" style="5" customWidth="1"/>
    <col min="3" max="3" width="20.58203125" style="5" customWidth="1"/>
    <col min="4" max="4" width="5.6640625" style="6" customWidth="1"/>
    <col min="5" max="5" width="15.4140625" style="115" customWidth="1"/>
    <col min="6" max="6" width="5.6640625" style="115" customWidth="1"/>
    <col min="7" max="7" width="15.4140625" style="115" customWidth="1"/>
    <col min="8" max="8" width="5.6640625" style="115" customWidth="1"/>
    <col min="9" max="9" width="15.4140625" style="115" customWidth="1"/>
    <col min="10" max="10" width="5.6640625" style="115" customWidth="1"/>
    <col min="11" max="16384" width="12.1640625" style="5"/>
  </cols>
  <sheetData>
    <row r="1" spans="1:16" s="2" customFormat="1" ht="12" customHeight="1" x14ac:dyDescent="0.2">
      <c r="A1" s="1"/>
      <c r="D1" s="3"/>
      <c r="E1" s="111"/>
      <c r="F1" s="111"/>
      <c r="G1" s="111"/>
      <c r="H1" s="111"/>
      <c r="I1" s="111"/>
      <c r="J1" s="111"/>
    </row>
    <row r="2" spans="1:16" s="33" customFormat="1" ht="14" customHeight="1" x14ac:dyDescent="0.2">
      <c r="A2" s="104" t="s">
        <v>66</v>
      </c>
      <c r="D2" s="34"/>
      <c r="E2" s="139"/>
      <c r="F2" s="139"/>
      <c r="G2" s="139"/>
      <c r="H2" s="139"/>
      <c r="I2" s="139"/>
      <c r="J2" s="139"/>
    </row>
    <row r="3" spans="1:16" s="2" customFormat="1" ht="10" customHeight="1" x14ac:dyDescent="0.2">
      <c r="A3" s="4"/>
      <c r="D3" s="3"/>
      <c r="E3" s="111"/>
      <c r="F3" s="111"/>
      <c r="G3" s="111"/>
      <c r="H3" s="111"/>
      <c r="I3" s="111"/>
      <c r="J3" s="111"/>
    </row>
    <row r="4" spans="1:16" s="7" customFormat="1" ht="14" customHeight="1" x14ac:dyDescent="0.2">
      <c r="A4" s="8" t="s">
        <v>80</v>
      </c>
      <c r="D4" s="18"/>
      <c r="E4" s="124"/>
      <c r="F4" s="124"/>
      <c r="G4" s="124"/>
      <c r="H4" s="124"/>
      <c r="I4" s="124"/>
      <c r="J4" s="124"/>
    </row>
    <row r="5" spans="1:16" s="7" customFormat="1" ht="9" customHeight="1" x14ac:dyDescent="0.2">
      <c r="A5" s="8"/>
      <c r="D5" s="18"/>
      <c r="E5" s="124"/>
      <c r="F5" s="124"/>
      <c r="G5" s="124"/>
      <c r="H5" s="124"/>
      <c r="I5" s="124"/>
      <c r="J5" s="124"/>
    </row>
    <row r="6" spans="1:16" s="9" customFormat="1" ht="14.4" customHeight="1" thickBot="1" x14ac:dyDescent="0.25">
      <c r="A6" s="10" t="s">
        <v>81</v>
      </c>
      <c r="D6" s="11"/>
      <c r="E6" s="117"/>
      <c r="F6" s="117"/>
      <c r="G6" s="117"/>
      <c r="H6" s="117"/>
      <c r="I6" s="117"/>
      <c r="J6" s="117"/>
    </row>
    <row r="7" spans="1:16" s="9" customFormat="1" ht="15" customHeight="1" x14ac:dyDescent="0.2">
      <c r="A7" s="40"/>
      <c r="B7" s="41"/>
      <c r="C7" s="42" t="s">
        <v>108</v>
      </c>
      <c r="D7" s="43"/>
      <c r="E7" s="374" t="s">
        <v>106</v>
      </c>
      <c r="F7" s="375"/>
      <c r="G7" s="354" t="s">
        <v>107</v>
      </c>
      <c r="H7" s="355"/>
      <c r="I7" s="356" t="s">
        <v>18</v>
      </c>
      <c r="J7" s="357"/>
      <c r="P7" s="11"/>
    </row>
    <row r="8" spans="1:16" s="9" customFormat="1" ht="15" customHeight="1" x14ac:dyDescent="0.2">
      <c r="A8" s="13" t="s">
        <v>0</v>
      </c>
      <c r="B8" s="39"/>
      <c r="C8" s="7"/>
      <c r="D8" s="19" t="s">
        <v>35</v>
      </c>
      <c r="E8" s="291">
        <v>8900645</v>
      </c>
      <c r="F8" s="140" t="s">
        <v>1</v>
      </c>
      <c r="G8" s="292">
        <v>8343151</v>
      </c>
      <c r="H8" s="141" t="s">
        <v>1</v>
      </c>
      <c r="I8" s="300">
        <f>E8+G8</f>
        <v>17243796</v>
      </c>
      <c r="J8" s="230" t="s">
        <v>1</v>
      </c>
    </row>
    <row r="9" spans="1:16" s="9" customFormat="1" ht="15" customHeight="1" x14ac:dyDescent="0.2">
      <c r="A9" s="14" t="s">
        <v>22</v>
      </c>
      <c r="B9" s="15"/>
      <c r="C9" s="35"/>
      <c r="D9" s="16" t="s">
        <v>103</v>
      </c>
      <c r="E9" s="287">
        <v>13909793</v>
      </c>
      <c r="F9" s="127" t="s">
        <v>3</v>
      </c>
      <c r="G9" s="293">
        <v>12288143</v>
      </c>
      <c r="H9" s="142" t="s">
        <v>3</v>
      </c>
      <c r="I9" s="300">
        <f t="shared" ref="I9:I12" si="0">E9+G9</f>
        <v>26197936</v>
      </c>
      <c r="J9" s="222" t="s">
        <v>3</v>
      </c>
    </row>
    <row r="10" spans="1:16" s="9" customFormat="1" ht="15" customHeight="1" x14ac:dyDescent="0.2">
      <c r="A10" s="20" t="s">
        <v>102</v>
      </c>
      <c r="B10" s="21"/>
      <c r="C10" s="36"/>
      <c r="D10" s="24" t="s">
        <v>85</v>
      </c>
      <c r="E10" s="297">
        <f>SUM(E11,E12,E13,E15,E16)</f>
        <v>306485694</v>
      </c>
      <c r="F10" s="126" t="s">
        <v>4</v>
      </c>
      <c r="G10" s="297">
        <f>SUM(G11,G12,G13,G15,G16)</f>
        <v>305704187</v>
      </c>
      <c r="H10" s="143" t="s">
        <v>4</v>
      </c>
      <c r="I10" s="300">
        <f t="shared" si="0"/>
        <v>612189881</v>
      </c>
      <c r="J10" s="223" t="s">
        <v>4</v>
      </c>
    </row>
    <row r="11" spans="1:16" s="9" customFormat="1" ht="15" customHeight="1" x14ac:dyDescent="0.2">
      <c r="A11" s="368" t="s">
        <v>62</v>
      </c>
      <c r="B11" s="371" t="s">
        <v>86</v>
      </c>
      <c r="C11" s="17" t="s">
        <v>23</v>
      </c>
      <c r="D11" s="16" t="s">
        <v>87</v>
      </c>
      <c r="E11" s="283">
        <v>185636716</v>
      </c>
      <c r="F11" s="127" t="s">
        <v>4</v>
      </c>
      <c r="G11" s="299">
        <v>187284105</v>
      </c>
      <c r="H11" s="142" t="s">
        <v>4</v>
      </c>
      <c r="I11" s="300">
        <f t="shared" si="0"/>
        <v>372920821</v>
      </c>
      <c r="J11" s="222" t="s">
        <v>4</v>
      </c>
    </row>
    <row r="12" spans="1:16" s="9" customFormat="1" ht="15" customHeight="1" x14ac:dyDescent="0.2">
      <c r="A12" s="369"/>
      <c r="B12" s="372"/>
      <c r="C12" s="17" t="s">
        <v>24</v>
      </c>
      <c r="D12" s="16" t="s">
        <v>88</v>
      </c>
      <c r="E12" s="283">
        <v>3409350</v>
      </c>
      <c r="F12" s="127" t="s">
        <v>4</v>
      </c>
      <c r="G12" s="299">
        <v>218234</v>
      </c>
      <c r="H12" s="142" t="s">
        <v>4</v>
      </c>
      <c r="I12" s="300">
        <f t="shared" si="0"/>
        <v>3627584</v>
      </c>
      <c r="J12" s="223" t="s">
        <v>4</v>
      </c>
    </row>
    <row r="13" spans="1:16" s="9" customFormat="1" ht="15" customHeight="1" x14ac:dyDescent="0.2">
      <c r="A13" s="369"/>
      <c r="B13" s="372"/>
      <c r="C13" s="17" t="s">
        <v>25</v>
      </c>
      <c r="D13" s="16" t="s">
        <v>89</v>
      </c>
      <c r="E13" s="294" t="s">
        <v>26</v>
      </c>
      <c r="F13" s="16" t="s">
        <v>4</v>
      </c>
      <c r="G13" s="294" t="s">
        <v>26</v>
      </c>
      <c r="H13" s="295" t="s">
        <v>4</v>
      </c>
      <c r="I13" s="296" t="s">
        <v>26</v>
      </c>
      <c r="J13" s="222" t="s">
        <v>4</v>
      </c>
    </row>
    <row r="14" spans="1:16" s="9" customFormat="1" ht="15" customHeight="1" x14ac:dyDescent="0.2">
      <c r="A14" s="369"/>
      <c r="B14" s="373"/>
      <c r="C14" s="17" t="s">
        <v>61</v>
      </c>
      <c r="D14" s="26"/>
      <c r="E14" s="283">
        <f>SUM(E11:E13)</f>
        <v>189046066</v>
      </c>
      <c r="F14" s="144" t="s">
        <v>4</v>
      </c>
      <c r="G14" s="283">
        <f>SUM(G11:G13)</f>
        <v>187502339</v>
      </c>
      <c r="H14" s="145" t="s">
        <v>4</v>
      </c>
      <c r="I14" s="301">
        <f>E14+G14</f>
        <v>376548405</v>
      </c>
      <c r="J14" s="224" t="s">
        <v>4</v>
      </c>
    </row>
    <row r="15" spans="1:16" s="9" customFormat="1" ht="15" customHeight="1" x14ac:dyDescent="0.2">
      <c r="A15" s="369"/>
      <c r="B15" s="363" t="s">
        <v>90</v>
      </c>
      <c r="C15" s="17" t="s">
        <v>27</v>
      </c>
      <c r="D15" s="16" t="s">
        <v>91</v>
      </c>
      <c r="E15" s="283">
        <v>85803855</v>
      </c>
      <c r="F15" s="127" t="s">
        <v>4</v>
      </c>
      <c r="G15" s="299">
        <v>87690368</v>
      </c>
      <c r="H15" s="142" t="s">
        <v>4</v>
      </c>
      <c r="I15" s="301">
        <f t="shared" ref="I15:I17" si="1">E15+G15</f>
        <v>173494223</v>
      </c>
      <c r="J15" s="222" t="s">
        <v>4</v>
      </c>
    </row>
    <row r="16" spans="1:16" s="9" customFormat="1" ht="15" customHeight="1" x14ac:dyDescent="0.2">
      <c r="A16" s="369"/>
      <c r="B16" s="364"/>
      <c r="C16" s="17" t="s">
        <v>28</v>
      </c>
      <c r="D16" s="16" t="s">
        <v>92</v>
      </c>
      <c r="E16" s="283">
        <v>31635773</v>
      </c>
      <c r="F16" s="127" t="s">
        <v>4</v>
      </c>
      <c r="G16" s="299">
        <v>30511480</v>
      </c>
      <c r="H16" s="142" t="s">
        <v>4</v>
      </c>
      <c r="I16" s="301">
        <f t="shared" si="1"/>
        <v>62147253</v>
      </c>
      <c r="J16" s="222" t="s">
        <v>4</v>
      </c>
    </row>
    <row r="17" spans="1:16" s="9" customFormat="1" ht="15" customHeight="1" thickBot="1" x14ac:dyDescent="0.25">
      <c r="A17" s="370"/>
      <c r="B17" s="365"/>
      <c r="C17" s="37" t="s">
        <v>60</v>
      </c>
      <c r="D17" s="38"/>
      <c r="E17" s="298">
        <f>SUM(E15:E16)</f>
        <v>117439628</v>
      </c>
      <c r="F17" s="231" t="s">
        <v>4</v>
      </c>
      <c r="G17" s="298">
        <f>SUM(G15:G16)</f>
        <v>118201848</v>
      </c>
      <c r="H17" s="232" t="s">
        <v>4</v>
      </c>
      <c r="I17" s="302">
        <f t="shared" si="1"/>
        <v>235641476</v>
      </c>
      <c r="J17" s="226" t="s">
        <v>4</v>
      </c>
    </row>
    <row r="18" spans="1:16" s="7" customFormat="1" ht="15" customHeight="1" x14ac:dyDescent="0.2">
      <c r="A18" s="12"/>
      <c r="B18" s="12"/>
      <c r="D18" s="18"/>
      <c r="E18" s="124"/>
      <c r="F18" s="124"/>
      <c r="G18" s="124"/>
      <c r="H18" s="124"/>
      <c r="I18" s="133"/>
      <c r="J18" s="133"/>
    </row>
    <row r="19" spans="1:16" s="9" customFormat="1" ht="15" customHeight="1" thickBot="1" x14ac:dyDescent="0.25">
      <c r="A19" s="10" t="s">
        <v>56</v>
      </c>
      <c r="D19" s="23"/>
      <c r="E19" s="117"/>
      <c r="F19" s="117"/>
      <c r="G19" s="117"/>
      <c r="H19" s="117"/>
      <c r="I19" s="117"/>
      <c r="J19" s="117"/>
    </row>
    <row r="20" spans="1:16" s="9" customFormat="1" ht="15" customHeight="1" x14ac:dyDescent="0.2">
      <c r="A20" s="40"/>
      <c r="B20" s="41"/>
      <c r="C20" s="42" t="s">
        <v>108</v>
      </c>
      <c r="D20" s="43"/>
      <c r="E20" s="374" t="s">
        <v>159</v>
      </c>
      <c r="F20" s="375"/>
      <c r="G20" s="354" t="s">
        <v>107</v>
      </c>
      <c r="H20" s="355"/>
      <c r="I20" s="356" t="s">
        <v>18</v>
      </c>
      <c r="J20" s="357"/>
      <c r="P20" s="11"/>
    </row>
    <row r="21" spans="1:16" s="9" customFormat="1" ht="15" customHeight="1" x14ac:dyDescent="0.2">
      <c r="A21" s="13" t="s">
        <v>0</v>
      </c>
      <c r="B21" s="7"/>
      <c r="C21" s="7"/>
      <c r="D21" s="19" t="s">
        <v>94</v>
      </c>
      <c r="E21" s="286">
        <v>148523</v>
      </c>
      <c r="F21" s="140" t="s">
        <v>1</v>
      </c>
      <c r="G21" s="286">
        <v>176868</v>
      </c>
      <c r="H21" s="141" t="s">
        <v>1</v>
      </c>
      <c r="I21" s="303">
        <f>E21+G21</f>
        <v>325391</v>
      </c>
      <c r="J21" s="119" t="s">
        <v>1</v>
      </c>
    </row>
    <row r="22" spans="1:16" s="9" customFormat="1" ht="15" customHeight="1" x14ac:dyDescent="0.2">
      <c r="A22" s="14" t="s">
        <v>29</v>
      </c>
      <c r="B22" s="15"/>
      <c r="C22" s="15"/>
      <c r="D22" s="16" t="s">
        <v>95</v>
      </c>
      <c r="E22" s="288">
        <f>E21/E8*100</f>
        <v>1.6686768206124385</v>
      </c>
      <c r="F22" s="127" t="s">
        <v>2</v>
      </c>
      <c r="G22" s="288">
        <f>G21/G8*100</f>
        <v>2.1199184816384125</v>
      </c>
      <c r="H22" s="142" t="s">
        <v>2</v>
      </c>
      <c r="I22" s="288">
        <f>I21/I8*100</f>
        <v>1.8870033025210922</v>
      </c>
      <c r="J22" s="222" t="s">
        <v>2</v>
      </c>
    </row>
    <row r="23" spans="1:16" s="9" customFormat="1" ht="15" customHeight="1" x14ac:dyDescent="0.2">
      <c r="A23" s="14" t="s">
        <v>30</v>
      </c>
      <c r="B23" s="15"/>
      <c r="C23" s="15"/>
      <c r="D23" s="16" t="s">
        <v>96</v>
      </c>
      <c r="E23" s="283">
        <v>27379730</v>
      </c>
      <c r="F23" s="127" t="s">
        <v>4</v>
      </c>
      <c r="G23" s="283">
        <f>48232409</f>
        <v>48232409</v>
      </c>
      <c r="H23" s="142" t="s">
        <v>4</v>
      </c>
      <c r="I23" s="301">
        <f>E23+G23</f>
        <v>75612139</v>
      </c>
      <c r="J23" s="222" t="s">
        <v>4</v>
      </c>
    </row>
    <row r="24" spans="1:16" s="9" customFormat="1" ht="12" customHeight="1" x14ac:dyDescent="0.15">
      <c r="A24" s="95" t="s">
        <v>112</v>
      </c>
      <c r="B24" s="15"/>
      <c r="C24" s="15"/>
      <c r="D24" s="15"/>
      <c r="E24" s="283"/>
      <c r="F24" s="144"/>
      <c r="G24" s="276"/>
      <c r="H24" s="145"/>
      <c r="I24" s="277"/>
      <c r="J24" s="224"/>
    </row>
    <row r="25" spans="1:16" s="9" customFormat="1" ht="12" customHeight="1" thickBot="1" x14ac:dyDescent="0.25">
      <c r="A25" s="96" t="s">
        <v>111</v>
      </c>
      <c r="B25" s="28"/>
      <c r="C25" s="28"/>
      <c r="D25" s="29" t="s">
        <v>97</v>
      </c>
      <c r="E25" s="289">
        <f>E23/E10*100</f>
        <v>8.9334447042738638</v>
      </c>
      <c r="F25" s="130" t="s">
        <v>31</v>
      </c>
      <c r="G25" s="289">
        <f>G23/G10*100</f>
        <v>15.777477395165674</v>
      </c>
      <c r="H25" s="146" t="s">
        <v>31</v>
      </c>
      <c r="I25" s="289">
        <f>I23/I10*100</f>
        <v>12.351092585275842</v>
      </c>
      <c r="J25" s="132" t="s">
        <v>31</v>
      </c>
    </row>
    <row r="26" spans="1:16" s="9" customFormat="1" ht="15" customHeight="1" x14ac:dyDescent="0.2">
      <c r="A26" s="12"/>
      <c r="B26" s="12"/>
      <c r="C26" s="12"/>
      <c r="D26" s="12"/>
      <c r="E26" s="133"/>
      <c r="F26" s="133"/>
      <c r="G26" s="133"/>
      <c r="H26" s="133"/>
      <c r="I26" s="133"/>
      <c r="J26" s="133"/>
    </row>
    <row r="27" spans="1:16" s="9" customFormat="1" ht="15" customHeight="1" thickBot="1" x14ac:dyDescent="0.25">
      <c r="A27" s="10" t="s">
        <v>82</v>
      </c>
      <c r="E27" s="117"/>
      <c r="F27" s="117"/>
      <c r="G27" s="117"/>
      <c r="H27" s="117"/>
      <c r="I27" s="117"/>
      <c r="J27" s="117"/>
    </row>
    <row r="28" spans="1:16" s="9" customFormat="1" ht="15" customHeight="1" x14ac:dyDescent="0.2">
      <c r="A28" s="40"/>
      <c r="B28" s="41"/>
      <c r="C28" s="42" t="s">
        <v>108</v>
      </c>
      <c r="D28" s="43"/>
      <c r="E28" s="374" t="s">
        <v>160</v>
      </c>
      <c r="F28" s="375"/>
      <c r="G28" s="354" t="s">
        <v>107</v>
      </c>
      <c r="H28" s="355"/>
      <c r="I28" s="356" t="s">
        <v>18</v>
      </c>
      <c r="J28" s="357"/>
      <c r="P28" s="11"/>
    </row>
    <row r="29" spans="1:16" s="9" customFormat="1" ht="22.75" customHeight="1" x14ac:dyDescent="0.2">
      <c r="A29" s="366" t="s">
        <v>150</v>
      </c>
      <c r="B29" s="367"/>
      <c r="C29" s="367"/>
      <c r="D29" s="32" t="s">
        <v>98</v>
      </c>
      <c r="E29" s="291">
        <f>E10/E8*1000</f>
        <v>34434.09932650948</v>
      </c>
      <c r="F29" s="147" t="s">
        <v>32</v>
      </c>
      <c r="G29" s="291">
        <f>G10/G8*1000</f>
        <v>36641.334550938853</v>
      </c>
      <c r="H29" s="148" t="s">
        <v>32</v>
      </c>
      <c r="I29" s="291">
        <f>I10/I8*1000</f>
        <v>35502.036848499018</v>
      </c>
      <c r="J29" s="136" t="s">
        <v>32</v>
      </c>
    </row>
    <row r="30" spans="1:16" s="9" customFormat="1" ht="22.75" customHeight="1" x14ac:dyDescent="0.2">
      <c r="A30" s="358" t="s">
        <v>151</v>
      </c>
      <c r="B30" s="359"/>
      <c r="C30" s="359"/>
      <c r="D30" s="30" t="s">
        <v>154</v>
      </c>
      <c r="E30" s="297">
        <f>E10/E9*1000</f>
        <v>22033.806973259776</v>
      </c>
      <c r="F30" s="137" t="s">
        <v>32</v>
      </c>
      <c r="G30" s="297">
        <f>G10/G9*1000</f>
        <v>24877.980912168747</v>
      </c>
      <c r="H30" s="149" t="s">
        <v>32</v>
      </c>
      <c r="I30" s="297">
        <f>I10/I9*1000</f>
        <v>23367.866880810761</v>
      </c>
      <c r="J30" s="223" t="s">
        <v>32</v>
      </c>
    </row>
    <row r="31" spans="1:16" s="9" customFormat="1" ht="22.75" customHeight="1" x14ac:dyDescent="0.2">
      <c r="A31" s="362" t="s">
        <v>93</v>
      </c>
      <c r="B31" s="359"/>
      <c r="C31" s="359"/>
      <c r="D31" s="25" t="s">
        <v>155</v>
      </c>
      <c r="E31" s="297">
        <f>E15/E9*1000</f>
        <v>6168.5932349963805</v>
      </c>
      <c r="F31" s="137" t="s">
        <v>32</v>
      </c>
      <c r="G31" s="297">
        <f>G15/G9*1000</f>
        <v>7136.1773703317094</v>
      </c>
      <c r="H31" s="149" t="s">
        <v>32</v>
      </c>
      <c r="I31" s="297">
        <f>I15/I9*1000</f>
        <v>6622.4386150115033</v>
      </c>
      <c r="J31" s="223" t="s">
        <v>32</v>
      </c>
    </row>
    <row r="32" spans="1:16" s="9" customFormat="1" ht="22.75" customHeight="1" x14ac:dyDescent="0.2">
      <c r="A32" s="362" t="s">
        <v>65</v>
      </c>
      <c r="B32" s="359"/>
      <c r="C32" s="359"/>
      <c r="D32" s="30" t="s">
        <v>99</v>
      </c>
      <c r="E32" s="297">
        <f>E16/E8*1000</f>
        <v>3554.3236473311763</v>
      </c>
      <c r="F32" s="137" t="s">
        <v>33</v>
      </c>
      <c r="G32" s="297">
        <f>G16/G8*1000</f>
        <v>3657.0691337121912</v>
      </c>
      <c r="H32" s="149" t="s">
        <v>33</v>
      </c>
      <c r="I32" s="297">
        <f>I16/I8*1000</f>
        <v>3604.0355035515386</v>
      </c>
      <c r="J32" s="228" t="s">
        <v>33</v>
      </c>
    </row>
    <row r="33" spans="1:10" s="9" customFormat="1" ht="22.75" customHeight="1" thickBot="1" x14ac:dyDescent="0.25">
      <c r="A33" s="360" t="s">
        <v>34</v>
      </c>
      <c r="B33" s="361"/>
      <c r="C33" s="361"/>
      <c r="D33" s="27" t="s">
        <v>100</v>
      </c>
      <c r="E33" s="285">
        <f>(32251910+13955382)/4942215*1000</f>
        <v>9349.5106951033085</v>
      </c>
      <c r="F33" s="233" t="s">
        <v>32</v>
      </c>
      <c r="G33" s="285">
        <f>(34201377+14481561)/4662012*1000</f>
        <v>10442.473764546294</v>
      </c>
      <c r="H33" s="234" t="s">
        <v>32</v>
      </c>
      <c r="I33" s="285">
        <f>(32251910+13955382+34201370+14481561)/(4942215+4662012)*1000</f>
        <v>9880.0479205666434</v>
      </c>
      <c r="J33" s="226" t="s">
        <v>32</v>
      </c>
    </row>
    <row r="34" spans="1:10" s="2" customFormat="1" ht="12" customHeight="1" x14ac:dyDescent="0.2">
      <c r="D34" s="3"/>
      <c r="E34" s="111"/>
      <c r="F34" s="111"/>
      <c r="G34" s="111"/>
      <c r="H34" s="111"/>
      <c r="I34" s="111"/>
      <c r="J34" s="111"/>
    </row>
    <row r="35" spans="1:10" s="2" customFormat="1" ht="12" customHeight="1" x14ac:dyDescent="0.2">
      <c r="D35" s="3"/>
      <c r="E35" s="111"/>
      <c r="F35" s="111"/>
      <c r="G35" s="111"/>
      <c r="H35" s="111"/>
      <c r="I35" s="111"/>
      <c r="J35" s="111"/>
    </row>
    <row r="36" spans="1:10" s="2" customFormat="1" ht="12" customHeight="1" x14ac:dyDescent="0.2">
      <c r="D36" s="3"/>
      <c r="E36" s="111"/>
      <c r="F36" s="111"/>
      <c r="G36" s="111"/>
      <c r="H36" s="111"/>
      <c r="I36" s="111"/>
      <c r="J36" s="111"/>
    </row>
    <row r="37" spans="1:10" s="2" customFormat="1" ht="12" customHeight="1" x14ac:dyDescent="0.2">
      <c r="D37" s="3"/>
      <c r="E37" s="111"/>
      <c r="F37" s="111"/>
      <c r="G37" s="111"/>
      <c r="H37" s="111"/>
      <c r="I37" s="111"/>
      <c r="J37" s="111"/>
    </row>
    <row r="38" spans="1:10" s="2" customFormat="1" ht="12" customHeight="1" x14ac:dyDescent="0.2">
      <c r="D38" s="3"/>
      <c r="E38" s="111"/>
      <c r="F38" s="111"/>
      <c r="G38" s="111"/>
      <c r="H38" s="111"/>
      <c r="I38" s="111"/>
      <c r="J38" s="111"/>
    </row>
    <row r="39" spans="1:10" s="2" customFormat="1" ht="12" customHeight="1" x14ac:dyDescent="0.2">
      <c r="D39" s="3"/>
      <c r="E39" s="111"/>
      <c r="F39" s="111"/>
      <c r="G39" s="111"/>
      <c r="H39" s="111"/>
      <c r="I39" s="111"/>
      <c r="J39" s="111"/>
    </row>
  </sheetData>
  <mergeCells count="17">
    <mergeCell ref="E7:F7"/>
    <mergeCell ref="G7:H7"/>
    <mergeCell ref="I7:J7"/>
    <mergeCell ref="E20:F20"/>
    <mergeCell ref="G20:H20"/>
    <mergeCell ref="I20:J20"/>
    <mergeCell ref="B15:B17"/>
    <mergeCell ref="A29:C29"/>
    <mergeCell ref="A11:A17"/>
    <mergeCell ref="B11:B14"/>
    <mergeCell ref="E28:F28"/>
    <mergeCell ref="G28:H28"/>
    <mergeCell ref="I28:J28"/>
    <mergeCell ref="A30:C30"/>
    <mergeCell ref="A33:C33"/>
    <mergeCell ref="A31:C31"/>
    <mergeCell ref="A32:C32"/>
  </mergeCells>
  <phoneticPr fontId="1"/>
  <printOptions horizontalCentered="1"/>
  <pageMargins left="0.39370078740157483" right="0.39370078740157483" top="0.78740157480314965" bottom="0.39370078740157483" header="0.39370078740157483" footer="0.39370078740157483"/>
  <pageSetup paperSize="9" scale="106" orientation="landscape" horizontalDpi="4294967292" r:id="rId1"/>
  <headerFooter alignWithMargins="0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0000"/>
  </sheetPr>
  <dimension ref="A1:P39"/>
  <sheetViews>
    <sheetView zoomScaleNormal="100" zoomScaleSheetLayoutView="100" workbookViewId="0"/>
  </sheetViews>
  <sheetFormatPr defaultColWidth="12.1640625" defaultRowHeight="12" customHeight="1" x14ac:dyDescent="0.2"/>
  <cols>
    <col min="1" max="2" width="3.1640625" style="115" customWidth="1"/>
    <col min="3" max="3" width="20.58203125" style="115" customWidth="1"/>
    <col min="4" max="4" width="5.6640625" style="181" customWidth="1"/>
    <col min="5" max="5" width="15.4140625" style="115" customWidth="1"/>
    <col min="6" max="6" width="5.6640625" style="115" customWidth="1"/>
    <col min="7" max="7" width="15.4140625" style="115" customWidth="1"/>
    <col min="8" max="8" width="5.6640625" style="115" customWidth="1"/>
    <col min="9" max="9" width="15.4140625" style="115" customWidth="1"/>
    <col min="10" max="10" width="5.6640625" style="115" customWidth="1"/>
    <col min="11" max="16384" width="12.1640625" style="5"/>
  </cols>
  <sheetData>
    <row r="1" spans="1:16" s="2" customFormat="1" ht="12" customHeight="1" x14ac:dyDescent="0.2">
      <c r="A1" s="152"/>
      <c r="B1" s="111"/>
      <c r="C1" s="111"/>
      <c r="D1" s="151"/>
      <c r="E1" s="111"/>
      <c r="F1" s="111"/>
      <c r="G1" s="111"/>
      <c r="H1" s="111"/>
      <c r="I1" s="111"/>
      <c r="J1" s="111"/>
    </row>
    <row r="2" spans="1:16" s="22" customFormat="1" ht="14" customHeight="1" x14ac:dyDescent="0.2">
      <c r="A2" s="153" t="s">
        <v>66</v>
      </c>
      <c r="B2" s="113"/>
      <c r="C2" s="113"/>
      <c r="D2" s="154"/>
      <c r="E2" s="113"/>
      <c r="F2" s="113"/>
      <c r="G2" s="113"/>
      <c r="H2" s="113"/>
      <c r="I2" s="113"/>
      <c r="J2" s="113"/>
    </row>
    <row r="3" spans="1:16" s="2" customFormat="1" ht="10" customHeight="1" x14ac:dyDescent="0.2">
      <c r="A3" s="112"/>
      <c r="B3" s="111"/>
      <c r="C3" s="111"/>
      <c r="D3" s="151"/>
      <c r="E3" s="111"/>
      <c r="F3" s="111"/>
      <c r="G3" s="111"/>
      <c r="H3" s="111"/>
      <c r="I3" s="111"/>
      <c r="J3" s="111"/>
    </row>
    <row r="4" spans="1:16" s="7" customFormat="1" ht="14" customHeight="1" x14ac:dyDescent="0.2">
      <c r="A4" s="155" t="s">
        <v>101</v>
      </c>
      <c r="B4" s="124"/>
      <c r="C4" s="124"/>
      <c r="D4" s="156"/>
      <c r="E4" s="124"/>
      <c r="F4" s="124"/>
      <c r="G4" s="124"/>
      <c r="H4" s="124"/>
      <c r="I4" s="124"/>
      <c r="J4" s="124"/>
    </row>
    <row r="5" spans="1:16" s="7" customFormat="1" ht="9" customHeight="1" x14ac:dyDescent="0.2">
      <c r="A5" s="155"/>
      <c r="B5" s="124"/>
      <c r="C5" s="124"/>
      <c r="D5" s="156"/>
      <c r="E5" s="124"/>
      <c r="F5" s="124"/>
      <c r="G5" s="124"/>
      <c r="H5" s="124"/>
      <c r="I5" s="124"/>
      <c r="J5" s="124"/>
    </row>
    <row r="6" spans="1:16" s="9" customFormat="1" ht="14.4" customHeight="1" thickBot="1" x14ac:dyDescent="0.25">
      <c r="A6" s="125" t="s">
        <v>67</v>
      </c>
      <c r="B6" s="117"/>
      <c r="C6" s="117"/>
      <c r="D6" s="157"/>
      <c r="E6" s="117"/>
      <c r="F6" s="117"/>
      <c r="G6" s="117"/>
      <c r="H6" s="117"/>
      <c r="I6" s="117"/>
      <c r="J6" s="117"/>
    </row>
    <row r="7" spans="1:16" s="9" customFormat="1" ht="15" customHeight="1" x14ac:dyDescent="0.2">
      <c r="A7" s="158"/>
      <c r="B7" s="159"/>
      <c r="C7" s="160" t="s">
        <v>108</v>
      </c>
      <c r="D7" s="161"/>
      <c r="E7" s="334" t="s">
        <v>106</v>
      </c>
      <c r="F7" s="335"/>
      <c r="G7" s="376" t="s">
        <v>107</v>
      </c>
      <c r="H7" s="377"/>
      <c r="I7" s="336" t="s">
        <v>18</v>
      </c>
      <c r="J7" s="337"/>
      <c r="P7" s="11"/>
    </row>
    <row r="8" spans="1:16" s="9" customFormat="1" ht="15" customHeight="1" x14ac:dyDescent="0.2">
      <c r="A8" s="162" t="s">
        <v>0</v>
      </c>
      <c r="B8" s="124"/>
      <c r="C8" s="156"/>
      <c r="D8" s="156" t="s">
        <v>110</v>
      </c>
      <c r="E8" s="304">
        <v>3603173</v>
      </c>
      <c r="F8" s="126" t="s">
        <v>1</v>
      </c>
      <c r="G8" s="304">
        <v>3413689</v>
      </c>
      <c r="H8" s="126" t="s">
        <v>1</v>
      </c>
      <c r="I8" s="297">
        <f>E8+G8</f>
        <v>7016862</v>
      </c>
      <c r="J8" s="223" t="s">
        <v>1</v>
      </c>
      <c r="P8" s="11"/>
    </row>
    <row r="9" spans="1:16" s="9" customFormat="1" ht="15" customHeight="1" x14ac:dyDescent="0.2">
      <c r="A9" s="163" t="s">
        <v>22</v>
      </c>
      <c r="B9" s="164"/>
      <c r="C9" s="164"/>
      <c r="D9" s="127" t="s">
        <v>103</v>
      </c>
      <c r="E9" s="283">
        <v>4262788</v>
      </c>
      <c r="F9" s="127" t="s">
        <v>3</v>
      </c>
      <c r="G9" s="283">
        <v>3934937</v>
      </c>
      <c r="H9" s="142" t="s">
        <v>3</v>
      </c>
      <c r="I9" s="297">
        <f t="shared" ref="I9:I12" si="0">E9+G9</f>
        <v>8197725</v>
      </c>
      <c r="J9" s="222" t="s">
        <v>3</v>
      </c>
    </row>
    <row r="10" spans="1:16" s="9" customFormat="1" ht="15" customHeight="1" x14ac:dyDescent="0.2">
      <c r="A10" s="165" t="s">
        <v>102</v>
      </c>
      <c r="B10" s="166"/>
      <c r="C10" s="167"/>
      <c r="D10" s="137" t="s">
        <v>37</v>
      </c>
      <c r="E10" s="297">
        <f>SUM(E11,E12,E13,E15,E16)</f>
        <v>105744914</v>
      </c>
      <c r="F10" s="126" t="s">
        <v>4</v>
      </c>
      <c r="G10" s="297">
        <f>SUM(G11,G12,G13,G15,G16)</f>
        <v>111657628</v>
      </c>
      <c r="H10" s="143" t="s">
        <v>4</v>
      </c>
      <c r="I10" s="297">
        <f t="shared" si="0"/>
        <v>217402542</v>
      </c>
      <c r="J10" s="223" t="s">
        <v>4</v>
      </c>
    </row>
    <row r="11" spans="1:16" s="9" customFormat="1" ht="15" customHeight="1" x14ac:dyDescent="0.2">
      <c r="A11" s="342" t="s">
        <v>62</v>
      </c>
      <c r="B11" s="348" t="s">
        <v>58</v>
      </c>
      <c r="C11" s="168" t="s">
        <v>23</v>
      </c>
      <c r="D11" s="127" t="s">
        <v>38</v>
      </c>
      <c r="E11" s="283">
        <v>62531643</v>
      </c>
      <c r="F11" s="127" t="s">
        <v>4</v>
      </c>
      <c r="G11" s="283">
        <v>66951053</v>
      </c>
      <c r="H11" s="142" t="s">
        <v>4</v>
      </c>
      <c r="I11" s="297">
        <f t="shared" si="0"/>
        <v>129482696</v>
      </c>
      <c r="J11" s="222" t="s">
        <v>4</v>
      </c>
    </row>
    <row r="12" spans="1:16" s="9" customFormat="1" ht="15" customHeight="1" x14ac:dyDescent="0.2">
      <c r="A12" s="343"/>
      <c r="B12" s="349"/>
      <c r="C12" s="168" t="s">
        <v>24</v>
      </c>
      <c r="D12" s="127" t="s">
        <v>39</v>
      </c>
      <c r="E12" s="283">
        <v>813759</v>
      </c>
      <c r="F12" s="127" t="s">
        <v>4</v>
      </c>
      <c r="G12" s="283">
        <v>104627</v>
      </c>
      <c r="H12" s="142" t="s">
        <v>4</v>
      </c>
      <c r="I12" s="297">
        <f t="shared" si="0"/>
        <v>918386</v>
      </c>
      <c r="J12" s="222" t="s">
        <v>4</v>
      </c>
    </row>
    <row r="13" spans="1:16" s="9" customFormat="1" ht="15" customHeight="1" x14ac:dyDescent="0.2">
      <c r="A13" s="343"/>
      <c r="B13" s="349"/>
      <c r="C13" s="168" t="s">
        <v>25</v>
      </c>
      <c r="D13" s="127" t="s">
        <v>40</v>
      </c>
      <c r="E13" s="284" t="s">
        <v>26</v>
      </c>
      <c r="F13" s="127" t="s">
        <v>4</v>
      </c>
      <c r="G13" s="284" t="s">
        <v>26</v>
      </c>
      <c r="H13" s="142" t="s">
        <v>4</v>
      </c>
      <c r="I13" s="305" t="s">
        <v>26</v>
      </c>
      <c r="J13" s="222" t="s">
        <v>4</v>
      </c>
    </row>
    <row r="14" spans="1:16" s="9" customFormat="1" ht="15" customHeight="1" x14ac:dyDescent="0.2">
      <c r="A14" s="343"/>
      <c r="B14" s="350"/>
      <c r="C14" s="168" t="s">
        <v>61</v>
      </c>
      <c r="D14" s="144"/>
      <c r="E14" s="283">
        <f>SUM(E11:E13)</f>
        <v>63345402</v>
      </c>
      <c r="F14" s="144" t="s">
        <v>4</v>
      </c>
      <c r="G14" s="283">
        <f>SUM(G11:G13)</f>
        <v>67055680</v>
      </c>
      <c r="H14" s="145" t="s">
        <v>4</v>
      </c>
      <c r="I14" s="301">
        <f>E14+G14</f>
        <v>130401082</v>
      </c>
      <c r="J14" s="224" t="s">
        <v>4</v>
      </c>
    </row>
    <row r="15" spans="1:16" s="9" customFormat="1" ht="15" customHeight="1" x14ac:dyDescent="0.2">
      <c r="A15" s="343"/>
      <c r="B15" s="351" t="s">
        <v>59</v>
      </c>
      <c r="C15" s="168" t="s">
        <v>27</v>
      </c>
      <c r="D15" s="127" t="s">
        <v>41</v>
      </c>
      <c r="E15" s="283">
        <v>32374955</v>
      </c>
      <c r="F15" s="127" t="s">
        <v>4</v>
      </c>
      <c r="G15" s="283">
        <v>37409001</v>
      </c>
      <c r="H15" s="142" t="s">
        <v>4</v>
      </c>
      <c r="I15" s="301">
        <f t="shared" ref="I15:I17" si="1">E15+G15</f>
        <v>69783956</v>
      </c>
      <c r="J15" s="222" t="s">
        <v>4</v>
      </c>
    </row>
    <row r="16" spans="1:16" s="9" customFormat="1" ht="15" customHeight="1" x14ac:dyDescent="0.2">
      <c r="A16" s="343"/>
      <c r="B16" s="352"/>
      <c r="C16" s="168" t="s">
        <v>28</v>
      </c>
      <c r="D16" s="127" t="s">
        <v>42</v>
      </c>
      <c r="E16" s="283">
        <v>10024557</v>
      </c>
      <c r="F16" s="127" t="s">
        <v>4</v>
      </c>
      <c r="G16" s="283">
        <v>7192947</v>
      </c>
      <c r="H16" s="142" t="s">
        <v>4</v>
      </c>
      <c r="I16" s="301">
        <f t="shared" si="1"/>
        <v>17217504</v>
      </c>
      <c r="J16" s="222" t="s">
        <v>4</v>
      </c>
    </row>
    <row r="17" spans="1:16" s="9" customFormat="1" ht="15" customHeight="1" thickBot="1" x14ac:dyDescent="0.25">
      <c r="A17" s="344"/>
      <c r="B17" s="353"/>
      <c r="C17" s="169" t="s">
        <v>60</v>
      </c>
      <c r="D17" s="150"/>
      <c r="E17" s="285">
        <f>SUM(E15:E16)</f>
        <v>42399512</v>
      </c>
      <c r="F17" s="229" t="s">
        <v>4</v>
      </c>
      <c r="G17" s="285">
        <f>SUM(G15:G16)</f>
        <v>44601948</v>
      </c>
      <c r="H17" s="235" t="s">
        <v>4</v>
      </c>
      <c r="I17" s="301">
        <f t="shared" si="1"/>
        <v>87001460</v>
      </c>
      <c r="J17" s="226" t="s">
        <v>4</v>
      </c>
    </row>
    <row r="18" spans="1:16" s="7" customFormat="1" ht="15" customHeight="1" x14ac:dyDescent="0.2">
      <c r="A18" s="133"/>
      <c r="B18" s="133"/>
      <c r="C18" s="133"/>
      <c r="D18" s="170"/>
      <c r="E18" s="133"/>
      <c r="F18" s="133"/>
      <c r="G18" s="133"/>
      <c r="H18" s="133"/>
      <c r="I18" s="133"/>
      <c r="J18" s="133"/>
    </row>
    <row r="19" spans="1:16" s="9" customFormat="1" ht="15" customHeight="1" thickBot="1" x14ac:dyDescent="0.25">
      <c r="A19" s="125" t="s">
        <v>56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6" s="9" customFormat="1" ht="15" customHeight="1" x14ac:dyDescent="0.2">
      <c r="A20" s="171"/>
      <c r="B20" s="172"/>
      <c r="C20" s="173" t="s">
        <v>108</v>
      </c>
      <c r="D20" s="174"/>
      <c r="E20" s="374" t="s">
        <v>106</v>
      </c>
      <c r="F20" s="375"/>
      <c r="G20" s="354" t="s">
        <v>107</v>
      </c>
      <c r="H20" s="355"/>
      <c r="I20" s="356" t="s">
        <v>18</v>
      </c>
      <c r="J20" s="357"/>
      <c r="P20" s="11"/>
    </row>
    <row r="21" spans="1:16" s="9" customFormat="1" ht="15" customHeight="1" x14ac:dyDescent="0.2">
      <c r="A21" s="175" t="s">
        <v>0</v>
      </c>
      <c r="B21" s="124"/>
      <c r="C21" s="124"/>
      <c r="D21" s="140" t="s">
        <v>43</v>
      </c>
      <c r="E21" s="286">
        <v>59418</v>
      </c>
      <c r="F21" s="140" t="s">
        <v>1</v>
      </c>
      <c r="G21" s="306">
        <v>83336</v>
      </c>
      <c r="H21" s="141" t="s">
        <v>1</v>
      </c>
      <c r="I21" s="303">
        <f>E21+G21</f>
        <v>142754</v>
      </c>
      <c r="J21" s="309" t="s">
        <v>1</v>
      </c>
    </row>
    <row r="22" spans="1:16" s="9" customFormat="1" ht="15" customHeight="1" x14ac:dyDescent="0.2">
      <c r="A22" s="163" t="s">
        <v>29</v>
      </c>
      <c r="B22" s="164"/>
      <c r="C22" s="164"/>
      <c r="D22" s="127" t="s">
        <v>44</v>
      </c>
      <c r="E22" s="288">
        <f>E21/E8*100</f>
        <v>1.6490465486947201</v>
      </c>
      <c r="F22" s="127" t="s">
        <v>2</v>
      </c>
      <c r="G22" s="307">
        <f>G21/G8*100</f>
        <v>2.4412300007411338</v>
      </c>
      <c r="H22" s="142" t="s">
        <v>2</v>
      </c>
      <c r="I22" s="307">
        <f>I21/I8*100</f>
        <v>2.0344421765740868</v>
      </c>
      <c r="J22" s="310" t="s">
        <v>2</v>
      </c>
    </row>
    <row r="23" spans="1:16" s="9" customFormat="1" ht="15" customHeight="1" x14ac:dyDescent="0.2">
      <c r="A23" s="163" t="s">
        <v>30</v>
      </c>
      <c r="B23" s="164"/>
      <c r="C23" s="164"/>
      <c r="D23" s="127" t="s">
        <v>45</v>
      </c>
      <c r="E23" s="283">
        <v>8754230</v>
      </c>
      <c r="F23" s="127" t="s">
        <v>4</v>
      </c>
      <c r="G23" s="299">
        <v>18266384</v>
      </c>
      <c r="H23" s="142" t="s">
        <v>4</v>
      </c>
      <c r="I23" s="311">
        <f t="shared" ref="I23" si="2">E23+G23</f>
        <v>27020614</v>
      </c>
      <c r="J23" s="310" t="s">
        <v>4</v>
      </c>
    </row>
    <row r="24" spans="1:16" s="9" customFormat="1" ht="12" customHeight="1" x14ac:dyDescent="0.15">
      <c r="A24" s="176" t="s">
        <v>112</v>
      </c>
      <c r="B24" s="164"/>
      <c r="C24" s="164"/>
      <c r="D24" s="164"/>
      <c r="E24" s="283"/>
      <c r="F24" s="144"/>
      <c r="G24" s="299"/>
      <c r="H24" s="145"/>
      <c r="I24" s="303"/>
      <c r="J24" s="312"/>
    </row>
    <row r="25" spans="1:16" s="9" customFormat="1" ht="12" customHeight="1" thickBot="1" x14ac:dyDescent="0.25">
      <c r="A25" s="177" t="s">
        <v>111</v>
      </c>
      <c r="B25" s="178"/>
      <c r="C25" s="178"/>
      <c r="D25" s="179" t="s">
        <v>46</v>
      </c>
      <c r="E25" s="289">
        <f>E23/E10*100</f>
        <v>8.2786298355682622</v>
      </c>
      <c r="F25" s="130" t="s">
        <v>31</v>
      </c>
      <c r="G25" s="308">
        <f>G23/G10*100</f>
        <v>16.359279994735335</v>
      </c>
      <c r="H25" s="146" t="s">
        <v>31</v>
      </c>
      <c r="I25" s="308">
        <f>I23/I10*100</f>
        <v>12.428839953490515</v>
      </c>
      <c r="J25" s="313" t="s">
        <v>31</v>
      </c>
    </row>
    <row r="26" spans="1:16" s="9" customFormat="1" ht="15" customHeight="1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6" s="9" customFormat="1" ht="15" customHeight="1" thickBot="1" x14ac:dyDescent="0.25">
      <c r="A27" s="125" t="s">
        <v>68</v>
      </c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6" s="9" customFormat="1" ht="15" customHeight="1" x14ac:dyDescent="0.2">
      <c r="A28" s="171"/>
      <c r="B28" s="172"/>
      <c r="C28" s="173" t="s">
        <v>108</v>
      </c>
      <c r="D28" s="174"/>
      <c r="E28" s="374" t="s">
        <v>106</v>
      </c>
      <c r="F28" s="375"/>
      <c r="G28" s="354" t="s">
        <v>107</v>
      </c>
      <c r="H28" s="355"/>
      <c r="I28" s="356" t="s">
        <v>18</v>
      </c>
      <c r="J28" s="357"/>
      <c r="P28" s="11"/>
    </row>
    <row r="29" spans="1:16" s="9" customFormat="1" ht="22.75" customHeight="1" x14ac:dyDescent="0.2">
      <c r="A29" s="345" t="s">
        <v>152</v>
      </c>
      <c r="B29" s="346"/>
      <c r="C29" s="346"/>
      <c r="D29" s="135" t="s">
        <v>47</v>
      </c>
      <c r="E29" s="291">
        <f>E10/E8*1000</f>
        <v>29347.720467487961</v>
      </c>
      <c r="F29" s="134" t="s">
        <v>32</v>
      </c>
      <c r="G29" s="291">
        <f>G10/G8*1000</f>
        <v>32708.787473024055</v>
      </c>
      <c r="H29" s="180" t="s">
        <v>32</v>
      </c>
      <c r="I29" s="291">
        <f>I10/I8*1000</f>
        <v>30982.872685824517</v>
      </c>
      <c r="J29" s="136" t="s">
        <v>32</v>
      </c>
    </row>
    <row r="30" spans="1:16" s="9" customFormat="1" ht="22.75" customHeight="1" x14ac:dyDescent="0.2">
      <c r="A30" s="347" t="s">
        <v>153</v>
      </c>
      <c r="B30" s="339"/>
      <c r="C30" s="339"/>
      <c r="D30" s="138" t="s">
        <v>154</v>
      </c>
      <c r="E30" s="297">
        <f>E10/E9*1000</f>
        <v>24806.514891193274</v>
      </c>
      <c r="F30" s="126" t="s">
        <v>32</v>
      </c>
      <c r="G30" s="297">
        <f>G10/G9*1000</f>
        <v>28375.963325461118</v>
      </c>
      <c r="H30" s="143" t="s">
        <v>32</v>
      </c>
      <c r="I30" s="297">
        <f>I10/I9*1000</f>
        <v>26519.862766804206</v>
      </c>
      <c r="J30" s="223" t="s">
        <v>32</v>
      </c>
    </row>
    <row r="31" spans="1:16" s="9" customFormat="1" ht="22.75" customHeight="1" x14ac:dyDescent="0.2">
      <c r="A31" s="338" t="s">
        <v>64</v>
      </c>
      <c r="B31" s="339"/>
      <c r="C31" s="339"/>
      <c r="D31" s="121" t="s">
        <v>155</v>
      </c>
      <c r="E31" s="297">
        <f>E15/E9*1000</f>
        <v>7594.7842116474003</v>
      </c>
      <c r="F31" s="126" t="s">
        <v>32</v>
      </c>
      <c r="G31" s="297">
        <f>G15/G9*1000</f>
        <v>9506.8868955208181</v>
      </c>
      <c r="H31" s="143" t="s">
        <v>32</v>
      </c>
      <c r="I31" s="297">
        <f>I15/I9*1000</f>
        <v>8512.6002640976621</v>
      </c>
      <c r="J31" s="223" t="s">
        <v>32</v>
      </c>
    </row>
    <row r="32" spans="1:16" s="9" customFormat="1" ht="22.75" customHeight="1" x14ac:dyDescent="0.2">
      <c r="A32" s="338" t="s">
        <v>65</v>
      </c>
      <c r="B32" s="339"/>
      <c r="C32" s="339"/>
      <c r="D32" s="138" t="s">
        <v>50</v>
      </c>
      <c r="E32" s="297">
        <f>E16/E8*1000</f>
        <v>2782.1470132019754</v>
      </c>
      <c r="F32" s="137" t="s">
        <v>33</v>
      </c>
      <c r="G32" s="297">
        <f>G16/G8*1000</f>
        <v>2107.0891343646126</v>
      </c>
      <c r="H32" s="149" t="s">
        <v>33</v>
      </c>
      <c r="I32" s="297">
        <f>I16/I8*1000</f>
        <v>2453.7327369413847</v>
      </c>
      <c r="J32" s="228" t="s">
        <v>33</v>
      </c>
    </row>
    <row r="33" spans="1:10" s="9" customFormat="1" ht="22.75" customHeight="1" thickBot="1" x14ac:dyDescent="0.25">
      <c r="A33" s="340" t="s">
        <v>34</v>
      </c>
      <c r="B33" s="341"/>
      <c r="C33" s="341"/>
      <c r="D33" s="123" t="s">
        <v>53</v>
      </c>
      <c r="E33" s="285">
        <f>(11444578+4007990)/1851550*1000</f>
        <v>8345.7470767735158</v>
      </c>
      <c r="F33" s="314" t="s">
        <v>32</v>
      </c>
      <c r="G33" s="285">
        <f>(14080245+3392682)/1803314*1000</f>
        <v>9689.3425105112037</v>
      </c>
      <c r="H33" s="235" t="s">
        <v>32</v>
      </c>
      <c r="I33" s="285">
        <f>(11444578+4007990+14080245+3392682)/(1851550+1803314)*1000</f>
        <v>9008.6785718976134</v>
      </c>
      <c r="J33" s="226" t="s">
        <v>32</v>
      </c>
    </row>
    <row r="34" spans="1:10" s="2" customFormat="1" ht="12" customHeight="1" x14ac:dyDescent="0.2">
      <c r="A34" s="111"/>
      <c r="B34" s="111"/>
      <c r="C34" s="111"/>
      <c r="D34" s="151"/>
      <c r="E34" s="111"/>
      <c r="F34" s="111"/>
      <c r="G34" s="111"/>
      <c r="H34" s="111"/>
      <c r="I34" s="111"/>
      <c r="J34" s="111"/>
    </row>
    <row r="35" spans="1:10" s="2" customFormat="1" ht="12" customHeight="1" x14ac:dyDescent="0.2">
      <c r="A35" s="111"/>
      <c r="B35" s="111"/>
      <c r="C35" s="111"/>
      <c r="D35" s="151"/>
      <c r="E35" s="111"/>
      <c r="F35" s="111"/>
      <c r="G35" s="111"/>
      <c r="H35" s="111"/>
      <c r="I35" s="111"/>
      <c r="J35" s="111"/>
    </row>
    <row r="36" spans="1:10" s="2" customFormat="1" ht="12" customHeight="1" x14ac:dyDescent="0.2">
      <c r="A36" s="111"/>
      <c r="B36" s="111"/>
      <c r="C36" s="111"/>
      <c r="D36" s="151"/>
      <c r="E36" s="111"/>
      <c r="F36" s="111"/>
      <c r="G36" s="111"/>
      <c r="H36" s="111"/>
      <c r="I36" s="111"/>
      <c r="J36" s="111"/>
    </row>
    <row r="37" spans="1:10" s="2" customFormat="1" ht="12" customHeight="1" x14ac:dyDescent="0.2">
      <c r="A37" s="111"/>
      <c r="B37" s="111"/>
      <c r="C37" s="111"/>
      <c r="D37" s="151"/>
      <c r="E37" s="111"/>
      <c r="F37" s="111"/>
      <c r="G37" s="111"/>
      <c r="H37" s="111"/>
      <c r="I37" s="111"/>
      <c r="J37" s="111"/>
    </row>
    <row r="38" spans="1:10" s="2" customFormat="1" ht="12" customHeight="1" x14ac:dyDescent="0.2">
      <c r="A38" s="111"/>
      <c r="B38" s="111"/>
      <c r="C38" s="111"/>
      <c r="D38" s="151"/>
      <c r="E38" s="111"/>
      <c r="F38" s="111"/>
      <c r="G38" s="111"/>
      <c r="H38" s="111"/>
      <c r="I38" s="111"/>
      <c r="J38" s="111"/>
    </row>
    <row r="39" spans="1:10" s="2" customFormat="1" ht="12" customHeight="1" x14ac:dyDescent="0.2">
      <c r="A39" s="111"/>
      <c r="B39" s="111"/>
      <c r="C39" s="111"/>
      <c r="D39" s="151"/>
      <c r="E39" s="111"/>
      <c r="F39" s="111"/>
      <c r="G39" s="111"/>
      <c r="H39" s="111"/>
      <c r="I39" s="111"/>
      <c r="J39" s="111"/>
    </row>
  </sheetData>
  <mergeCells count="17">
    <mergeCell ref="E28:F28"/>
    <mergeCell ref="G28:H28"/>
    <mergeCell ref="I28:J28"/>
    <mergeCell ref="E7:F7"/>
    <mergeCell ref="G7:H7"/>
    <mergeCell ref="I7:J7"/>
    <mergeCell ref="E20:F20"/>
    <mergeCell ref="G20:H20"/>
    <mergeCell ref="I20:J20"/>
    <mergeCell ref="B15:B17"/>
    <mergeCell ref="A11:A17"/>
    <mergeCell ref="B11:B14"/>
    <mergeCell ref="A33:C33"/>
    <mergeCell ref="A31:C31"/>
    <mergeCell ref="A32:C32"/>
    <mergeCell ref="A29:C29"/>
    <mergeCell ref="A30:C30"/>
  </mergeCells>
  <phoneticPr fontId="1"/>
  <printOptions horizontalCentered="1"/>
  <pageMargins left="0.39370078740157483" right="0.39370078740157483" top="0.78740157480314965" bottom="0.39370078740157483" header="0.39370078740157483" footer="0.39370078740157483"/>
  <pageSetup paperSize="9" scale="106" orientation="landscape" horizontalDpi="4294967292" r:id="rId1"/>
  <headerFooter alignWithMargins="0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7"/>
  <sheetViews>
    <sheetView zoomScaleNormal="100" zoomScaleSheetLayoutView="100" workbookViewId="0"/>
  </sheetViews>
  <sheetFormatPr defaultColWidth="8.83203125" defaultRowHeight="15.65" customHeight="1" x14ac:dyDescent="0.2"/>
  <cols>
    <col min="1" max="1" width="4.5" style="45" customWidth="1"/>
    <col min="2" max="2" width="13" style="45" customWidth="1"/>
    <col min="3" max="3" width="8.6640625" style="45" customWidth="1"/>
    <col min="4" max="8" width="8.83203125" style="45" customWidth="1"/>
    <col min="9" max="9" width="3.5" style="45" customWidth="1"/>
    <col min="10" max="11" width="4.4140625" style="45" customWidth="1"/>
    <col min="12" max="14" width="8.83203125" style="45" customWidth="1"/>
    <col min="15" max="15" width="3.5" style="45" customWidth="1"/>
    <col min="16" max="19" width="8.83203125" style="45"/>
    <col min="20" max="20" width="3.5" style="45" customWidth="1"/>
    <col min="21" max="16384" width="8.83203125" style="45"/>
  </cols>
  <sheetData>
    <row r="1" spans="1:13" ht="17.399999999999999" customHeight="1" x14ac:dyDescent="0.2">
      <c r="A1" s="105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7.399999999999999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61" customFormat="1" ht="17.399999999999999" customHeight="1" x14ac:dyDescent="0.2">
      <c r="A3" s="59" t="s">
        <v>79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74"/>
    </row>
    <row r="4" spans="1:13" ht="17.399999999999999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s="61" customFormat="1" ht="17.399999999999999" customHeight="1" thickBot="1" x14ac:dyDescent="0.25">
      <c r="A5" s="58" t="s">
        <v>69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63"/>
      <c r="M5" s="60"/>
    </row>
    <row r="6" spans="1:13" s="61" customFormat="1" ht="17.399999999999999" customHeight="1" x14ac:dyDescent="0.2">
      <c r="A6" s="378" t="s">
        <v>147</v>
      </c>
      <c r="B6" s="379"/>
      <c r="C6" s="62" t="s">
        <v>7</v>
      </c>
      <c r="D6" s="62" t="s">
        <v>10</v>
      </c>
      <c r="E6" s="62" t="s">
        <v>13</v>
      </c>
      <c r="F6" s="62" t="s">
        <v>11</v>
      </c>
      <c r="G6" s="390" t="s">
        <v>15</v>
      </c>
      <c r="H6" s="391"/>
      <c r="I6" s="391"/>
      <c r="J6" s="91"/>
      <c r="K6" s="46"/>
    </row>
    <row r="7" spans="1:13" s="61" customFormat="1" ht="17.399999999999999" customHeight="1" x14ac:dyDescent="0.2">
      <c r="A7" s="380"/>
      <c r="B7" s="381"/>
      <c r="C7" s="64" t="s">
        <v>8</v>
      </c>
      <c r="D7" s="64" t="s">
        <v>11</v>
      </c>
      <c r="E7" s="64" t="s">
        <v>14</v>
      </c>
      <c r="F7" s="64" t="s">
        <v>148</v>
      </c>
      <c r="G7" s="392"/>
      <c r="H7" s="393"/>
      <c r="I7" s="393"/>
      <c r="J7" s="91"/>
      <c r="K7" s="59"/>
    </row>
    <row r="8" spans="1:13" s="61" customFormat="1" ht="17.399999999999999" customHeight="1" x14ac:dyDescent="0.2">
      <c r="A8" s="382"/>
      <c r="B8" s="383"/>
      <c r="C8" s="64" t="s">
        <v>9</v>
      </c>
      <c r="D8" s="64" t="s">
        <v>12</v>
      </c>
      <c r="E8" s="64" t="s">
        <v>20</v>
      </c>
      <c r="F8" s="64" t="s">
        <v>20</v>
      </c>
      <c r="G8" s="394"/>
      <c r="H8" s="395"/>
      <c r="I8" s="395"/>
      <c r="J8" s="91"/>
      <c r="K8" s="46"/>
    </row>
    <row r="9" spans="1:13" s="61" customFormat="1" ht="17.399999999999999" customHeight="1" x14ac:dyDescent="0.2">
      <c r="A9" s="65" t="s">
        <v>16</v>
      </c>
      <c r="B9" s="79"/>
      <c r="C9" s="66"/>
      <c r="D9" s="315">
        <v>1498</v>
      </c>
      <c r="E9" s="315">
        <v>4</v>
      </c>
      <c r="F9" s="315">
        <v>0</v>
      </c>
      <c r="G9" s="386">
        <v>1502</v>
      </c>
      <c r="H9" s="387" t="e">
        <v>#REF!</v>
      </c>
      <c r="I9" s="236" t="s">
        <v>19</v>
      </c>
      <c r="J9" s="92"/>
      <c r="K9" s="67"/>
    </row>
    <row r="10" spans="1:13" s="61" customFormat="1" ht="17.399999999999999" customHeight="1" x14ac:dyDescent="0.2">
      <c r="A10" s="68"/>
      <c r="B10" s="80"/>
      <c r="C10" s="83" t="s">
        <v>76</v>
      </c>
      <c r="D10" s="316">
        <v>99.7</v>
      </c>
      <c r="E10" s="317">
        <v>0.3</v>
      </c>
      <c r="F10" s="317">
        <v>0</v>
      </c>
      <c r="G10" s="388">
        <v>100</v>
      </c>
      <c r="H10" s="389" t="e">
        <v>#REF!</v>
      </c>
      <c r="I10" s="236" t="s">
        <v>161</v>
      </c>
      <c r="J10" s="92"/>
      <c r="K10" s="69"/>
    </row>
    <row r="11" spans="1:13" s="61" customFormat="1" ht="17.399999999999999" customHeight="1" x14ac:dyDescent="0.2">
      <c r="A11" s="65" t="s">
        <v>17</v>
      </c>
      <c r="B11" s="79"/>
      <c r="C11" s="84"/>
      <c r="D11" s="315">
        <v>239</v>
      </c>
      <c r="E11" s="315">
        <v>0</v>
      </c>
      <c r="F11" s="315">
        <v>0</v>
      </c>
      <c r="G11" s="386">
        <v>239</v>
      </c>
      <c r="H11" s="387" t="e">
        <v>#REF!</v>
      </c>
      <c r="I11" s="236" t="s">
        <v>19</v>
      </c>
      <c r="J11" s="92"/>
      <c r="K11" s="67"/>
    </row>
    <row r="12" spans="1:13" s="61" customFormat="1" ht="17.399999999999999" customHeight="1" x14ac:dyDescent="0.2">
      <c r="A12" s="68"/>
      <c r="B12" s="81"/>
      <c r="C12" s="83" t="s">
        <v>76</v>
      </c>
      <c r="D12" s="316">
        <v>100</v>
      </c>
      <c r="E12" s="317">
        <v>0</v>
      </c>
      <c r="F12" s="317">
        <v>0</v>
      </c>
      <c r="G12" s="388">
        <v>100</v>
      </c>
      <c r="H12" s="389" t="e">
        <v>#REF!</v>
      </c>
      <c r="I12" s="236" t="s">
        <v>162</v>
      </c>
      <c r="J12" s="92"/>
      <c r="K12" s="70"/>
    </row>
    <row r="13" spans="1:13" s="61" customFormat="1" ht="17.399999999999999" customHeight="1" x14ac:dyDescent="0.2">
      <c r="A13" s="65" t="s">
        <v>18</v>
      </c>
      <c r="B13" s="79"/>
      <c r="C13" s="84"/>
      <c r="D13" s="318">
        <v>1737</v>
      </c>
      <c r="E13" s="318">
        <v>4</v>
      </c>
      <c r="F13" s="318">
        <v>0</v>
      </c>
      <c r="G13" s="386">
        <v>1741</v>
      </c>
      <c r="H13" s="387" t="e">
        <v>#REF!</v>
      </c>
      <c r="I13" s="236" t="s">
        <v>19</v>
      </c>
      <c r="J13" s="92"/>
      <c r="K13" s="71"/>
    </row>
    <row r="14" spans="1:13" s="61" customFormat="1" ht="17.399999999999999" customHeight="1" thickBot="1" x14ac:dyDescent="0.25">
      <c r="A14" s="72"/>
      <c r="B14" s="82"/>
      <c r="C14" s="85" t="s">
        <v>76</v>
      </c>
      <c r="D14" s="319">
        <v>99.8</v>
      </c>
      <c r="E14" s="319">
        <v>0.2</v>
      </c>
      <c r="F14" s="319">
        <v>0</v>
      </c>
      <c r="G14" s="384">
        <v>100</v>
      </c>
      <c r="H14" s="385" t="e">
        <v>#REF!</v>
      </c>
      <c r="I14" s="212" t="s">
        <v>163</v>
      </c>
      <c r="J14" s="92"/>
      <c r="K14" s="73"/>
    </row>
    <row r="15" spans="1:13" s="61" customFormat="1" ht="15.65" customHeight="1" x14ac:dyDescent="0.2">
      <c r="A15" s="60" t="s">
        <v>73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3" s="61" customFormat="1" ht="15.65" customHeight="1" x14ac:dyDescent="0.2">
      <c r="A16" s="60" t="s">
        <v>182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s="61" customFormat="1" ht="15.65" customHeight="1" x14ac:dyDescent="0.2">
      <c r="A17" s="60" t="s">
        <v>180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s="61" customFormat="1" ht="15.65" customHeight="1" x14ac:dyDescent="0.2">
      <c r="A18" s="60" t="s">
        <v>183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61" customFormat="1" ht="15.65" customHeight="1" x14ac:dyDescent="0.2">
      <c r="A19" s="60" t="s">
        <v>54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61" customFormat="1" ht="17.399999999999999" customHeight="1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 ht="17.399999999999999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37" spans="10:11" ht="15.65" customHeight="1" x14ac:dyDescent="0.2">
      <c r="J37" s="89"/>
      <c r="K37" s="89"/>
    </row>
  </sheetData>
  <mergeCells count="8">
    <mergeCell ref="A6:B8"/>
    <mergeCell ref="G14:H14"/>
    <mergeCell ref="G13:H13"/>
    <mergeCell ref="G12:H12"/>
    <mergeCell ref="G11:H11"/>
    <mergeCell ref="G10:H10"/>
    <mergeCell ref="G9:H9"/>
    <mergeCell ref="G6:I8"/>
  </mergeCells>
  <phoneticPr fontId="1"/>
  <printOptions horizontalCentered="1"/>
  <pageMargins left="0.9055118110236221" right="0.9055118110236221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49"/>
  <sheetViews>
    <sheetView zoomScaleNormal="100" zoomScaleSheetLayoutView="100" workbookViewId="0">
      <pane xSplit="3" ySplit="6" topLeftCell="D37" activePane="bottomRight" state="frozen"/>
      <selection pane="topRight"/>
      <selection pane="bottomLeft"/>
      <selection pane="bottomRight"/>
    </sheetView>
  </sheetViews>
  <sheetFormatPr defaultColWidth="8.83203125" defaultRowHeight="15.65" customHeight="1" x14ac:dyDescent="0.2"/>
  <cols>
    <col min="1" max="1" width="4.5" style="50" customWidth="1"/>
    <col min="2" max="2" width="13" style="50" customWidth="1"/>
    <col min="3" max="3" width="8.6640625" style="50" customWidth="1"/>
    <col min="4" max="7" width="9.33203125" style="248" customWidth="1"/>
    <col min="8" max="8" width="3.5" style="248" customWidth="1"/>
    <col min="9" max="12" width="9.33203125" style="248" customWidth="1"/>
    <col min="13" max="13" width="3.5" style="248" customWidth="1"/>
    <col min="14" max="17" width="9.33203125" style="248" customWidth="1"/>
    <col min="18" max="18" width="3.5" style="248" customWidth="1"/>
    <col min="19" max="19" width="4" style="248" bestFit="1" customWidth="1"/>
    <col min="20" max="20" width="8.83203125" style="248"/>
    <col min="21" max="16384" width="8.83203125" style="50"/>
  </cols>
  <sheetData>
    <row r="1" spans="1:19" ht="15.65" customHeight="1" x14ac:dyDescent="0.2">
      <c r="A1" s="106" t="s">
        <v>134</v>
      </c>
      <c r="F1" s="45"/>
    </row>
    <row r="3" spans="1:19" s="49" customFormat="1" ht="14.4" customHeight="1" thickBot="1" x14ac:dyDescent="0.25">
      <c r="A3" s="93" t="s">
        <v>70</v>
      </c>
      <c r="L3" s="48"/>
      <c r="M3" s="48"/>
      <c r="N3" s="48"/>
      <c r="R3" s="48"/>
      <c r="S3" s="48"/>
    </row>
    <row r="4" spans="1:19" ht="14.4" customHeight="1" x14ac:dyDescent="0.2">
      <c r="A4" s="404" t="s">
        <v>74</v>
      </c>
      <c r="B4" s="405"/>
      <c r="C4" s="405"/>
      <c r="D4" s="410" t="s">
        <v>145</v>
      </c>
      <c r="E4" s="411"/>
      <c r="F4" s="411"/>
      <c r="G4" s="411"/>
      <c r="H4" s="412"/>
      <c r="I4" s="410" t="s">
        <v>146</v>
      </c>
      <c r="J4" s="411"/>
      <c r="K4" s="411"/>
      <c r="L4" s="411"/>
      <c r="M4" s="412"/>
      <c r="N4" s="411" t="s">
        <v>137</v>
      </c>
      <c r="O4" s="411"/>
      <c r="P4" s="411"/>
      <c r="Q4" s="411"/>
      <c r="R4" s="412"/>
    </row>
    <row r="5" spans="1:19" ht="14.4" customHeight="1" x14ac:dyDescent="0.2">
      <c r="A5" s="406"/>
      <c r="B5" s="407"/>
      <c r="C5" s="407"/>
      <c r="D5" s="102" t="s">
        <v>113</v>
      </c>
      <c r="E5" s="97" t="s">
        <v>114</v>
      </c>
      <c r="F5" s="51" t="s">
        <v>115</v>
      </c>
      <c r="G5" s="402" t="s">
        <v>133</v>
      </c>
      <c r="H5" s="413"/>
      <c r="I5" s="101" t="s">
        <v>113</v>
      </c>
      <c r="J5" s="97" t="s">
        <v>114</v>
      </c>
      <c r="K5" s="51" t="s">
        <v>115</v>
      </c>
      <c r="L5" s="402" t="s">
        <v>133</v>
      </c>
      <c r="M5" s="413"/>
      <c r="N5" s="99" t="s">
        <v>113</v>
      </c>
      <c r="O5" s="88" t="s">
        <v>114</v>
      </c>
      <c r="P5" s="51" t="s">
        <v>115</v>
      </c>
      <c r="Q5" s="419" t="s">
        <v>133</v>
      </c>
      <c r="R5" s="420"/>
    </row>
    <row r="6" spans="1:19" ht="14.4" customHeight="1" x14ac:dyDescent="0.2">
      <c r="A6" s="408"/>
      <c r="B6" s="409"/>
      <c r="C6" s="409"/>
      <c r="D6" s="103" t="s">
        <v>116</v>
      </c>
      <c r="E6" s="90" t="s">
        <v>117</v>
      </c>
      <c r="F6" s="51" t="s">
        <v>118</v>
      </c>
      <c r="G6" s="414"/>
      <c r="H6" s="415"/>
      <c r="I6" s="320" t="s">
        <v>116</v>
      </c>
      <c r="J6" s="90" t="s">
        <v>117</v>
      </c>
      <c r="K6" s="51" t="s">
        <v>118</v>
      </c>
      <c r="L6" s="414"/>
      <c r="M6" s="415"/>
      <c r="N6" s="100" t="s">
        <v>116</v>
      </c>
      <c r="O6" s="90" t="s">
        <v>117</v>
      </c>
      <c r="P6" s="51" t="s">
        <v>118</v>
      </c>
      <c r="Q6" s="414"/>
      <c r="R6" s="415"/>
    </row>
    <row r="7" spans="1:19" ht="14.4" customHeight="1" x14ac:dyDescent="0.2">
      <c r="A7" s="398" t="s">
        <v>0</v>
      </c>
      <c r="B7" s="399"/>
      <c r="C7" s="55" t="s">
        <v>129</v>
      </c>
      <c r="D7" s="249">
        <f>2560628-D23</f>
        <v>2560341</v>
      </c>
      <c r="E7" s="250">
        <f>1331669-E23</f>
        <v>1331526</v>
      </c>
      <c r="F7" s="250">
        <v>1049919</v>
      </c>
      <c r="G7" s="250">
        <f>SUM(D7:F7)</f>
        <v>4941786</v>
      </c>
      <c r="H7" s="237" t="s">
        <v>138</v>
      </c>
      <c r="I7" s="251">
        <v>2638128</v>
      </c>
      <c r="J7" s="250">
        <v>1142156</v>
      </c>
      <c r="K7" s="250">
        <v>881728</v>
      </c>
      <c r="L7" s="250">
        <f>SUM(I7:K7)</f>
        <v>4662012</v>
      </c>
      <c r="M7" s="237" t="s">
        <v>1</v>
      </c>
      <c r="N7" s="252">
        <f>D7+I7</f>
        <v>5198469</v>
      </c>
      <c r="O7" s="252">
        <f t="shared" ref="O7:P7" si="0">E7+J7</f>
        <v>2473682</v>
      </c>
      <c r="P7" s="252">
        <f t="shared" si="0"/>
        <v>1931647</v>
      </c>
      <c r="Q7" s="250">
        <f>SUM(N7:P7)</f>
        <v>9603798</v>
      </c>
      <c r="R7" s="237" t="s">
        <v>138</v>
      </c>
    </row>
    <row r="8" spans="1:19" ht="14.4" customHeight="1" x14ac:dyDescent="0.2">
      <c r="A8" s="52"/>
      <c r="B8" s="53" t="s">
        <v>77</v>
      </c>
      <c r="C8" s="75"/>
      <c r="D8" s="253">
        <f>D7/G7*100</f>
        <v>51.810033862251423</v>
      </c>
      <c r="E8" s="253">
        <f>E7/G7*100</f>
        <v>26.944226237234879</v>
      </c>
      <c r="F8" s="253">
        <f>F7/G7*100</f>
        <v>21.245739900513701</v>
      </c>
      <c r="G8" s="254">
        <f>SUM(D8:F8)</f>
        <v>100</v>
      </c>
      <c r="H8" s="238" t="s">
        <v>2</v>
      </c>
      <c r="I8" s="253">
        <f>I7/L7*100</f>
        <v>56.587756530871225</v>
      </c>
      <c r="J8" s="255">
        <f>J7/L7*100</f>
        <v>24.499207638247178</v>
      </c>
      <c r="K8" s="255">
        <f>K7/L7*100</f>
        <v>18.913035830881604</v>
      </c>
      <c r="L8" s="255">
        <f>SUM(I8:K8)</f>
        <v>100</v>
      </c>
      <c r="M8" s="238" t="s">
        <v>2</v>
      </c>
      <c r="N8" s="256">
        <f>N7/Q7*100</f>
        <v>54.129303844166657</v>
      </c>
      <c r="O8" s="254">
        <f>O7/Q7*100</f>
        <v>25.757330589418892</v>
      </c>
      <c r="P8" s="254">
        <f>P7/Q7*100</f>
        <v>20.113365566414455</v>
      </c>
      <c r="Q8" s="254">
        <f>SUM(N8:P8)</f>
        <v>100.00000000000001</v>
      </c>
      <c r="R8" s="238" t="s">
        <v>2</v>
      </c>
    </row>
    <row r="9" spans="1:19" ht="14.4" customHeight="1" x14ac:dyDescent="0.2">
      <c r="A9" s="396" t="s">
        <v>83</v>
      </c>
      <c r="B9" s="397"/>
      <c r="C9" s="55" t="s">
        <v>128</v>
      </c>
      <c r="D9" s="253">
        <f>D7/8900645*100</f>
        <v>28.765791692624521</v>
      </c>
      <c r="E9" s="254">
        <f t="shared" ref="E9:F9" si="1">E7/8900645*100</f>
        <v>14.959882120902474</v>
      </c>
      <c r="F9" s="254">
        <f t="shared" si="1"/>
        <v>11.795987818860318</v>
      </c>
      <c r="G9" s="254">
        <f>G7/8900645*100</f>
        <v>55.521661632387321</v>
      </c>
      <c r="H9" s="238" t="s">
        <v>2</v>
      </c>
      <c r="I9" s="253">
        <f>I7/8343151*100</f>
        <v>31.620283511589324</v>
      </c>
      <c r="J9" s="254">
        <f>J7/8343151*100</f>
        <v>13.689743838988411</v>
      </c>
      <c r="K9" s="254">
        <f>K7/8343151*100</f>
        <v>10.568285291732105</v>
      </c>
      <c r="L9" s="254">
        <f>L7/8343151*100</f>
        <v>55.878312642309844</v>
      </c>
      <c r="M9" s="238" t="s">
        <v>2</v>
      </c>
      <c r="N9" s="256">
        <f>N7/(8900645+8343151)*100</f>
        <v>30.146894570081901</v>
      </c>
      <c r="O9" s="257">
        <f>O7/(8900645+8343151)*100</f>
        <v>14.345344841704227</v>
      </c>
      <c r="P9" s="257">
        <f>P7/(8900645+8343151)*100</f>
        <v>11.201982440525276</v>
      </c>
      <c r="Q9" s="257">
        <f>Q7/(8900645+8343151)*100</f>
        <v>55.694221852311408</v>
      </c>
      <c r="R9" s="238" t="s">
        <v>2</v>
      </c>
    </row>
    <row r="10" spans="1:19" ht="14.4" customHeight="1" x14ac:dyDescent="0.2">
      <c r="A10" s="398" t="s">
        <v>51</v>
      </c>
      <c r="B10" s="399"/>
      <c r="C10" s="55" t="s">
        <v>127</v>
      </c>
      <c r="D10" s="249">
        <f>3343331-D26</f>
        <v>3342940</v>
      </c>
      <c r="E10" s="250">
        <f>2328105-E26</f>
        <v>2327823</v>
      </c>
      <c r="F10" s="250">
        <v>1886014</v>
      </c>
      <c r="G10" s="250">
        <f>SUM(D10:F10)</f>
        <v>7556777</v>
      </c>
      <c r="H10" s="237" t="s">
        <v>139</v>
      </c>
      <c r="I10" s="251">
        <v>3329453</v>
      </c>
      <c r="J10" s="258">
        <v>1942759</v>
      </c>
      <c r="K10" s="258">
        <v>1526955</v>
      </c>
      <c r="L10" s="250">
        <f>SUM(I10:K10)</f>
        <v>6799167</v>
      </c>
      <c r="M10" s="237" t="s">
        <v>3</v>
      </c>
      <c r="N10" s="252">
        <f>D10+I10</f>
        <v>6672393</v>
      </c>
      <c r="O10" s="252">
        <f t="shared" ref="O10:P10" si="2">E10+J10</f>
        <v>4270582</v>
      </c>
      <c r="P10" s="252">
        <f t="shared" si="2"/>
        <v>3412969</v>
      </c>
      <c r="Q10" s="250">
        <f>SUM(N10:P10)</f>
        <v>14355944</v>
      </c>
      <c r="R10" s="237" t="s">
        <v>139</v>
      </c>
    </row>
    <row r="11" spans="1:19" ht="14.4" customHeight="1" x14ac:dyDescent="0.2">
      <c r="A11" s="54"/>
      <c r="B11" s="53" t="s">
        <v>77</v>
      </c>
      <c r="C11" s="75"/>
      <c r="D11" s="253">
        <f>D10/G10*100</f>
        <v>44.237642582280778</v>
      </c>
      <c r="E11" s="254">
        <f>E10/G10*100</f>
        <v>30.804442158343431</v>
      </c>
      <c r="F11" s="254">
        <f>F10/G10*100</f>
        <v>24.957915259375792</v>
      </c>
      <c r="G11" s="254">
        <f>SUM(D11:F11)</f>
        <v>100</v>
      </c>
      <c r="H11" s="238" t="s">
        <v>2</v>
      </c>
      <c r="I11" s="253">
        <f>I10/L10*100</f>
        <v>48.968542764135663</v>
      </c>
      <c r="J11" s="254">
        <f>J10/L10*100</f>
        <v>28.573485546097043</v>
      </c>
      <c r="K11" s="254">
        <f>K10/L10*100</f>
        <v>22.457971689767291</v>
      </c>
      <c r="L11" s="254">
        <f>SUM(I11:K11)</f>
        <v>100</v>
      </c>
      <c r="M11" s="238" t="s">
        <v>2</v>
      </c>
      <c r="N11" s="256">
        <f>N10/Q10*100</f>
        <v>46.478260154818102</v>
      </c>
      <c r="O11" s="254">
        <f>O10/Q10*100</f>
        <v>29.747831281593186</v>
      </c>
      <c r="P11" s="254">
        <f>P10/Q10*100</f>
        <v>23.773908563588712</v>
      </c>
      <c r="Q11" s="254">
        <f>SUM(N11:P11)</f>
        <v>100</v>
      </c>
      <c r="R11" s="238" t="s">
        <v>2</v>
      </c>
    </row>
    <row r="12" spans="1:19" ht="14.4" customHeight="1" x14ac:dyDescent="0.2">
      <c r="A12" s="396" t="s">
        <v>84</v>
      </c>
      <c r="B12" s="397"/>
      <c r="C12" s="76" t="s">
        <v>125</v>
      </c>
      <c r="D12" s="253">
        <f>D10/13909793*100</f>
        <v>24.03299603380151</v>
      </c>
      <c r="E12" s="321">
        <f t="shared" ref="E12:F12" si="3">E10/13909793*100</f>
        <v>16.735137611321747</v>
      </c>
      <c r="F12" s="256">
        <f t="shared" si="3"/>
        <v>13.558893363833668</v>
      </c>
      <c r="G12" s="254">
        <f>G10/13909793*100</f>
        <v>54.327027008956932</v>
      </c>
      <c r="H12" s="238" t="s">
        <v>2</v>
      </c>
      <c r="I12" s="253">
        <f>I10/12288143*100</f>
        <v>27.094842564901793</v>
      </c>
      <c r="J12" s="254">
        <f>J10/12288143*100</f>
        <v>15.810029228989277</v>
      </c>
      <c r="K12" s="254">
        <f>K10/12288143*100</f>
        <v>12.426246992731123</v>
      </c>
      <c r="L12" s="254">
        <f>L10/12288143*100</f>
        <v>55.331118786622191</v>
      </c>
      <c r="M12" s="238" t="s">
        <v>2</v>
      </c>
      <c r="N12" s="256">
        <f>N10/(13909793+12288143)*100</f>
        <v>25.469155280019006</v>
      </c>
      <c r="O12" s="254">
        <f>O10/(13909793+12288143)*100</f>
        <v>16.301215485067218</v>
      </c>
      <c r="P12" s="254">
        <f>P10/(13909793+12288143)*100</f>
        <v>13.02762553508032</v>
      </c>
      <c r="Q12" s="254">
        <f>Q10/(13909793+12288143)*100</f>
        <v>54.797996300166552</v>
      </c>
      <c r="R12" s="238" t="s">
        <v>2</v>
      </c>
    </row>
    <row r="13" spans="1:19" ht="14.4" customHeight="1" x14ac:dyDescent="0.2">
      <c r="A13" s="398" t="s">
        <v>119</v>
      </c>
      <c r="B13" s="399"/>
      <c r="C13" s="55" t="s">
        <v>131</v>
      </c>
      <c r="D13" s="249">
        <f>D16+D17-D29</f>
        <v>88613602</v>
      </c>
      <c r="E13" s="250">
        <f>E16+E17-E29</f>
        <v>39511527</v>
      </c>
      <c r="F13" s="250">
        <f t="shared" ref="F13:G13" si="4">F16+F17</f>
        <v>12649095</v>
      </c>
      <c r="G13" s="250">
        <f t="shared" si="4"/>
        <v>140787250</v>
      </c>
      <c r="H13" s="239" t="s">
        <v>140</v>
      </c>
      <c r="I13" s="251">
        <f>I16+I17</f>
        <v>97551867</v>
      </c>
      <c r="J13" s="250">
        <f t="shared" ref="J13:L13" si="5">J16+J17</f>
        <v>36560581</v>
      </c>
      <c r="K13" s="250">
        <f t="shared" si="5"/>
        <v>11415076</v>
      </c>
      <c r="L13" s="250">
        <f t="shared" si="5"/>
        <v>145527524</v>
      </c>
      <c r="M13" s="239" t="s">
        <v>4</v>
      </c>
      <c r="N13" s="252">
        <f>N16+N17</f>
        <v>186174774</v>
      </c>
      <c r="O13" s="250">
        <f t="shared" ref="O13:Q13" si="6">O16+O17</f>
        <v>76075829</v>
      </c>
      <c r="P13" s="250">
        <f t="shared" si="6"/>
        <v>24064171</v>
      </c>
      <c r="Q13" s="250">
        <f t="shared" si="6"/>
        <v>286314774</v>
      </c>
      <c r="R13" s="239" t="s">
        <v>140</v>
      </c>
    </row>
    <row r="14" spans="1:19" ht="14.4" customHeight="1" x14ac:dyDescent="0.2">
      <c r="A14" s="54"/>
      <c r="B14" s="421" t="s">
        <v>75</v>
      </c>
      <c r="C14" s="399"/>
      <c r="D14" s="281"/>
      <c r="E14" s="279"/>
      <c r="F14" s="279"/>
      <c r="G14" s="279"/>
      <c r="H14" s="238"/>
      <c r="I14" s="260"/>
      <c r="J14" s="259"/>
      <c r="K14" s="259"/>
      <c r="L14" s="259"/>
      <c r="M14" s="238"/>
      <c r="N14" s="261"/>
      <c r="O14" s="259"/>
      <c r="P14" s="259"/>
      <c r="Q14" s="259"/>
      <c r="R14" s="238"/>
    </row>
    <row r="15" spans="1:19" ht="14.4" customHeight="1" x14ac:dyDescent="0.2">
      <c r="A15" s="56"/>
      <c r="B15" s="57" t="s">
        <v>126</v>
      </c>
      <c r="C15" s="77"/>
      <c r="D15" s="262">
        <f>D13/(944299348+D13)*100</f>
        <v>8.5790000018878647</v>
      </c>
      <c r="E15" s="263">
        <f>E13/(944299348+E13)*100</f>
        <v>4.0161709942472434</v>
      </c>
      <c r="F15" s="263">
        <f>F13/(944299348+F13)*100</f>
        <v>1.3218157250296085</v>
      </c>
      <c r="G15" s="264">
        <f>G13/(944299348+G13)*100</f>
        <v>12.974747845885753</v>
      </c>
      <c r="H15" s="240" t="s">
        <v>2</v>
      </c>
      <c r="I15" s="262">
        <f>I13/(920463065+I13)*100</f>
        <v>9.5825575768666624</v>
      </c>
      <c r="J15" s="264">
        <f>J13/(920463065+J13)*100</f>
        <v>3.8202380006815426</v>
      </c>
      <c r="K15" s="264">
        <f>K13/(920463065+K13)*100</f>
        <v>1.2249537249312945</v>
      </c>
      <c r="L15" s="264">
        <f>L13/(920463065+L13)*100</f>
        <v>13.651858234181841</v>
      </c>
      <c r="M15" s="241" t="s">
        <v>2</v>
      </c>
      <c r="N15" s="265">
        <f>N13/(944299348+920463065+N13)*100</f>
        <v>9.0775463617355534</v>
      </c>
      <c r="O15" s="264">
        <f>O13/(944299348+920463065+O13)*100</f>
        <v>3.9197408291793128</v>
      </c>
      <c r="P15" s="264">
        <f>P13/(944299348+920463065+P13)*100</f>
        <v>1.2740275472531153</v>
      </c>
      <c r="Q15" s="264">
        <f>Q13/(944299348+920463065+Q13)*100</f>
        <v>13.310297544427446</v>
      </c>
      <c r="R15" s="241" t="s">
        <v>2</v>
      </c>
    </row>
    <row r="16" spans="1:19" ht="14.4" customHeight="1" x14ac:dyDescent="0.2">
      <c r="A16" s="396" t="s">
        <v>5</v>
      </c>
      <c r="B16" s="397"/>
      <c r="C16" s="55" t="s">
        <v>123</v>
      </c>
      <c r="D16" s="249">
        <f>55634926-D32</f>
        <v>55629669</v>
      </c>
      <c r="E16" s="250">
        <f>27649989-E32</f>
        <v>27647571</v>
      </c>
      <c r="F16" s="250">
        <v>9000356</v>
      </c>
      <c r="G16" s="250">
        <f>SUM(D16:F16)</f>
        <v>92277596</v>
      </c>
      <c r="H16" s="237" t="s">
        <v>140</v>
      </c>
      <c r="I16" s="251">
        <v>65857139</v>
      </c>
      <c r="J16" s="258">
        <v>26777211</v>
      </c>
      <c r="K16" s="258">
        <v>8494639</v>
      </c>
      <c r="L16" s="250">
        <f>SUM(I16:K16)</f>
        <v>101128989</v>
      </c>
      <c r="M16" s="237" t="s">
        <v>4</v>
      </c>
      <c r="N16" s="252">
        <f>D16+I16</f>
        <v>121486808</v>
      </c>
      <c r="O16" s="252">
        <f t="shared" ref="O16:P16" si="7">E16+J16</f>
        <v>54424782</v>
      </c>
      <c r="P16" s="252">
        <f t="shared" si="7"/>
        <v>17494995</v>
      </c>
      <c r="Q16" s="250">
        <f>SUM(N16:P16)</f>
        <v>193406585</v>
      </c>
      <c r="R16" s="237" t="s">
        <v>140</v>
      </c>
    </row>
    <row r="17" spans="1:20" ht="14.4" customHeight="1" thickBot="1" x14ac:dyDescent="0.25">
      <c r="A17" s="400" t="s">
        <v>6</v>
      </c>
      <c r="B17" s="401"/>
      <c r="C17" s="78" t="s">
        <v>124</v>
      </c>
      <c r="D17" s="266">
        <f>32997286-D33</f>
        <v>32993238</v>
      </c>
      <c r="E17" s="267">
        <f>11868980-E33</f>
        <v>11867677</v>
      </c>
      <c r="F17" s="267">
        <v>3648739</v>
      </c>
      <c r="G17" s="267">
        <f>SUM(D17:F17)</f>
        <v>48509654</v>
      </c>
      <c r="H17" s="242" t="s">
        <v>140</v>
      </c>
      <c r="I17" s="266">
        <v>31694728</v>
      </c>
      <c r="J17" s="267">
        <v>9783370</v>
      </c>
      <c r="K17" s="267">
        <v>2920437</v>
      </c>
      <c r="L17" s="267">
        <f>SUM(I17:K17)</f>
        <v>44398535</v>
      </c>
      <c r="M17" s="242" t="s">
        <v>4</v>
      </c>
      <c r="N17" s="268">
        <f>D17+I17</f>
        <v>64687966</v>
      </c>
      <c r="O17" s="267">
        <f t="shared" ref="O17" si="8">E17+J17</f>
        <v>21651047</v>
      </c>
      <c r="P17" s="267">
        <f t="shared" ref="P17" si="9">F17+K17</f>
        <v>6569176</v>
      </c>
      <c r="Q17" s="267">
        <f>SUM(N17:P17)</f>
        <v>92908189</v>
      </c>
      <c r="R17" s="242" t="s">
        <v>140</v>
      </c>
    </row>
    <row r="18" spans="1:20" ht="14.4" customHeight="1" x14ac:dyDescent="0.2">
      <c r="A18" s="48"/>
      <c r="B18" s="48"/>
      <c r="C18" s="94"/>
      <c r="D18" s="49"/>
      <c r="E18" s="49"/>
      <c r="F18" s="49"/>
      <c r="G18" s="49"/>
      <c r="H18" s="221"/>
      <c r="I18" s="221"/>
      <c r="J18" s="221"/>
      <c r="K18" s="49"/>
      <c r="L18" s="49"/>
      <c r="M18" s="49"/>
      <c r="N18" s="221"/>
      <c r="O18" s="49"/>
      <c r="P18" s="49"/>
      <c r="Q18" s="49"/>
      <c r="R18" s="49"/>
      <c r="S18" s="221"/>
    </row>
    <row r="19" spans="1:20" s="49" customFormat="1" ht="14.4" customHeight="1" thickBot="1" x14ac:dyDescent="0.25">
      <c r="A19" s="108" t="s">
        <v>71</v>
      </c>
      <c r="B19" s="31"/>
      <c r="C19" s="31"/>
      <c r="D19" s="31"/>
      <c r="E19" s="31"/>
      <c r="F19" s="31"/>
      <c r="G19" s="48"/>
      <c r="H19" s="48"/>
      <c r="I19" s="48"/>
      <c r="J19" s="243"/>
      <c r="K19" s="243"/>
      <c r="L19" s="31"/>
      <c r="M19" s="31"/>
      <c r="N19" s="31"/>
      <c r="O19" s="31"/>
      <c r="P19" s="31"/>
      <c r="Q19" s="31"/>
      <c r="R19" s="31"/>
      <c r="S19" s="48"/>
      <c r="T19" s="48"/>
    </row>
    <row r="20" spans="1:20" ht="14.4" customHeight="1" x14ac:dyDescent="0.2">
      <c r="A20" s="404" t="s">
        <v>74</v>
      </c>
      <c r="B20" s="405"/>
      <c r="C20" s="405"/>
      <c r="D20" s="410" t="s">
        <v>16</v>
      </c>
      <c r="E20" s="411"/>
      <c r="F20" s="411"/>
      <c r="G20" s="411"/>
      <c r="H20" s="412"/>
      <c r="I20" s="410" t="s">
        <v>146</v>
      </c>
      <c r="J20" s="411"/>
      <c r="K20" s="411"/>
      <c r="L20" s="411"/>
      <c r="M20" s="412"/>
      <c r="N20" s="411" t="s">
        <v>137</v>
      </c>
      <c r="O20" s="411"/>
      <c r="P20" s="411"/>
      <c r="Q20" s="411"/>
      <c r="R20" s="412"/>
    </row>
    <row r="21" spans="1:20" ht="14.4" customHeight="1" x14ac:dyDescent="0.2">
      <c r="A21" s="406"/>
      <c r="B21" s="407"/>
      <c r="C21" s="407"/>
      <c r="D21" s="102" t="s">
        <v>113</v>
      </c>
      <c r="E21" s="97" t="s">
        <v>114</v>
      </c>
      <c r="F21" s="51" t="s">
        <v>115</v>
      </c>
      <c r="G21" s="402" t="s">
        <v>133</v>
      </c>
      <c r="H21" s="413"/>
      <c r="I21" s="102" t="s">
        <v>113</v>
      </c>
      <c r="J21" s="97" t="s">
        <v>114</v>
      </c>
      <c r="K21" s="51" t="s">
        <v>115</v>
      </c>
      <c r="L21" s="402" t="s">
        <v>133</v>
      </c>
      <c r="M21" s="413"/>
      <c r="N21" s="99" t="s">
        <v>113</v>
      </c>
      <c r="O21" s="97" t="s">
        <v>114</v>
      </c>
      <c r="P21" s="51" t="s">
        <v>175</v>
      </c>
      <c r="Q21" s="402" t="s">
        <v>133</v>
      </c>
      <c r="R21" s="413"/>
    </row>
    <row r="22" spans="1:20" ht="14.4" customHeight="1" x14ac:dyDescent="0.2">
      <c r="A22" s="408"/>
      <c r="B22" s="409"/>
      <c r="C22" s="409"/>
      <c r="D22" s="103" t="s">
        <v>169</v>
      </c>
      <c r="E22" s="90" t="s">
        <v>171</v>
      </c>
      <c r="F22" s="51" t="s">
        <v>176</v>
      </c>
      <c r="G22" s="414"/>
      <c r="H22" s="415"/>
      <c r="I22" s="103" t="s">
        <v>170</v>
      </c>
      <c r="J22" s="90" t="s">
        <v>171</v>
      </c>
      <c r="K22" s="51" t="s">
        <v>20</v>
      </c>
      <c r="L22" s="414"/>
      <c r="M22" s="415"/>
      <c r="N22" s="100" t="s">
        <v>170</v>
      </c>
      <c r="O22" s="90" t="s">
        <v>171</v>
      </c>
      <c r="P22" s="51" t="s">
        <v>172</v>
      </c>
      <c r="Q22" s="414"/>
      <c r="R22" s="415"/>
    </row>
    <row r="23" spans="1:20" ht="14.4" customHeight="1" x14ac:dyDescent="0.2">
      <c r="A23" s="398" t="s">
        <v>0</v>
      </c>
      <c r="B23" s="399"/>
      <c r="C23" s="55" t="s">
        <v>129</v>
      </c>
      <c r="D23" s="249">
        <v>287</v>
      </c>
      <c r="E23" s="250">
        <v>143</v>
      </c>
      <c r="F23" s="323">
        <v>0</v>
      </c>
      <c r="G23" s="252">
        <f>SUM(D23:F23)</f>
        <v>430</v>
      </c>
      <c r="H23" s="237" t="s">
        <v>138</v>
      </c>
      <c r="I23" s="249">
        <v>0</v>
      </c>
      <c r="J23" s="250">
        <v>0</v>
      </c>
      <c r="K23" s="269">
        <v>0</v>
      </c>
      <c r="L23" s="250">
        <v>0</v>
      </c>
      <c r="M23" s="237" t="s">
        <v>138</v>
      </c>
      <c r="N23" s="252">
        <v>287</v>
      </c>
      <c r="O23" s="250">
        <v>143</v>
      </c>
      <c r="P23" s="269">
        <v>0</v>
      </c>
      <c r="Q23" s="250">
        <v>430</v>
      </c>
      <c r="R23" s="237" t="s">
        <v>138</v>
      </c>
    </row>
    <row r="24" spans="1:20" ht="14.4" customHeight="1" x14ac:dyDescent="0.2">
      <c r="A24" s="52"/>
      <c r="B24" s="53" t="s">
        <v>77</v>
      </c>
      <c r="C24" s="75"/>
      <c r="D24" s="253">
        <f>D23/G23*100</f>
        <v>66.744186046511629</v>
      </c>
      <c r="E24" s="254">
        <f>E23/G23*100</f>
        <v>33.255813953488371</v>
      </c>
      <c r="F24" s="323">
        <v>0</v>
      </c>
      <c r="G24" s="256">
        <v>100</v>
      </c>
      <c r="H24" s="238" t="s">
        <v>2</v>
      </c>
      <c r="I24" s="253">
        <v>0</v>
      </c>
      <c r="J24" s="254">
        <v>0</v>
      </c>
      <c r="K24" s="269">
        <v>0</v>
      </c>
      <c r="L24" s="254">
        <v>0</v>
      </c>
      <c r="M24" s="238" t="s">
        <v>2</v>
      </c>
      <c r="N24" s="270">
        <v>66.744186046511629</v>
      </c>
      <c r="O24" s="257">
        <v>33.255813953488371</v>
      </c>
      <c r="P24" s="271">
        <v>0</v>
      </c>
      <c r="Q24" s="254">
        <v>100</v>
      </c>
      <c r="R24" s="238" t="s">
        <v>173</v>
      </c>
    </row>
    <row r="25" spans="1:20" ht="14.4" customHeight="1" x14ac:dyDescent="0.2">
      <c r="A25" s="396" t="s">
        <v>83</v>
      </c>
      <c r="B25" s="397"/>
      <c r="C25" s="55" t="s">
        <v>128</v>
      </c>
      <c r="D25" s="253">
        <f>D23/8900645*100</f>
        <v>3.2244854165063316E-3</v>
      </c>
      <c r="E25" s="254">
        <f>E23/8900645*100</f>
        <v>1.6066251378411341E-3</v>
      </c>
      <c r="F25" s="323">
        <v>0</v>
      </c>
      <c r="G25" s="256">
        <f>G23/8900645*100</f>
        <v>4.8311105543474659E-3</v>
      </c>
      <c r="H25" s="238" t="s">
        <v>2</v>
      </c>
      <c r="I25" s="253">
        <v>0</v>
      </c>
      <c r="J25" s="254">
        <v>0</v>
      </c>
      <c r="K25" s="269">
        <v>0</v>
      </c>
      <c r="L25" s="254">
        <v>0</v>
      </c>
      <c r="M25" s="238" t="s">
        <v>2</v>
      </c>
      <c r="N25" s="256">
        <v>3.2244854165063316E-3</v>
      </c>
      <c r="O25" s="257">
        <v>1.6066251378411341E-3</v>
      </c>
      <c r="P25" s="271">
        <v>0</v>
      </c>
      <c r="Q25" s="257">
        <v>4.8311105543474659E-3</v>
      </c>
      <c r="R25" s="238" t="s">
        <v>173</v>
      </c>
    </row>
    <row r="26" spans="1:20" ht="14.4" customHeight="1" x14ac:dyDescent="0.2">
      <c r="A26" s="398" t="s">
        <v>51</v>
      </c>
      <c r="B26" s="399"/>
      <c r="C26" s="55" t="s">
        <v>127</v>
      </c>
      <c r="D26" s="249">
        <v>391</v>
      </c>
      <c r="E26" s="250">
        <v>282</v>
      </c>
      <c r="F26" s="323">
        <v>0</v>
      </c>
      <c r="G26" s="252">
        <f>SUM(D26:F26)</f>
        <v>673</v>
      </c>
      <c r="H26" s="237" t="s">
        <v>139</v>
      </c>
      <c r="I26" s="249">
        <v>0</v>
      </c>
      <c r="J26" s="250">
        <v>0</v>
      </c>
      <c r="K26" s="269">
        <v>0</v>
      </c>
      <c r="L26" s="250">
        <v>0</v>
      </c>
      <c r="M26" s="237" t="s">
        <v>139</v>
      </c>
      <c r="N26" s="252">
        <v>391</v>
      </c>
      <c r="O26" s="250">
        <v>282</v>
      </c>
      <c r="P26" s="269">
        <v>0</v>
      </c>
      <c r="Q26" s="250">
        <v>673</v>
      </c>
      <c r="R26" s="237" t="s">
        <v>139</v>
      </c>
    </row>
    <row r="27" spans="1:20" ht="14.4" customHeight="1" x14ac:dyDescent="0.2">
      <c r="A27" s="54"/>
      <c r="B27" s="53" t="s">
        <v>77</v>
      </c>
      <c r="C27" s="75"/>
      <c r="D27" s="253">
        <f>D26/G26*100</f>
        <v>58.098068350668655</v>
      </c>
      <c r="E27" s="254">
        <f>E26/G26*100</f>
        <v>41.901931649331353</v>
      </c>
      <c r="F27" s="322">
        <v>0</v>
      </c>
      <c r="G27" s="270">
        <v>100</v>
      </c>
      <c r="H27" s="238" t="s">
        <v>2</v>
      </c>
      <c r="I27" s="253">
        <v>0</v>
      </c>
      <c r="J27" s="254">
        <v>0</v>
      </c>
      <c r="K27" s="269">
        <v>0</v>
      </c>
      <c r="L27" s="254">
        <v>0</v>
      </c>
      <c r="M27" s="238" t="s">
        <v>2</v>
      </c>
      <c r="N27" s="270">
        <v>58.098068350668655</v>
      </c>
      <c r="O27" s="257">
        <v>41.901931649331353</v>
      </c>
      <c r="P27" s="271">
        <v>0</v>
      </c>
      <c r="Q27" s="257">
        <v>100</v>
      </c>
      <c r="R27" s="238" t="s">
        <v>174</v>
      </c>
    </row>
    <row r="28" spans="1:20" ht="14.4" customHeight="1" x14ac:dyDescent="0.2">
      <c r="A28" s="396" t="s">
        <v>84</v>
      </c>
      <c r="B28" s="397"/>
      <c r="C28" s="76" t="s">
        <v>125</v>
      </c>
      <c r="D28" s="253">
        <f>D26/13909793*100</f>
        <v>2.8109692214686446E-3</v>
      </c>
      <c r="E28" s="254">
        <f>E26/13909793*100</f>
        <v>2.0273486456628075E-3</v>
      </c>
      <c r="F28" s="323">
        <v>0</v>
      </c>
      <c r="G28" s="256">
        <f>G26/13909793*100</f>
        <v>4.8383178671314517E-3</v>
      </c>
      <c r="H28" s="238" t="s">
        <v>2</v>
      </c>
      <c r="I28" s="253">
        <v>0</v>
      </c>
      <c r="J28" s="254">
        <v>0</v>
      </c>
      <c r="K28" s="269">
        <v>0</v>
      </c>
      <c r="L28" s="254">
        <v>0</v>
      </c>
      <c r="M28" s="238" t="s">
        <v>2</v>
      </c>
      <c r="N28" s="256">
        <v>2.8109692214686446E-3</v>
      </c>
      <c r="O28" s="254">
        <v>2.0273486456628075E-3</v>
      </c>
      <c r="P28" s="269">
        <v>0</v>
      </c>
      <c r="Q28" s="254">
        <v>4.8383178671314517E-3</v>
      </c>
      <c r="R28" s="238" t="s">
        <v>168</v>
      </c>
    </row>
    <row r="29" spans="1:20" ht="14.4" customHeight="1" x14ac:dyDescent="0.2">
      <c r="A29" s="398" t="s">
        <v>119</v>
      </c>
      <c r="B29" s="399"/>
      <c r="C29" s="55" t="s">
        <v>132</v>
      </c>
      <c r="D29" s="272">
        <f>SUM(D32:D33)</f>
        <v>9305</v>
      </c>
      <c r="E29" s="272">
        <f>SUM(E32:E33)</f>
        <v>3721</v>
      </c>
      <c r="F29" s="323">
        <v>0</v>
      </c>
      <c r="G29" s="261">
        <f>SUM(G32:G33)</f>
        <v>13026</v>
      </c>
      <c r="H29" s="239" t="s">
        <v>140</v>
      </c>
      <c r="I29" s="272">
        <v>0</v>
      </c>
      <c r="J29" s="259">
        <v>0</v>
      </c>
      <c r="K29" s="271">
        <v>0</v>
      </c>
      <c r="L29" s="259">
        <v>0</v>
      </c>
      <c r="M29" s="239" t="s">
        <v>140</v>
      </c>
      <c r="N29" s="252">
        <v>9305</v>
      </c>
      <c r="O29" s="250">
        <v>3721</v>
      </c>
      <c r="P29" s="269">
        <v>0</v>
      </c>
      <c r="Q29" s="250">
        <v>13026</v>
      </c>
      <c r="R29" s="239" t="s">
        <v>140</v>
      </c>
    </row>
    <row r="30" spans="1:20" ht="14.4" customHeight="1" x14ac:dyDescent="0.2">
      <c r="A30" s="54"/>
      <c r="B30" s="418" t="s">
        <v>75</v>
      </c>
      <c r="C30" s="399"/>
      <c r="D30" s="278"/>
      <c r="E30" s="279"/>
      <c r="F30" s="322"/>
      <c r="G30" s="280"/>
      <c r="H30" s="238"/>
      <c r="I30" s="272"/>
      <c r="J30" s="259"/>
      <c r="K30" s="271"/>
      <c r="L30" s="259"/>
      <c r="M30" s="238"/>
      <c r="N30" s="261"/>
      <c r="O30" s="259"/>
      <c r="P30" s="271"/>
      <c r="Q30" s="259"/>
      <c r="R30" s="238"/>
    </row>
    <row r="31" spans="1:20" ht="14.4" customHeight="1" x14ac:dyDescent="0.2">
      <c r="A31" s="56"/>
      <c r="B31" s="57" t="s">
        <v>122</v>
      </c>
      <c r="C31" s="77" t="s">
        <v>130</v>
      </c>
      <c r="D31" s="262">
        <f>D29/(944299348+D29)*100</f>
        <v>9.8537697080702293E-4</v>
      </c>
      <c r="E31" s="263">
        <f>E29/(944299348+E29)*100</f>
        <v>3.9404722087162889E-4</v>
      </c>
      <c r="F31" s="325">
        <v>0</v>
      </c>
      <c r="G31" s="324">
        <f>G29/(944299348+G29)*100</f>
        <v>1.3794164260310753E-3</v>
      </c>
      <c r="H31" s="241" t="s">
        <v>2</v>
      </c>
      <c r="I31" s="262">
        <v>0</v>
      </c>
      <c r="J31" s="264">
        <v>0</v>
      </c>
      <c r="K31" s="273">
        <v>0</v>
      </c>
      <c r="L31" s="264">
        <v>0</v>
      </c>
      <c r="M31" s="241" t="s">
        <v>2</v>
      </c>
      <c r="N31" s="265">
        <v>9.8537697080702293E-4</v>
      </c>
      <c r="O31" s="264">
        <v>3.9404722087162889E-4</v>
      </c>
      <c r="P31" s="273">
        <v>0</v>
      </c>
      <c r="Q31" s="264">
        <v>1.3794164260310753E-3</v>
      </c>
      <c r="R31" s="241" t="s">
        <v>167</v>
      </c>
    </row>
    <row r="32" spans="1:20" ht="14.4" customHeight="1" x14ac:dyDescent="0.2">
      <c r="A32" s="396" t="s">
        <v>5</v>
      </c>
      <c r="B32" s="397"/>
      <c r="C32" s="55" t="s">
        <v>123</v>
      </c>
      <c r="D32" s="249">
        <v>5257</v>
      </c>
      <c r="E32" s="258">
        <v>2418</v>
      </c>
      <c r="F32" s="326">
        <v>0</v>
      </c>
      <c r="G32" s="252">
        <f>SUM(D32:F32)</f>
        <v>7675</v>
      </c>
      <c r="H32" s="237" t="s">
        <v>140</v>
      </c>
      <c r="I32" s="249">
        <v>0</v>
      </c>
      <c r="J32" s="250">
        <v>0</v>
      </c>
      <c r="K32" s="269">
        <v>0</v>
      </c>
      <c r="L32" s="250">
        <v>0</v>
      </c>
      <c r="M32" s="237" t="s">
        <v>140</v>
      </c>
      <c r="N32" s="252">
        <v>5257</v>
      </c>
      <c r="O32" s="250">
        <v>2418</v>
      </c>
      <c r="P32" s="269">
        <v>0</v>
      </c>
      <c r="Q32" s="250">
        <v>7675</v>
      </c>
      <c r="R32" s="237" t="s">
        <v>140</v>
      </c>
    </row>
    <row r="33" spans="1:20" ht="14.4" customHeight="1" thickBot="1" x14ac:dyDescent="0.25">
      <c r="A33" s="400" t="s">
        <v>6</v>
      </c>
      <c r="B33" s="401"/>
      <c r="C33" s="78" t="s">
        <v>124</v>
      </c>
      <c r="D33" s="266">
        <v>4048</v>
      </c>
      <c r="E33" s="267">
        <v>1303</v>
      </c>
      <c r="F33" s="274">
        <v>0</v>
      </c>
      <c r="G33" s="267">
        <f>SUM(D33:F33)</f>
        <v>5351</v>
      </c>
      <c r="H33" s="242" t="s">
        <v>140</v>
      </c>
      <c r="I33" s="266">
        <v>0</v>
      </c>
      <c r="J33" s="267">
        <v>0</v>
      </c>
      <c r="K33" s="274">
        <v>0</v>
      </c>
      <c r="L33" s="267">
        <v>0</v>
      </c>
      <c r="M33" s="242" t="s">
        <v>140</v>
      </c>
      <c r="N33" s="268">
        <v>4048</v>
      </c>
      <c r="O33" s="267">
        <v>1303</v>
      </c>
      <c r="P33" s="274">
        <v>0</v>
      </c>
      <c r="Q33" s="267">
        <v>5351</v>
      </c>
      <c r="R33" s="242" t="s">
        <v>140</v>
      </c>
    </row>
    <row r="34" spans="1:20" ht="14.4" customHeight="1" x14ac:dyDescent="0.2">
      <c r="B34" s="50" t="s">
        <v>121</v>
      </c>
      <c r="C34" s="86"/>
    </row>
    <row r="35" spans="1:20" s="31" customFormat="1" ht="14.4" customHeight="1" thickBot="1" x14ac:dyDescent="0.25">
      <c r="A35" s="108" t="s">
        <v>72</v>
      </c>
      <c r="C35" s="87"/>
      <c r="G35" s="48"/>
      <c r="H35" s="48"/>
      <c r="I35" s="48"/>
      <c r="K35" s="243"/>
      <c r="O35" s="49"/>
      <c r="P35" s="49"/>
      <c r="Q35" s="49"/>
      <c r="S35" s="48"/>
      <c r="T35" s="48"/>
    </row>
    <row r="36" spans="1:20" ht="14.4" customHeight="1" x14ac:dyDescent="0.2">
      <c r="A36" s="404" t="s">
        <v>74</v>
      </c>
      <c r="B36" s="405"/>
      <c r="C36" s="405"/>
      <c r="D36" s="410" t="s">
        <v>16</v>
      </c>
      <c r="E36" s="411"/>
      <c r="F36" s="411"/>
      <c r="G36" s="411"/>
      <c r="H36" s="412"/>
      <c r="I36" s="410" t="s">
        <v>146</v>
      </c>
      <c r="J36" s="411"/>
      <c r="K36" s="411"/>
      <c r="L36" s="411"/>
      <c r="M36" s="412"/>
      <c r="N36" s="411" t="s">
        <v>137</v>
      </c>
      <c r="O36" s="411"/>
      <c r="P36" s="411"/>
      <c r="Q36" s="411"/>
      <c r="R36" s="412"/>
    </row>
    <row r="37" spans="1:20" ht="14.4" customHeight="1" x14ac:dyDescent="0.2">
      <c r="A37" s="406"/>
      <c r="B37" s="407"/>
      <c r="C37" s="407"/>
      <c r="D37" s="244" t="s">
        <v>177</v>
      </c>
      <c r="E37" s="245" t="s">
        <v>178</v>
      </c>
      <c r="F37" s="246" t="s">
        <v>175</v>
      </c>
      <c r="G37" s="416" t="s">
        <v>133</v>
      </c>
      <c r="H37" s="417"/>
      <c r="I37" s="244" t="s">
        <v>177</v>
      </c>
      <c r="J37" s="245" t="s">
        <v>179</v>
      </c>
      <c r="K37" s="246" t="s">
        <v>175</v>
      </c>
      <c r="L37" s="416" t="s">
        <v>133</v>
      </c>
      <c r="M37" s="417"/>
      <c r="N37" s="247" t="s">
        <v>177</v>
      </c>
      <c r="O37" s="245" t="s">
        <v>179</v>
      </c>
      <c r="P37" s="246" t="s">
        <v>175</v>
      </c>
      <c r="Q37" s="416" t="s">
        <v>133</v>
      </c>
      <c r="R37" s="417"/>
    </row>
    <row r="38" spans="1:20" ht="14.4" customHeight="1" x14ac:dyDescent="0.2">
      <c r="A38" s="398" t="s">
        <v>0</v>
      </c>
      <c r="B38" s="399"/>
      <c r="C38" s="55" t="s">
        <v>129</v>
      </c>
      <c r="D38" s="249">
        <v>2560628</v>
      </c>
      <c r="E38" s="250">
        <v>1331669</v>
      </c>
      <c r="F38" s="250">
        <v>1049919</v>
      </c>
      <c r="G38" s="250">
        <v>4942216</v>
      </c>
      <c r="H38" s="237" t="s">
        <v>138</v>
      </c>
      <c r="I38" s="249">
        <v>2638128</v>
      </c>
      <c r="J38" s="250">
        <v>1142156</v>
      </c>
      <c r="K38" s="250">
        <v>881728</v>
      </c>
      <c r="L38" s="250">
        <v>4662012</v>
      </c>
      <c r="M38" s="237" t="s">
        <v>1</v>
      </c>
      <c r="N38" s="252">
        <v>5198756</v>
      </c>
      <c r="O38" s="250">
        <v>2473825</v>
      </c>
      <c r="P38" s="250">
        <v>1931647</v>
      </c>
      <c r="Q38" s="250">
        <v>9604228</v>
      </c>
      <c r="R38" s="237" t="s">
        <v>138</v>
      </c>
    </row>
    <row r="39" spans="1:20" ht="14.4" customHeight="1" x14ac:dyDescent="0.2">
      <c r="A39" s="52"/>
      <c r="B39" s="53" t="s">
        <v>77</v>
      </c>
      <c r="C39" s="75"/>
      <c r="D39" s="253">
        <v>51.811333215707286</v>
      </c>
      <c r="E39" s="257">
        <v>26.94477538011289</v>
      </c>
      <c r="F39" s="257">
        <v>21.243891404179827</v>
      </c>
      <c r="G39" s="257">
        <v>100</v>
      </c>
      <c r="H39" s="238" t="s">
        <v>2</v>
      </c>
      <c r="I39" s="260">
        <v>56.587756530871225</v>
      </c>
      <c r="J39" s="257">
        <v>24.499207638247178</v>
      </c>
      <c r="K39" s="257">
        <v>18.913035830881604</v>
      </c>
      <c r="L39" s="257">
        <v>100</v>
      </c>
      <c r="M39" s="238" t="s">
        <v>2</v>
      </c>
      <c r="N39" s="270">
        <v>54.129868637021119</v>
      </c>
      <c r="O39" s="257">
        <v>25.757666311128808</v>
      </c>
      <c r="P39" s="257">
        <v>20.11246505185008</v>
      </c>
      <c r="Q39" s="257">
        <v>100</v>
      </c>
      <c r="R39" s="238" t="s">
        <v>2</v>
      </c>
    </row>
    <row r="40" spans="1:20" ht="14.4" customHeight="1" x14ac:dyDescent="0.2">
      <c r="A40" s="396" t="s">
        <v>83</v>
      </c>
      <c r="B40" s="397"/>
      <c r="C40" s="55" t="s">
        <v>128</v>
      </c>
      <c r="D40" s="253">
        <v>28.769016178041028</v>
      </c>
      <c r="E40" s="254">
        <v>14.961488746040317</v>
      </c>
      <c r="F40" s="254">
        <v>11.795987818860318</v>
      </c>
      <c r="G40" s="254">
        <v>55.526492742941656</v>
      </c>
      <c r="H40" s="238" t="s">
        <v>2</v>
      </c>
      <c r="I40" s="253">
        <v>31.620283511589324</v>
      </c>
      <c r="J40" s="254">
        <v>13.689743838988411</v>
      </c>
      <c r="K40" s="254">
        <v>10.568285291732105</v>
      </c>
      <c r="L40" s="254">
        <v>55.878312642309844</v>
      </c>
      <c r="M40" s="238" t="s">
        <v>2</v>
      </c>
      <c r="N40" s="256">
        <v>30.148558936790948</v>
      </c>
      <c r="O40" s="257">
        <v>14.346174125465183</v>
      </c>
      <c r="P40" s="257">
        <v>11.201982440525276</v>
      </c>
      <c r="Q40" s="257">
        <v>55.696715502781402</v>
      </c>
      <c r="R40" s="238" t="s">
        <v>2</v>
      </c>
    </row>
    <row r="41" spans="1:20" ht="14.4" customHeight="1" x14ac:dyDescent="0.2">
      <c r="A41" s="398" t="s">
        <v>51</v>
      </c>
      <c r="B41" s="399"/>
      <c r="C41" s="55" t="s">
        <v>127</v>
      </c>
      <c r="D41" s="249">
        <v>3343331</v>
      </c>
      <c r="E41" s="250">
        <v>2328105</v>
      </c>
      <c r="F41" s="250">
        <v>1886014</v>
      </c>
      <c r="G41" s="250">
        <v>7557450</v>
      </c>
      <c r="H41" s="237" t="s">
        <v>139</v>
      </c>
      <c r="I41" s="249">
        <v>3329453</v>
      </c>
      <c r="J41" s="250">
        <v>1942759</v>
      </c>
      <c r="K41" s="250">
        <v>1526955</v>
      </c>
      <c r="L41" s="250">
        <v>6799167</v>
      </c>
      <c r="M41" s="237" t="s">
        <v>3</v>
      </c>
      <c r="N41" s="252">
        <v>6672784</v>
      </c>
      <c r="O41" s="250">
        <v>4270864</v>
      </c>
      <c r="P41" s="250">
        <v>3412969</v>
      </c>
      <c r="Q41" s="250">
        <v>14356617</v>
      </c>
      <c r="R41" s="237" t="s">
        <v>139</v>
      </c>
    </row>
    <row r="42" spans="1:20" ht="14.4" customHeight="1" x14ac:dyDescent="0.2">
      <c r="A42" s="54"/>
      <c r="B42" s="53" t="s">
        <v>77</v>
      </c>
      <c r="C42" s="75"/>
      <c r="D42" s="253">
        <v>44.238876869843665</v>
      </c>
      <c r="E42" s="254">
        <v>30.805430403112162</v>
      </c>
      <c r="F42" s="254">
        <v>24.955692727044173</v>
      </c>
      <c r="G42" s="254">
        <v>100</v>
      </c>
      <c r="H42" s="238" t="s">
        <v>2</v>
      </c>
      <c r="I42" s="260">
        <v>48.968542764135663</v>
      </c>
      <c r="J42" s="257">
        <v>28.573485546097043</v>
      </c>
      <c r="K42" s="257">
        <v>22.457971689767291</v>
      </c>
      <c r="L42" s="257">
        <v>100</v>
      </c>
      <c r="M42" s="238" t="s">
        <v>2</v>
      </c>
      <c r="N42" s="270">
        <v>46.47880486050439</v>
      </c>
      <c r="O42" s="257">
        <v>29.748401033474671</v>
      </c>
      <c r="P42" s="257">
        <v>23.772794106020939</v>
      </c>
      <c r="Q42" s="257">
        <v>100</v>
      </c>
      <c r="R42" s="238" t="s">
        <v>2</v>
      </c>
    </row>
    <row r="43" spans="1:20" ht="14.4" customHeight="1" x14ac:dyDescent="0.2">
      <c r="A43" s="396" t="s">
        <v>84</v>
      </c>
      <c r="B43" s="397"/>
      <c r="C43" s="76" t="s">
        <v>125</v>
      </c>
      <c r="D43" s="253">
        <v>24.035807003022978</v>
      </c>
      <c r="E43" s="254">
        <v>16.737164959967412</v>
      </c>
      <c r="F43" s="254">
        <v>13.558893363833668</v>
      </c>
      <c r="G43" s="254">
        <v>54.331865326824058</v>
      </c>
      <c r="H43" s="238" t="s">
        <v>2</v>
      </c>
      <c r="I43" s="253">
        <v>27.094842564901793</v>
      </c>
      <c r="J43" s="254">
        <v>15.810029228989277</v>
      </c>
      <c r="K43" s="254">
        <v>12.426246992731123</v>
      </c>
      <c r="L43" s="254">
        <v>55.331118786622191</v>
      </c>
      <c r="M43" s="238" t="s">
        <v>2</v>
      </c>
      <c r="N43" s="256">
        <v>25.470647764007058</v>
      </c>
      <c r="O43" s="254">
        <v>16.302291905744028</v>
      </c>
      <c r="P43" s="254">
        <v>13.02762553508032</v>
      </c>
      <c r="Q43" s="254">
        <v>54.800565204831408</v>
      </c>
      <c r="R43" s="238" t="s">
        <v>2</v>
      </c>
    </row>
    <row r="44" spans="1:20" ht="14.4" customHeight="1" x14ac:dyDescent="0.2">
      <c r="A44" s="398" t="s">
        <v>119</v>
      </c>
      <c r="B44" s="399"/>
      <c r="C44" s="55" t="s">
        <v>131</v>
      </c>
      <c r="D44" s="272">
        <v>88632212</v>
      </c>
      <c r="E44" s="259">
        <v>39518969</v>
      </c>
      <c r="F44" s="259">
        <v>12649095</v>
      </c>
      <c r="G44" s="250">
        <v>140800276</v>
      </c>
      <c r="H44" s="239" t="s">
        <v>140</v>
      </c>
      <c r="I44" s="272">
        <v>97551867</v>
      </c>
      <c r="J44" s="259">
        <v>36560581</v>
      </c>
      <c r="K44" s="259">
        <v>11415076</v>
      </c>
      <c r="L44" s="250">
        <v>145527524</v>
      </c>
      <c r="M44" s="239" t="s">
        <v>4</v>
      </c>
      <c r="N44" s="252">
        <v>186184079</v>
      </c>
      <c r="O44" s="250">
        <v>76079550</v>
      </c>
      <c r="P44" s="250">
        <v>24064171</v>
      </c>
      <c r="Q44" s="250">
        <v>286327800</v>
      </c>
      <c r="R44" s="239" t="s">
        <v>140</v>
      </c>
    </row>
    <row r="45" spans="1:20" ht="14.4" customHeight="1" x14ac:dyDescent="0.2">
      <c r="A45" s="54"/>
      <c r="B45" s="402" t="s">
        <v>75</v>
      </c>
      <c r="C45" s="403"/>
      <c r="D45" s="272"/>
      <c r="E45" s="259"/>
      <c r="F45" s="259"/>
      <c r="G45" s="259"/>
      <c r="H45" s="238"/>
      <c r="I45" s="272"/>
      <c r="J45" s="259"/>
      <c r="K45" s="259"/>
      <c r="L45" s="259"/>
      <c r="M45" s="238"/>
      <c r="N45" s="261"/>
      <c r="O45" s="259"/>
      <c r="P45" s="259"/>
      <c r="Q45" s="259"/>
      <c r="R45" s="238"/>
    </row>
    <row r="46" spans="1:20" ht="14.4" customHeight="1" x14ac:dyDescent="0.2">
      <c r="A46" s="56"/>
      <c r="B46" s="57" t="s">
        <v>126</v>
      </c>
      <c r="C46" s="77"/>
      <c r="D46" s="262">
        <v>8.5806471050221376</v>
      </c>
      <c r="E46" s="263">
        <v>4.0168970547841507</v>
      </c>
      <c r="F46" s="263">
        <v>1.3218157250296085</v>
      </c>
      <c r="G46" s="264">
        <v>12.975792534234627</v>
      </c>
      <c r="H46" s="241" t="s">
        <v>2</v>
      </c>
      <c r="I46" s="262">
        <v>9.5825575768666624</v>
      </c>
      <c r="J46" s="264">
        <v>3.8202380006815426</v>
      </c>
      <c r="K46" s="264">
        <v>1.2249537249312945</v>
      </c>
      <c r="L46" s="264">
        <v>13.651858234181841</v>
      </c>
      <c r="M46" s="241" t="s">
        <v>2</v>
      </c>
      <c r="N46" s="265">
        <v>9.0779588705135268</v>
      </c>
      <c r="O46" s="264">
        <v>3.9199250351328061</v>
      </c>
      <c r="P46" s="264">
        <v>1.2740275472531153</v>
      </c>
      <c r="Q46" s="264">
        <v>13.310822496871264</v>
      </c>
      <c r="R46" s="241" t="s">
        <v>2</v>
      </c>
    </row>
    <row r="47" spans="1:20" ht="14.4" customHeight="1" x14ac:dyDescent="0.2">
      <c r="A47" s="396" t="s">
        <v>5</v>
      </c>
      <c r="B47" s="397"/>
      <c r="C47" s="55" t="s">
        <v>123</v>
      </c>
      <c r="D47" s="249">
        <v>55634926</v>
      </c>
      <c r="E47" s="250">
        <v>27649989</v>
      </c>
      <c r="F47" s="250">
        <v>9000356</v>
      </c>
      <c r="G47" s="250">
        <v>92285271</v>
      </c>
      <c r="H47" s="237" t="s">
        <v>140</v>
      </c>
      <c r="I47" s="249">
        <v>65857139</v>
      </c>
      <c r="J47" s="250">
        <v>26777211</v>
      </c>
      <c r="K47" s="250">
        <v>8494639</v>
      </c>
      <c r="L47" s="250">
        <v>101128989</v>
      </c>
      <c r="M47" s="237" t="s">
        <v>4</v>
      </c>
      <c r="N47" s="252">
        <v>121492065</v>
      </c>
      <c r="O47" s="250">
        <v>54427200</v>
      </c>
      <c r="P47" s="250">
        <v>17494995</v>
      </c>
      <c r="Q47" s="250">
        <v>193414260</v>
      </c>
      <c r="R47" s="237" t="s">
        <v>140</v>
      </c>
    </row>
    <row r="48" spans="1:20" ht="14.4" customHeight="1" thickBot="1" x14ac:dyDescent="0.25">
      <c r="A48" s="400" t="s">
        <v>6</v>
      </c>
      <c r="B48" s="401"/>
      <c r="C48" s="78" t="s">
        <v>124</v>
      </c>
      <c r="D48" s="266">
        <v>32997286</v>
      </c>
      <c r="E48" s="267">
        <v>11868980</v>
      </c>
      <c r="F48" s="267">
        <v>3648739</v>
      </c>
      <c r="G48" s="267">
        <v>48515005</v>
      </c>
      <c r="H48" s="242" t="s">
        <v>140</v>
      </c>
      <c r="I48" s="266">
        <v>31694728</v>
      </c>
      <c r="J48" s="267">
        <v>9783370</v>
      </c>
      <c r="K48" s="267">
        <v>2920437</v>
      </c>
      <c r="L48" s="267">
        <v>44398535</v>
      </c>
      <c r="M48" s="242" t="s">
        <v>4</v>
      </c>
      <c r="N48" s="268">
        <v>64692014</v>
      </c>
      <c r="O48" s="267">
        <v>21652350</v>
      </c>
      <c r="P48" s="267">
        <v>6569176</v>
      </c>
      <c r="Q48" s="267">
        <v>92913540</v>
      </c>
      <c r="R48" s="242" t="s">
        <v>140</v>
      </c>
    </row>
    <row r="49" spans="4:20" s="98" customFormat="1" ht="17.399999999999999" customHeight="1" x14ac:dyDescent="0.2"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</row>
  </sheetData>
  <mergeCells count="45">
    <mergeCell ref="A16:B16"/>
    <mergeCell ref="A17:B17"/>
    <mergeCell ref="A7:B7"/>
    <mergeCell ref="N4:R4"/>
    <mergeCell ref="G5:H6"/>
    <mergeCell ref="L5:M6"/>
    <mergeCell ref="Q5:R6"/>
    <mergeCell ref="A4:C6"/>
    <mergeCell ref="D4:H4"/>
    <mergeCell ref="I4:M4"/>
    <mergeCell ref="A13:B13"/>
    <mergeCell ref="B14:C14"/>
    <mergeCell ref="A10:B10"/>
    <mergeCell ref="A9:B9"/>
    <mergeCell ref="A12:B12"/>
    <mergeCell ref="L37:M37"/>
    <mergeCell ref="I36:M36"/>
    <mergeCell ref="N36:R36"/>
    <mergeCell ref="Q37:R37"/>
    <mergeCell ref="I20:M20"/>
    <mergeCell ref="L21:M22"/>
    <mergeCell ref="N20:R20"/>
    <mergeCell ref="Q21:R22"/>
    <mergeCell ref="A20:C22"/>
    <mergeCell ref="A36:C37"/>
    <mergeCell ref="D20:H20"/>
    <mergeCell ref="G21:H22"/>
    <mergeCell ref="D36:H36"/>
    <mergeCell ref="G37:H37"/>
    <mergeCell ref="A23:B23"/>
    <mergeCell ref="A29:B29"/>
    <mergeCell ref="A28:B28"/>
    <mergeCell ref="A26:B26"/>
    <mergeCell ref="A25:B25"/>
    <mergeCell ref="A32:B32"/>
    <mergeCell ref="A33:B33"/>
    <mergeCell ref="B30:C30"/>
    <mergeCell ref="A43:B43"/>
    <mergeCell ref="A40:B40"/>
    <mergeCell ref="A38:B38"/>
    <mergeCell ref="A48:B48"/>
    <mergeCell ref="A41:B41"/>
    <mergeCell ref="A47:B47"/>
    <mergeCell ref="A44:B44"/>
    <mergeCell ref="B45:C45"/>
  </mergeCells>
  <phoneticPr fontId="1"/>
  <printOptions horizontalCentered="1" verticalCentered="1"/>
  <pageMargins left="0.51181102362204722" right="0.51181102362204722" top="0.74803149606299213" bottom="0.55118110236220474" header="0.31496062992125984" footer="0.11811023622047245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21"/>
  <sheetViews>
    <sheetView zoomScaleNormal="100" zoomScaleSheetLayoutView="100" workbookViewId="0"/>
  </sheetViews>
  <sheetFormatPr defaultColWidth="8.83203125" defaultRowHeight="15.65" customHeight="1" x14ac:dyDescent="0.2"/>
  <cols>
    <col min="1" max="1" width="4.5" style="184" customWidth="1"/>
    <col min="2" max="2" width="13" style="184" customWidth="1"/>
    <col min="3" max="3" width="8.6640625" style="184" customWidth="1"/>
    <col min="4" max="8" width="8.83203125" style="184" customWidth="1"/>
    <col min="9" max="9" width="3.5" style="184" customWidth="1"/>
    <col min="10" max="11" width="4.4140625" style="184" customWidth="1"/>
    <col min="12" max="14" width="8.83203125" style="184" customWidth="1"/>
    <col min="15" max="15" width="3.5" style="45" customWidth="1"/>
    <col min="16" max="19" width="8.83203125" style="45"/>
    <col min="20" max="20" width="3.5" style="45" customWidth="1"/>
    <col min="21" max="16384" width="8.83203125" style="45"/>
  </cols>
  <sheetData>
    <row r="1" spans="1:14" ht="17.399999999999999" customHeight="1" x14ac:dyDescent="0.2">
      <c r="A1" s="182" t="s">
        <v>156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4" ht="17.399999999999999" customHeigh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4" s="61" customFormat="1" ht="17.399999999999999" customHeight="1" x14ac:dyDescent="0.2">
      <c r="A3" s="186" t="s">
        <v>80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  <c r="N3" s="189"/>
    </row>
    <row r="4" spans="1:14" ht="17.399999999999999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7"/>
      <c r="L4" s="185"/>
      <c r="M4" s="190"/>
    </row>
    <row r="5" spans="1:14" s="61" customFormat="1" ht="17.399999999999999" customHeight="1" thickBot="1" x14ac:dyDescent="0.25">
      <c r="A5" s="191" t="s">
        <v>69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6"/>
      <c r="M5" s="192"/>
      <c r="N5" s="189"/>
    </row>
    <row r="6" spans="1:14" s="61" customFormat="1" ht="17.399999999999999" customHeight="1" x14ac:dyDescent="0.2">
      <c r="A6" s="422" t="s">
        <v>147</v>
      </c>
      <c r="B6" s="423"/>
      <c r="C6" s="193" t="s">
        <v>7</v>
      </c>
      <c r="D6" s="62" t="s">
        <v>10</v>
      </c>
      <c r="E6" s="62" t="s">
        <v>13</v>
      </c>
      <c r="F6" s="62" t="s">
        <v>11</v>
      </c>
      <c r="G6" s="428" t="s">
        <v>15</v>
      </c>
      <c r="H6" s="429"/>
      <c r="I6" s="429"/>
      <c r="J6" s="194"/>
      <c r="K6" s="187"/>
      <c r="L6" s="189"/>
      <c r="M6" s="189"/>
      <c r="N6" s="189"/>
    </row>
    <row r="7" spans="1:14" s="61" customFormat="1" ht="17.399999999999999" customHeight="1" x14ac:dyDescent="0.2">
      <c r="A7" s="424"/>
      <c r="B7" s="425"/>
      <c r="C7" s="195" t="s">
        <v>8</v>
      </c>
      <c r="D7" s="64" t="s">
        <v>11</v>
      </c>
      <c r="E7" s="64" t="s">
        <v>14</v>
      </c>
      <c r="F7" s="64" t="s">
        <v>148</v>
      </c>
      <c r="G7" s="430"/>
      <c r="H7" s="431"/>
      <c r="I7" s="431"/>
      <c r="J7" s="194"/>
      <c r="K7" s="186"/>
      <c r="L7" s="189"/>
      <c r="M7" s="189"/>
      <c r="N7" s="189"/>
    </row>
    <row r="8" spans="1:14" s="61" customFormat="1" ht="17.399999999999999" customHeight="1" x14ac:dyDescent="0.2">
      <c r="A8" s="426"/>
      <c r="B8" s="427"/>
      <c r="C8" s="195" t="s">
        <v>9</v>
      </c>
      <c r="D8" s="64" t="s">
        <v>12</v>
      </c>
      <c r="E8" s="64" t="s">
        <v>20</v>
      </c>
      <c r="F8" s="64" t="s">
        <v>20</v>
      </c>
      <c r="G8" s="432"/>
      <c r="H8" s="433"/>
      <c r="I8" s="433"/>
      <c r="J8" s="194"/>
      <c r="K8" s="186"/>
      <c r="L8" s="189"/>
      <c r="M8" s="189"/>
      <c r="N8" s="189"/>
    </row>
    <row r="9" spans="1:14" s="61" customFormat="1" ht="17.399999999999999" customHeight="1" x14ac:dyDescent="0.2">
      <c r="A9" s="65" t="s">
        <v>16</v>
      </c>
      <c r="B9" s="79"/>
      <c r="C9" s="66"/>
      <c r="D9" s="315">
        <v>1498</v>
      </c>
      <c r="E9" s="315">
        <v>4</v>
      </c>
      <c r="F9" s="315">
        <v>0</v>
      </c>
      <c r="G9" s="386">
        <v>1502</v>
      </c>
      <c r="H9" s="387" t="e">
        <v>#REF!</v>
      </c>
      <c r="I9" s="236" t="s">
        <v>19</v>
      </c>
      <c r="J9" s="200"/>
      <c r="K9" s="201"/>
      <c r="L9" s="189"/>
      <c r="M9" s="189"/>
      <c r="N9" s="189"/>
    </row>
    <row r="10" spans="1:14" s="61" customFormat="1" ht="17.399999999999999" customHeight="1" x14ac:dyDescent="0.2">
      <c r="A10" s="68"/>
      <c r="B10" s="80"/>
      <c r="C10" s="83" t="s">
        <v>76</v>
      </c>
      <c r="D10" s="316">
        <v>99.7</v>
      </c>
      <c r="E10" s="317">
        <v>0.3</v>
      </c>
      <c r="F10" s="317">
        <v>0</v>
      </c>
      <c r="G10" s="388">
        <v>100</v>
      </c>
      <c r="H10" s="389" t="e">
        <v>#REF!</v>
      </c>
      <c r="I10" s="236" t="s">
        <v>164</v>
      </c>
      <c r="J10" s="200"/>
      <c r="K10" s="205"/>
      <c r="L10" s="189"/>
      <c r="M10" s="189"/>
      <c r="N10" s="189"/>
    </row>
    <row r="11" spans="1:14" s="61" customFormat="1" ht="17.399999999999999" customHeight="1" x14ac:dyDescent="0.2">
      <c r="A11" s="65" t="s">
        <v>17</v>
      </c>
      <c r="B11" s="79"/>
      <c r="C11" s="84"/>
      <c r="D11" s="315">
        <v>239</v>
      </c>
      <c r="E11" s="315">
        <v>0</v>
      </c>
      <c r="F11" s="315">
        <v>0</v>
      </c>
      <c r="G11" s="386">
        <v>239</v>
      </c>
      <c r="H11" s="387" t="e">
        <v>#REF!</v>
      </c>
      <c r="I11" s="236" t="s">
        <v>19</v>
      </c>
      <c r="J11" s="200"/>
      <c r="K11" s="201"/>
      <c r="L11" s="189"/>
      <c r="M11" s="189"/>
      <c r="N11" s="189"/>
    </row>
    <row r="12" spans="1:14" s="61" customFormat="1" ht="17.399999999999999" customHeight="1" x14ac:dyDescent="0.2">
      <c r="A12" s="68"/>
      <c r="B12" s="81"/>
      <c r="C12" s="83" t="s">
        <v>76</v>
      </c>
      <c r="D12" s="316">
        <v>100</v>
      </c>
      <c r="E12" s="317">
        <v>0</v>
      </c>
      <c r="F12" s="317">
        <v>0</v>
      </c>
      <c r="G12" s="388">
        <v>100</v>
      </c>
      <c r="H12" s="389" t="e">
        <v>#REF!</v>
      </c>
      <c r="I12" s="236" t="s">
        <v>157</v>
      </c>
      <c r="J12" s="200"/>
      <c r="K12" s="207"/>
      <c r="L12" s="189"/>
      <c r="M12" s="189"/>
      <c r="N12" s="189"/>
    </row>
    <row r="13" spans="1:14" s="61" customFormat="1" ht="17.399999999999999" customHeight="1" x14ac:dyDescent="0.2">
      <c r="A13" s="65" t="s">
        <v>18</v>
      </c>
      <c r="B13" s="79"/>
      <c r="C13" s="84"/>
      <c r="D13" s="318">
        <v>1737</v>
      </c>
      <c r="E13" s="318">
        <v>4</v>
      </c>
      <c r="F13" s="318">
        <v>0</v>
      </c>
      <c r="G13" s="386">
        <v>1741</v>
      </c>
      <c r="H13" s="387" t="e">
        <v>#REF!</v>
      </c>
      <c r="I13" s="236" t="s">
        <v>19</v>
      </c>
      <c r="J13" s="200"/>
      <c r="K13" s="208"/>
      <c r="L13" s="189"/>
      <c r="M13" s="189"/>
      <c r="N13" s="189"/>
    </row>
    <row r="14" spans="1:14" s="61" customFormat="1" ht="17.399999999999999" customHeight="1" thickBot="1" x14ac:dyDescent="0.25">
      <c r="A14" s="72"/>
      <c r="B14" s="82"/>
      <c r="C14" s="85" t="s">
        <v>76</v>
      </c>
      <c r="D14" s="319">
        <v>99.8</v>
      </c>
      <c r="E14" s="319">
        <v>0.2</v>
      </c>
      <c r="F14" s="319">
        <v>0</v>
      </c>
      <c r="G14" s="384">
        <v>100</v>
      </c>
      <c r="H14" s="385" t="e">
        <v>#REF!</v>
      </c>
      <c r="I14" s="212" t="s">
        <v>157</v>
      </c>
      <c r="J14" s="200"/>
      <c r="K14" s="213"/>
      <c r="L14" s="189"/>
      <c r="M14" s="189"/>
      <c r="N14" s="189"/>
    </row>
    <row r="15" spans="1:14" s="61" customFormat="1" ht="15.65" customHeight="1" x14ac:dyDescent="0.2">
      <c r="A15" s="60" t="s">
        <v>73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4" s="61" customFormat="1" ht="15.65" customHeight="1" x14ac:dyDescent="0.2">
      <c r="A16" s="60" t="s">
        <v>182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4" s="61" customFormat="1" ht="15.65" customHeight="1" x14ac:dyDescent="0.2">
      <c r="A17" s="60" t="s">
        <v>180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4" s="61" customFormat="1" ht="15.65" customHeight="1" x14ac:dyDescent="0.2">
      <c r="A18" s="60" t="s">
        <v>183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4" s="61" customFormat="1" ht="15.65" customHeight="1" x14ac:dyDescent="0.2">
      <c r="A19" s="60" t="s">
        <v>54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4" s="61" customFormat="1" ht="17.399999999999999" customHeight="1" x14ac:dyDescent="0.2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89"/>
    </row>
    <row r="21" spans="1:14" ht="17.399999999999999" customHeight="1" x14ac:dyDescent="0.2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</sheetData>
  <mergeCells count="8">
    <mergeCell ref="A6:B8"/>
    <mergeCell ref="G14:H14"/>
    <mergeCell ref="G13:H13"/>
    <mergeCell ref="G12:H12"/>
    <mergeCell ref="G11:H11"/>
    <mergeCell ref="G10:H10"/>
    <mergeCell ref="G9:H9"/>
    <mergeCell ref="G6:I8"/>
  </mergeCells>
  <phoneticPr fontId="1"/>
  <pageMargins left="0.9055118110236221" right="0.9055118110236221" top="0.74803149606299213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49"/>
  <sheetViews>
    <sheetView zoomScaleNormal="100" zoomScaleSheetLayoutView="100" workbookViewId="0"/>
  </sheetViews>
  <sheetFormatPr defaultColWidth="8.83203125" defaultRowHeight="15.65" customHeight="1" x14ac:dyDescent="0.2"/>
  <cols>
    <col min="1" max="1" width="4.5" style="50" customWidth="1"/>
    <col min="2" max="2" width="13" style="50" customWidth="1"/>
    <col min="3" max="3" width="8.6640625" style="50" customWidth="1"/>
    <col min="4" max="7" width="9.33203125" style="248" customWidth="1"/>
    <col min="8" max="8" width="3.5" style="248" customWidth="1"/>
    <col min="9" max="12" width="9.33203125" style="248" customWidth="1"/>
    <col min="13" max="13" width="3.5" style="248" customWidth="1"/>
    <col min="14" max="17" width="9.33203125" style="248" customWidth="1"/>
    <col min="18" max="18" width="3.5" style="248" customWidth="1"/>
    <col min="19" max="19" width="4" style="248" bestFit="1" customWidth="1"/>
    <col min="20" max="16384" width="8.83203125" style="50"/>
  </cols>
  <sheetData>
    <row r="1" spans="1:18" ht="15.65" customHeight="1" x14ac:dyDescent="0.2">
      <c r="A1" s="107" t="s">
        <v>135</v>
      </c>
    </row>
    <row r="3" spans="1:18" s="49" customFormat="1" ht="14.4" customHeight="1" thickBot="1" x14ac:dyDescent="0.25">
      <c r="A3" s="93" t="s">
        <v>70</v>
      </c>
      <c r="G3" s="48"/>
      <c r="H3" s="48"/>
      <c r="I3" s="48"/>
      <c r="J3" s="48"/>
      <c r="K3" s="48"/>
      <c r="L3" s="48"/>
      <c r="O3" s="48"/>
      <c r="P3" s="48"/>
    </row>
    <row r="4" spans="1:18" ht="14.4" customHeight="1" x14ac:dyDescent="0.2">
      <c r="A4" s="404" t="s">
        <v>74</v>
      </c>
      <c r="B4" s="405"/>
      <c r="C4" s="405"/>
      <c r="D4" s="410" t="s">
        <v>16</v>
      </c>
      <c r="E4" s="411"/>
      <c r="F4" s="411"/>
      <c r="G4" s="411"/>
      <c r="H4" s="412"/>
      <c r="I4" s="410" t="s">
        <v>17</v>
      </c>
      <c r="J4" s="411"/>
      <c r="K4" s="411"/>
      <c r="L4" s="411"/>
      <c r="M4" s="412"/>
      <c r="N4" s="411" t="s">
        <v>137</v>
      </c>
      <c r="O4" s="411"/>
      <c r="P4" s="411"/>
      <c r="Q4" s="411"/>
      <c r="R4" s="412"/>
    </row>
    <row r="5" spans="1:18" ht="14.4" customHeight="1" x14ac:dyDescent="0.2">
      <c r="A5" s="406"/>
      <c r="B5" s="407"/>
      <c r="C5" s="407"/>
      <c r="D5" s="102" t="s">
        <v>113</v>
      </c>
      <c r="E5" s="97" t="s">
        <v>114</v>
      </c>
      <c r="F5" s="51" t="s">
        <v>115</v>
      </c>
      <c r="G5" s="402" t="s">
        <v>133</v>
      </c>
      <c r="H5" s="413"/>
      <c r="I5" s="101" t="s">
        <v>113</v>
      </c>
      <c r="J5" s="97" t="s">
        <v>114</v>
      </c>
      <c r="K5" s="51" t="s">
        <v>115</v>
      </c>
      <c r="L5" s="402" t="s">
        <v>133</v>
      </c>
      <c r="M5" s="413"/>
      <c r="N5" s="99" t="s">
        <v>113</v>
      </c>
      <c r="O5" s="88" t="s">
        <v>114</v>
      </c>
      <c r="P5" s="51" t="s">
        <v>115</v>
      </c>
      <c r="Q5" s="419" t="s">
        <v>133</v>
      </c>
      <c r="R5" s="420"/>
    </row>
    <row r="6" spans="1:18" ht="14.4" customHeight="1" x14ac:dyDescent="0.2">
      <c r="A6" s="408"/>
      <c r="B6" s="409"/>
      <c r="C6" s="409"/>
      <c r="D6" s="103" t="s">
        <v>116</v>
      </c>
      <c r="E6" s="90" t="s">
        <v>117</v>
      </c>
      <c r="F6" s="51" t="s">
        <v>118</v>
      </c>
      <c r="G6" s="414"/>
      <c r="H6" s="415"/>
      <c r="I6" s="320" t="s">
        <v>116</v>
      </c>
      <c r="J6" s="90" t="s">
        <v>117</v>
      </c>
      <c r="K6" s="51" t="s">
        <v>118</v>
      </c>
      <c r="L6" s="414"/>
      <c r="M6" s="415"/>
      <c r="N6" s="100" t="s">
        <v>116</v>
      </c>
      <c r="O6" s="90" t="s">
        <v>117</v>
      </c>
      <c r="P6" s="51" t="s">
        <v>118</v>
      </c>
      <c r="Q6" s="414"/>
      <c r="R6" s="415"/>
    </row>
    <row r="7" spans="1:18" ht="14.4" customHeight="1" x14ac:dyDescent="0.2">
      <c r="A7" s="398" t="s">
        <v>0</v>
      </c>
      <c r="B7" s="399"/>
      <c r="C7" s="55" t="s">
        <v>129</v>
      </c>
      <c r="D7" s="249">
        <f>2560628-D23</f>
        <v>2560341</v>
      </c>
      <c r="E7" s="250">
        <f>1331668-E23</f>
        <v>1331525</v>
      </c>
      <c r="F7" s="250">
        <v>1049919</v>
      </c>
      <c r="G7" s="250">
        <f>SUM(D7:F7)</f>
        <v>4941785</v>
      </c>
      <c r="H7" s="237" t="s">
        <v>1</v>
      </c>
      <c r="I7" s="251">
        <v>2638128</v>
      </c>
      <c r="J7" s="258">
        <v>1142156</v>
      </c>
      <c r="K7" s="258">
        <v>881728</v>
      </c>
      <c r="L7" s="250">
        <f>SUM(I7:K7)</f>
        <v>4662012</v>
      </c>
      <c r="M7" s="237" t="s">
        <v>1</v>
      </c>
      <c r="N7" s="252">
        <f>D7+I7</f>
        <v>5198469</v>
      </c>
      <c r="O7" s="250">
        <f t="shared" ref="O7" si="0">E7+J7</f>
        <v>2473681</v>
      </c>
      <c r="P7" s="250">
        <f t="shared" ref="P7" si="1">F7+K7</f>
        <v>1931647</v>
      </c>
      <c r="Q7" s="250">
        <f>SUM(N7:P7)</f>
        <v>9603797</v>
      </c>
      <c r="R7" s="237" t="s">
        <v>1</v>
      </c>
    </row>
    <row r="8" spans="1:18" ht="14.4" customHeight="1" x14ac:dyDescent="0.2">
      <c r="A8" s="52"/>
      <c r="B8" s="53" t="s">
        <v>77</v>
      </c>
      <c r="C8" s="75"/>
      <c r="D8" s="253">
        <f>D7/G7*100</f>
        <v>51.810044346324261</v>
      </c>
      <c r="E8" s="254">
        <f>E7/G7*100</f>
        <v>26.944211453958438</v>
      </c>
      <c r="F8" s="254">
        <f>F7/G7*100</f>
        <v>21.245744199717308</v>
      </c>
      <c r="G8" s="254">
        <f>SUM(D8:F8)</f>
        <v>100</v>
      </c>
      <c r="H8" s="238" t="s">
        <v>2</v>
      </c>
      <c r="I8" s="253">
        <f>I7/L7*100</f>
        <v>56.587756530871225</v>
      </c>
      <c r="J8" s="255">
        <f>J7/L7*100</f>
        <v>24.499207638247178</v>
      </c>
      <c r="K8" s="255">
        <f>K7/L7*100</f>
        <v>18.913035830881604</v>
      </c>
      <c r="L8" s="255">
        <f>SUM(I8:K8)</f>
        <v>100</v>
      </c>
      <c r="M8" s="238" t="s">
        <v>2</v>
      </c>
      <c r="N8" s="256">
        <f>N7/Q7*100</f>
        <v>54.129309480406548</v>
      </c>
      <c r="O8" s="254">
        <f>O7/Q7*100</f>
        <v>25.757322858865095</v>
      </c>
      <c r="P8" s="254">
        <f>P7/Q7*100</f>
        <v>20.113367660728358</v>
      </c>
      <c r="Q8" s="254">
        <f>SUM(N8:P8)</f>
        <v>100</v>
      </c>
      <c r="R8" s="238" t="s">
        <v>2</v>
      </c>
    </row>
    <row r="9" spans="1:18" ht="14.4" customHeight="1" x14ac:dyDescent="0.2">
      <c r="A9" s="396" t="s">
        <v>83</v>
      </c>
      <c r="B9" s="397"/>
      <c r="C9" s="55" t="s">
        <v>128</v>
      </c>
      <c r="D9" s="253">
        <f>D7/8900645*100</f>
        <v>28.765791692624521</v>
      </c>
      <c r="E9" s="254">
        <f t="shared" ref="E9:F9" si="2">E7/8900645*100</f>
        <v>14.959870885761649</v>
      </c>
      <c r="F9" s="254">
        <f t="shared" si="2"/>
        <v>11.795987818860318</v>
      </c>
      <c r="G9" s="254">
        <f>G7/8900645*100</f>
        <v>55.521650397246489</v>
      </c>
      <c r="H9" s="238" t="s">
        <v>2</v>
      </c>
      <c r="I9" s="253">
        <f>I7/8343151*100</f>
        <v>31.620283511589324</v>
      </c>
      <c r="J9" s="254">
        <f t="shared" ref="J9:L9" si="3">J7/8343151*100</f>
        <v>13.689743838988411</v>
      </c>
      <c r="K9" s="254">
        <f t="shared" si="3"/>
        <v>10.568285291732105</v>
      </c>
      <c r="L9" s="254">
        <f t="shared" si="3"/>
        <v>55.878312642309844</v>
      </c>
      <c r="M9" s="238" t="s">
        <v>2</v>
      </c>
      <c r="N9" s="256">
        <f>N7/(8900645+8343151)*100</f>
        <v>30.146894570081901</v>
      </c>
      <c r="O9" s="254">
        <f>O7/(8900645+8343151)*100</f>
        <v>14.345339042517088</v>
      </c>
      <c r="P9" s="254">
        <f>P7/(8900645+8343151)*100</f>
        <v>11.201982440525276</v>
      </c>
      <c r="Q9" s="254">
        <f>Q7/(8900645+8343151)*100</f>
        <v>55.694216053124265</v>
      </c>
      <c r="R9" s="238" t="s">
        <v>2</v>
      </c>
    </row>
    <row r="10" spans="1:18" ht="14.4" customHeight="1" x14ac:dyDescent="0.2">
      <c r="A10" s="398" t="s">
        <v>51</v>
      </c>
      <c r="B10" s="399"/>
      <c r="C10" s="55" t="s">
        <v>127</v>
      </c>
      <c r="D10" s="249">
        <f>3343331-D26</f>
        <v>3342940</v>
      </c>
      <c r="E10" s="250">
        <f>2328105-E26</f>
        <v>2327823</v>
      </c>
      <c r="F10" s="250">
        <f>1886014-F26</f>
        <v>1886014</v>
      </c>
      <c r="G10" s="250">
        <f>SUM(D10:F10)</f>
        <v>7556777</v>
      </c>
      <c r="H10" s="237" t="s">
        <v>3</v>
      </c>
      <c r="I10" s="251">
        <v>3329453</v>
      </c>
      <c r="J10" s="258">
        <v>1942759</v>
      </c>
      <c r="K10" s="258">
        <v>1526955</v>
      </c>
      <c r="L10" s="250">
        <f>SUM(I10:K10)</f>
        <v>6799167</v>
      </c>
      <c r="M10" s="237" t="s">
        <v>3</v>
      </c>
      <c r="N10" s="252">
        <f>D10+I10</f>
        <v>6672393</v>
      </c>
      <c r="O10" s="250">
        <f t="shared" ref="O10" si="4">E10+J10</f>
        <v>4270582</v>
      </c>
      <c r="P10" s="250">
        <f t="shared" ref="P10" si="5">F10+K10</f>
        <v>3412969</v>
      </c>
      <c r="Q10" s="250">
        <f>SUM(N10:P10)</f>
        <v>14355944</v>
      </c>
      <c r="R10" s="237" t="s">
        <v>3</v>
      </c>
    </row>
    <row r="11" spans="1:18" ht="14.4" customHeight="1" x14ac:dyDescent="0.2">
      <c r="A11" s="54"/>
      <c r="B11" s="53" t="s">
        <v>77</v>
      </c>
      <c r="C11" s="75"/>
      <c r="D11" s="253">
        <f>D10/G10*100</f>
        <v>44.237642582280778</v>
      </c>
      <c r="E11" s="254">
        <f>E10/G10*100</f>
        <v>30.804442158343431</v>
      </c>
      <c r="F11" s="254">
        <f>F10/G10*100</f>
        <v>24.957915259375792</v>
      </c>
      <c r="G11" s="254">
        <f>SUM(D11:F11)</f>
        <v>100</v>
      </c>
      <c r="H11" s="238" t="s">
        <v>2</v>
      </c>
      <c r="I11" s="253">
        <f>I10/L10*100</f>
        <v>48.968542764135663</v>
      </c>
      <c r="J11" s="254">
        <f>J10/L10*100</f>
        <v>28.573485546097043</v>
      </c>
      <c r="K11" s="254">
        <f>K10/L10*100</f>
        <v>22.457971689767291</v>
      </c>
      <c r="L11" s="254">
        <f>SUM(I11:K11)</f>
        <v>100</v>
      </c>
      <c r="M11" s="238" t="s">
        <v>2</v>
      </c>
      <c r="N11" s="256">
        <f>N10/Q10*100</f>
        <v>46.478260154818102</v>
      </c>
      <c r="O11" s="254">
        <f>O10/Q10*100</f>
        <v>29.747831281593186</v>
      </c>
      <c r="P11" s="254">
        <f>P10/Q10*100</f>
        <v>23.773908563588712</v>
      </c>
      <c r="Q11" s="254">
        <f>SUM(N11:P11)</f>
        <v>100</v>
      </c>
      <c r="R11" s="238" t="s">
        <v>2</v>
      </c>
    </row>
    <row r="12" spans="1:18" ht="14.4" customHeight="1" x14ac:dyDescent="0.2">
      <c r="A12" s="396" t="s">
        <v>84</v>
      </c>
      <c r="B12" s="397"/>
      <c r="C12" s="76" t="s">
        <v>144</v>
      </c>
      <c r="D12" s="253">
        <f>D10/13909793*100</f>
        <v>24.03299603380151</v>
      </c>
      <c r="E12" s="254">
        <f t="shared" ref="E12:F12" si="6">E10/13909793*100</f>
        <v>16.735137611321747</v>
      </c>
      <c r="F12" s="254">
        <f t="shared" si="6"/>
        <v>13.558893363833668</v>
      </c>
      <c r="G12" s="254">
        <f>G10/13909793*100</f>
        <v>54.327027008956932</v>
      </c>
      <c r="H12" s="238" t="s">
        <v>2</v>
      </c>
      <c r="I12" s="253">
        <f>I10/12288143*100</f>
        <v>27.094842564901793</v>
      </c>
      <c r="J12" s="254">
        <f t="shared" ref="J12:L12" si="7">J10/12288143*100</f>
        <v>15.810029228989277</v>
      </c>
      <c r="K12" s="254">
        <f t="shared" si="7"/>
        <v>12.426246992731123</v>
      </c>
      <c r="L12" s="254">
        <f t="shared" si="7"/>
        <v>55.331118786622191</v>
      </c>
      <c r="M12" s="238" t="s">
        <v>2</v>
      </c>
      <c r="N12" s="256">
        <f>N10/(13909793+12288143)*100</f>
        <v>25.469155280019006</v>
      </c>
      <c r="O12" s="254">
        <f>O10/(13909793+12288143)*100</f>
        <v>16.301215485067218</v>
      </c>
      <c r="P12" s="254">
        <f>P10/(13909793+12288143)*100</f>
        <v>13.02762553508032</v>
      </c>
      <c r="Q12" s="254">
        <f>Q10/(13909793+12288143)*100</f>
        <v>54.797996300166552</v>
      </c>
      <c r="R12" s="238" t="s">
        <v>2</v>
      </c>
    </row>
    <row r="13" spans="1:18" ht="14.4" customHeight="1" x14ac:dyDescent="0.2">
      <c r="A13" s="398" t="s">
        <v>119</v>
      </c>
      <c r="B13" s="399"/>
      <c r="C13" s="55" t="s">
        <v>131</v>
      </c>
      <c r="D13" s="249">
        <f>D16+D17-D29</f>
        <v>28882331</v>
      </c>
      <c r="E13" s="250">
        <f>E16+E17-E29</f>
        <v>13108461</v>
      </c>
      <c r="F13" s="250">
        <f>F16+F17-F29</f>
        <v>4208786</v>
      </c>
      <c r="G13" s="250">
        <f t="shared" ref="G13" si="8">G16+G17</f>
        <v>46203435</v>
      </c>
      <c r="H13" s="239" t="s">
        <v>4</v>
      </c>
      <c r="I13" s="251">
        <f>I16+I17-I29</f>
        <v>32571513</v>
      </c>
      <c r="J13" s="250">
        <f>J16+J17-J29</f>
        <v>12278628</v>
      </c>
      <c r="K13" s="250">
        <f t="shared" ref="K13:L13" si="9">K16+K17</f>
        <v>3832797</v>
      </c>
      <c r="L13" s="250">
        <f t="shared" si="9"/>
        <v>48682938</v>
      </c>
      <c r="M13" s="239" t="s">
        <v>4</v>
      </c>
      <c r="N13" s="252">
        <f>N16+N17</f>
        <v>61456558</v>
      </c>
      <c r="O13" s="250">
        <f t="shared" ref="O13:Q13" si="10">O16+O17</f>
        <v>25388232</v>
      </c>
      <c r="P13" s="250">
        <f t="shared" si="10"/>
        <v>8041583</v>
      </c>
      <c r="Q13" s="250">
        <f t="shared" si="10"/>
        <v>94886373</v>
      </c>
      <c r="R13" s="239" t="s">
        <v>4</v>
      </c>
    </row>
    <row r="14" spans="1:18" ht="14.4" customHeight="1" x14ac:dyDescent="0.2">
      <c r="A14" s="54"/>
      <c r="B14" s="421" t="s">
        <v>75</v>
      </c>
      <c r="C14" s="399"/>
      <c r="D14" s="281"/>
      <c r="E14" s="279"/>
      <c r="F14" s="279"/>
      <c r="G14" s="279"/>
      <c r="H14" s="238"/>
      <c r="I14" s="260"/>
      <c r="J14" s="259"/>
      <c r="K14" s="259"/>
      <c r="L14" s="259"/>
      <c r="M14" s="238"/>
      <c r="N14" s="261"/>
      <c r="O14" s="259"/>
      <c r="P14" s="259"/>
      <c r="Q14" s="259"/>
      <c r="R14" s="238"/>
    </row>
    <row r="15" spans="1:18" ht="14.4" customHeight="1" x14ac:dyDescent="0.2">
      <c r="A15" s="56"/>
      <c r="B15" s="57" t="s">
        <v>126</v>
      </c>
      <c r="C15" s="77"/>
      <c r="D15" s="262">
        <f>D13/(306485694+D13)*100</f>
        <v>8.6121302112805775</v>
      </c>
      <c r="E15" s="263">
        <f t="shared" ref="E15:G15" si="11">E13/(306485694+E13)*100</f>
        <v>4.1015959756835985</v>
      </c>
      <c r="F15" s="263">
        <f t="shared" si="11"/>
        <v>1.354638164154059</v>
      </c>
      <c r="G15" s="263">
        <f t="shared" si="11"/>
        <v>13.10032864664791</v>
      </c>
      <c r="H15" s="240" t="s">
        <v>2</v>
      </c>
      <c r="I15" s="262">
        <f>I13/(305704187+I13)*100</f>
        <v>9.6286883746009533</v>
      </c>
      <c r="J15" s="263">
        <f t="shared" ref="J15:L15" si="12">J13/(305704187+J13)*100</f>
        <v>3.8614124477135658</v>
      </c>
      <c r="K15" s="263">
        <f t="shared" si="12"/>
        <v>1.2382355576611808</v>
      </c>
      <c r="L15" s="263">
        <f t="shared" si="12"/>
        <v>13.737219714175563</v>
      </c>
      <c r="M15" s="241" t="s">
        <v>2</v>
      </c>
      <c r="N15" s="265">
        <f>N13/(306485694+305704187+N13)*100</f>
        <v>9.1229693266440623</v>
      </c>
      <c r="O15" s="264">
        <f t="shared" ref="O15:Q15" si="13">O13/(306485694+305704187+O13)*100</f>
        <v>3.9819798519338443</v>
      </c>
      <c r="P15" s="264">
        <f t="shared" si="13"/>
        <v>1.2965454780604295</v>
      </c>
      <c r="Q15" s="264">
        <f t="shared" si="13"/>
        <v>13.419538905912685</v>
      </c>
      <c r="R15" s="241" t="s">
        <v>2</v>
      </c>
    </row>
    <row r="16" spans="1:18" ht="14.4" customHeight="1" x14ac:dyDescent="0.2">
      <c r="A16" s="396" t="s">
        <v>5</v>
      </c>
      <c r="B16" s="397"/>
      <c r="C16" s="55" t="s">
        <v>123</v>
      </c>
      <c r="D16" s="249">
        <f>19409692-D32</f>
        <v>19407847</v>
      </c>
      <c r="E16" s="250">
        <f>9682449-E32</f>
        <v>9681584</v>
      </c>
      <c r="F16" s="250">
        <f>3159769-F32</f>
        <v>3159769</v>
      </c>
      <c r="G16" s="250">
        <f>SUM(D16:F16)</f>
        <v>32249200</v>
      </c>
      <c r="H16" s="237" t="s">
        <v>4</v>
      </c>
      <c r="I16" s="251">
        <v>22225067</v>
      </c>
      <c r="J16" s="258">
        <v>9090234</v>
      </c>
      <c r="K16" s="258">
        <v>2886076</v>
      </c>
      <c r="L16" s="250">
        <f>SUM(I16:K16)</f>
        <v>34201377</v>
      </c>
      <c r="M16" s="237" t="s">
        <v>4</v>
      </c>
      <c r="N16" s="252">
        <f>D16+I16</f>
        <v>41632914</v>
      </c>
      <c r="O16" s="250">
        <f t="shared" ref="O16:O17" si="14">E16+J16</f>
        <v>18771818</v>
      </c>
      <c r="P16" s="250">
        <f t="shared" ref="P16:P17" si="15">F16+K16</f>
        <v>6045845</v>
      </c>
      <c r="Q16" s="250">
        <f>SUM(N16:P16)</f>
        <v>66450577</v>
      </c>
      <c r="R16" s="237" t="s">
        <v>4</v>
      </c>
    </row>
    <row r="17" spans="1:20" ht="14.4" customHeight="1" thickBot="1" x14ac:dyDescent="0.25">
      <c r="A17" s="400" t="s">
        <v>6</v>
      </c>
      <c r="B17" s="401"/>
      <c r="C17" s="78" t="s">
        <v>124</v>
      </c>
      <c r="D17" s="266">
        <f>9478067-D33</f>
        <v>9477198</v>
      </c>
      <c r="E17" s="267">
        <f>3428298-E33</f>
        <v>3428020</v>
      </c>
      <c r="F17" s="267">
        <f>1049017-F33</f>
        <v>1049017</v>
      </c>
      <c r="G17" s="267">
        <f>SUM(D17:F17)</f>
        <v>13954235</v>
      </c>
      <c r="H17" s="242" t="s">
        <v>4</v>
      </c>
      <c r="I17" s="266">
        <v>10346446</v>
      </c>
      <c r="J17" s="267">
        <v>3188394</v>
      </c>
      <c r="K17" s="267">
        <v>946721</v>
      </c>
      <c r="L17" s="267">
        <f>SUM(I17:K17)</f>
        <v>14481561</v>
      </c>
      <c r="M17" s="242" t="s">
        <v>4</v>
      </c>
      <c r="N17" s="268">
        <f>D17+I17</f>
        <v>19823644</v>
      </c>
      <c r="O17" s="267">
        <f t="shared" si="14"/>
        <v>6616414</v>
      </c>
      <c r="P17" s="267">
        <f t="shared" si="15"/>
        <v>1995738</v>
      </c>
      <c r="Q17" s="267">
        <f>SUM(N17:P17)</f>
        <v>28435796</v>
      </c>
      <c r="R17" s="242" t="s">
        <v>4</v>
      </c>
    </row>
    <row r="18" spans="1:20" s="45" customFormat="1" ht="14.4" customHeight="1" x14ac:dyDescent="0.2">
      <c r="I18" s="49"/>
      <c r="J18" s="49"/>
    </row>
    <row r="19" spans="1:20" s="49" customFormat="1" ht="14.4" customHeight="1" thickBot="1" x14ac:dyDescent="0.25">
      <c r="A19" s="108" t="s">
        <v>71</v>
      </c>
      <c r="B19" s="31"/>
      <c r="C19" s="31"/>
      <c r="D19" s="31"/>
      <c r="E19" s="31"/>
      <c r="F19" s="31"/>
      <c r="G19" s="48"/>
      <c r="H19" s="48"/>
      <c r="I19" s="48"/>
      <c r="J19" s="243"/>
      <c r="K19" s="243"/>
      <c r="L19" s="31"/>
      <c r="M19" s="31"/>
      <c r="N19" s="31"/>
      <c r="O19" s="31"/>
      <c r="P19" s="31"/>
      <c r="Q19" s="31"/>
      <c r="R19" s="31"/>
      <c r="S19" s="48"/>
      <c r="T19" s="48"/>
    </row>
    <row r="20" spans="1:20" ht="14.4" customHeight="1" x14ac:dyDescent="0.2">
      <c r="A20" s="404" t="s">
        <v>74</v>
      </c>
      <c r="B20" s="405"/>
      <c r="C20" s="405"/>
      <c r="D20" s="410" t="s">
        <v>184</v>
      </c>
      <c r="E20" s="411"/>
      <c r="F20" s="411"/>
      <c r="G20" s="411"/>
      <c r="H20" s="412"/>
      <c r="I20" s="410" t="s">
        <v>185</v>
      </c>
      <c r="J20" s="411"/>
      <c r="K20" s="411"/>
      <c r="L20" s="411"/>
      <c r="M20" s="412"/>
      <c r="N20" s="411" t="s">
        <v>186</v>
      </c>
      <c r="O20" s="411"/>
      <c r="P20" s="411"/>
      <c r="Q20" s="411"/>
      <c r="R20" s="412"/>
    </row>
    <row r="21" spans="1:20" ht="14.4" customHeight="1" x14ac:dyDescent="0.2">
      <c r="A21" s="406"/>
      <c r="B21" s="407"/>
      <c r="C21" s="407"/>
      <c r="D21" s="102" t="s">
        <v>187</v>
      </c>
      <c r="E21" s="97" t="s">
        <v>188</v>
      </c>
      <c r="F21" s="51" t="s">
        <v>189</v>
      </c>
      <c r="G21" s="402" t="s">
        <v>190</v>
      </c>
      <c r="H21" s="413"/>
      <c r="I21" s="102" t="s">
        <v>187</v>
      </c>
      <c r="J21" s="97" t="s">
        <v>188</v>
      </c>
      <c r="K21" s="51" t="s">
        <v>189</v>
      </c>
      <c r="L21" s="402" t="s">
        <v>190</v>
      </c>
      <c r="M21" s="413"/>
      <c r="N21" s="99" t="s">
        <v>187</v>
      </c>
      <c r="O21" s="97" t="s">
        <v>188</v>
      </c>
      <c r="P21" s="51" t="s">
        <v>189</v>
      </c>
      <c r="Q21" s="402" t="s">
        <v>190</v>
      </c>
      <c r="R21" s="413"/>
    </row>
    <row r="22" spans="1:20" ht="14.4" customHeight="1" x14ac:dyDescent="0.2">
      <c r="A22" s="408"/>
      <c r="B22" s="409"/>
      <c r="C22" s="409"/>
      <c r="D22" s="103" t="s">
        <v>191</v>
      </c>
      <c r="E22" s="90" t="s">
        <v>192</v>
      </c>
      <c r="F22" s="51" t="s">
        <v>26</v>
      </c>
      <c r="G22" s="414"/>
      <c r="H22" s="415"/>
      <c r="I22" s="103" t="s">
        <v>191</v>
      </c>
      <c r="J22" s="90" t="s">
        <v>192</v>
      </c>
      <c r="K22" s="51" t="s">
        <v>26</v>
      </c>
      <c r="L22" s="414"/>
      <c r="M22" s="415"/>
      <c r="N22" s="100" t="s">
        <v>191</v>
      </c>
      <c r="O22" s="90" t="s">
        <v>192</v>
      </c>
      <c r="P22" s="51" t="s">
        <v>26</v>
      </c>
      <c r="Q22" s="414"/>
      <c r="R22" s="415"/>
    </row>
    <row r="23" spans="1:20" ht="14.4" customHeight="1" x14ac:dyDescent="0.2">
      <c r="A23" s="398" t="s">
        <v>0</v>
      </c>
      <c r="B23" s="399"/>
      <c r="C23" s="55" t="s">
        <v>129</v>
      </c>
      <c r="D23" s="249">
        <v>287</v>
      </c>
      <c r="E23" s="250">
        <v>143</v>
      </c>
      <c r="F23" s="269">
        <v>0</v>
      </c>
      <c r="G23" s="250">
        <f>SUM(D23:F23)</f>
        <v>430</v>
      </c>
      <c r="H23" s="237" t="s">
        <v>1</v>
      </c>
      <c r="I23" s="249">
        <v>0</v>
      </c>
      <c r="J23" s="250">
        <v>0</v>
      </c>
      <c r="K23" s="269">
        <v>0</v>
      </c>
      <c r="L23" s="250">
        <v>0</v>
      </c>
      <c r="M23" s="237" t="s">
        <v>1</v>
      </c>
      <c r="N23" s="252">
        <v>287</v>
      </c>
      <c r="O23" s="250">
        <v>143</v>
      </c>
      <c r="P23" s="269">
        <v>0</v>
      </c>
      <c r="Q23" s="250">
        <v>430</v>
      </c>
      <c r="R23" s="237" t="s">
        <v>1</v>
      </c>
    </row>
    <row r="24" spans="1:20" ht="14.4" customHeight="1" x14ac:dyDescent="0.2">
      <c r="A24" s="52"/>
      <c r="B24" s="53" t="s">
        <v>77</v>
      </c>
      <c r="C24" s="75"/>
      <c r="D24" s="253">
        <f>D23/G23*100</f>
        <v>66.744186046511629</v>
      </c>
      <c r="E24" s="254">
        <f>E23/G23*100</f>
        <v>33.255813953488371</v>
      </c>
      <c r="F24" s="269">
        <v>0</v>
      </c>
      <c r="G24" s="254">
        <v>100</v>
      </c>
      <c r="H24" s="238" t="s">
        <v>2</v>
      </c>
      <c r="I24" s="253">
        <v>0</v>
      </c>
      <c r="J24" s="254">
        <v>0</v>
      </c>
      <c r="K24" s="269">
        <v>0</v>
      </c>
      <c r="L24" s="254">
        <v>0</v>
      </c>
      <c r="M24" s="238" t="s">
        <v>2</v>
      </c>
      <c r="N24" s="270">
        <v>66.744186046511629</v>
      </c>
      <c r="O24" s="257">
        <v>33.255813953488371</v>
      </c>
      <c r="P24" s="271">
        <v>0</v>
      </c>
      <c r="Q24" s="254">
        <v>100</v>
      </c>
      <c r="R24" s="238" t="s">
        <v>2</v>
      </c>
    </row>
    <row r="25" spans="1:20" ht="14.4" customHeight="1" x14ac:dyDescent="0.2">
      <c r="A25" s="396" t="s">
        <v>83</v>
      </c>
      <c r="B25" s="397"/>
      <c r="C25" s="55" t="s">
        <v>128</v>
      </c>
      <c r="D25" s="253">
        <f>D23/8900645*100</f>
        <v>3.2244854165063316E-3</v>
      </c>
      <c r="E25" s="254">
        <f>E23/8900645*100</f>
        <v>1.6066251378411341E-3</v>
      </c>
      <c r="F25" s="269">
        <v>0</v>
      </c>
      <c r="G25" s="254">
        <f>G23/8900645*100</f>
        <v>4.8311105543474659E-3</v>
      </c>
      <c r="H25" s="238" t="s">
        <v>2</v>
      </c>
      <c r="I25" s="253">
        <v>0</v>
      </c>
      <c r="J25" s="254">
        <v>0</v>
      </c>
      <c r="K25" s="269">
        <v>0</v>
      </c>
      <c r="L25" s="254">
        <v>0</v>
      </c>
      <c r="M25" s="238" t="s">
        <v>2</v>
      </c>
      <c r="N25" s="256">
        <v>3.2244854165063316E-3</v>
      </c>
      <c r="O25" s="254">
        <v>1.6066251378411341E-3</v>
      </c>
      <c r="P25" s="269">
        <v>0</v>
      </c>
      <c r="Q25" s="254">
        <v>4.8311105543474659E-3</v>
      </c>
      <c r="R25" s="238" t="s">
        <v>2</v>
      </c>
    </row>
    <row r="26" spans="1:20" ht="14.4" customHeight="1" x14ac:dyDescent="0.2">
      <c r="A26" s="398" t="s">
        <v>51</v>
      </c>
      <c r="B26" s="399"/>
      <c r="C26" s="55" t="s">
        <v>127</v>
      </c>
      <c r="D26" s="249">
        <v>391</v>
      </c>
      <c r="E26" s="250">
        <v>282</v>
      </c>
      <c r="F26" s="269">
        <v>0</v>
      </c>
      <c r="G26" s="250">
        <f>SUM(D26:F26)</f>
        <v>673</v>
      </c>
      <c r="H26" s="237" t="s">
        <v>3</v>
      </c>
      <c r="I26" s="249">
        <v>0</v>
      </c>
      <c r="J26" s="250">
        <v>0</v>
      </c>
      <c r="K26" s="269">
        <v>0</v>
      </c>
      <c r="L26" s="250">
        <v>0</v>
      </c>
      <c r="M26" s="237" t="s">
        <v>3</v>
      </c>
      <c r="N26" s="252">
        <v>391</v>
      </c>
      <c r="O26" s="250">
        <v>282</v>
      </c>
      <c r="P26" s="269">
        <v>0</v>
      </c>
      <c r="Q26" s="250">
        <v>673</v>
      </c>
      <c r="R26" s="237" t="s">
        <v>3</v>
      </c>
    </row>
    <row r="27" spans="1:20" ht="14.4" customHeight="1" x14ac:dyDescent="0.2">
      <c r="A27" s="54"/>
      <c r="B27" s="53" t="s">
        <v>77</v>
      </c>
      <c r="C27" s="75"/>
      <c r="D27" s="253">
        <f>D26/G26*100</f>
        <v>58.098068350668655</v>
      </c>
      <c r="E27" s="257">
        <f>E26/G26*100</f>
        <v>41.901931649331353</v>
      </c>
      <c r="F27" s="271">
        <v>0</v>
      </c>
      <c r="G27" s="257">
        <v>100</v>
      </c>
      <c r="H27" s="238" t="s">
        <v>2</v>
      </c>
      <c r="I27" s="253">
        <v>0</v>
      </c>
      <c r="J27" s="254">
        <v>0</v>
      </c>
      <c r="K27" s="269">
        <v>0</v>
      </c>
      <c r="L27" s="254">
        <v>0</v>
      </c>
      <c r="M27" s="238" t="s">
        <v>2</v>
      </c>
      <c r="N27" s="270">
        <v>58.098068350668655</v>
      </c>
      <c r="O27" s="257">
        <v>41.901931649331353</v>
      </c>
      <c r="P27" s="271">
        <v>0</v>
      </c>
      <c r="Q27" s="257">
        <v>100</v>
      </c>
      <c r="R27" s="238" t="s">
        <v>2</v>
      </c>
    </row>
    <row r="28" spans="1:20" ht="14.4" customHeight="1" x14ac:dyDescent="0.2">
      <c r="A28" s="396" t="s">
        <v>84</v>
      </c>
      <c r="B28" s="397"/>
      <c r="C28" s="76" t="s">
        <v>144</v>
      </c>
      <c r="D28" s="253">
        <f>D26/13909793*100</f>
        <v>2.8109692214686446E-3</v>
      </c>
      <c r="E28" s="254">
        <f>E26/13909793*100</f>
        <v>2.0273486456628075E-3</v>
      </c>
      <c r="F28" s="269">
        <v>0</v>
      </c>
      <c r="G28" s="254">
        <f>G26/13909793*100</f>
        <v>4.8383178671314517E-3</v>
      </c>
      <c r="H28" s="238" t="s">
        <v>2</v>
      </c>
      <c r="I28" s="253">
        <v>0</v>
      </c>
      <c r="J28" s="254">
        <v>0</v>
      </c>
      <c r="K28" s="269">
        <v>0</v>
      </c>
      <c r="L28" s="254">
        <v>0</v>
      </c>
      <c r="M28" s="238" t="s">
        <v>2</v>
      </c>
      <c r="N28" s="256">
        <v>2.8109692214686446E-3</v>
      </c>
      <c r="O28" s="254">
        <v>2.0273486456628075E-3</v>
      </c>
      <c r="P28" s="269">
        <v>0</v>
      </c>
      <c r="Q28" s="254">
        <v>4.8383178671314517E-3</v>
      </c>
      <c r="R28" s="238" t="s">
        <v>2</v>
      </c>
    </row>
    <row r="29" spans="1:20" ht="14.4" customHeight="1" x14ac:dyDescent="0.2">
      <c r="A29" s="434" t="s">
        <v>119</v>
      </c>
      <c r="B29" s="435"/>
      <c r="C29" s="55" t="s">
        <v>132</v>
      </c>
      <c r="D29" s="272">
        <f>SUM(D32:D33)</f>
        <v>2714</v>
      </c>
      <c r="E29" s="259">
        <f>SUM(E32:E33)</f>
        <v>1143</v>
      </c>
      <c r="F29" s="271">
        <v>0</v>
      </c>
      <c r="G29" s="259">
        <f>SUM(G32:G33)</f>
        <v>3857</v>
      </c>
      <c r="H29" s="239" t="s">
        <v>4</v>
      </c>
      <c r="I29" s="272">
        <v>0</v>
      </c>
      <c r="J29" s="259">
        <v>0</v>
      </c>
      <c r="K29" s="271">
        <v>0</v>
      </c>
      <c r="L29" s="259">
        <v>0</v>
      </c>
      <c r="M29" s="239" t="s">
        <v>4</v>
      </c>
      <c r="N29" s="252">
        <v>2714</v>
      </c>
      <c r="O29" s="250">
        <v>1143</v>
      </c>
      <c r="P29" s="269">
        <v>0</v>
      </c>
      <c r="Q29" s="250">
        <v>3857</v>
      </c>
      <c r="R29" s="239" t="s">
        <v>4</v>
      </c>
    </row>
    <row r="30" spans="1:20" ht="14.4" customHeight="1" x14ac:dyDescent="0.2">
      <c r="A30" s="54"/>
      <c r="B30" s="421" t="s">
        <v>75</v>
      </c>
      <c r="C30" s="399"/>
      <c r="D30" s="278"/>
      <c r="E30" s="279"/>
      <c r="F30" s="271"/>
      <c r="G30" s="279"/>
      <c r="H30" s="238"/>
      <c r="I30" s="272"/>
      <c r="J30" s="259"/>
      <c r="K30" s="271"/>
      <c r="L30" s="259"/>
      <c r="M30" s="238"/>
      <c r="N30" s="261"/>
      <c r="O30" s="259"/>
      <c r="P30" s="271"/>
      <c r="Q30" s="259"/>
      <c r="R30" s="238"/>
    </row>
    <row r="31" spans="1:20" ht="14.4" customHeight="1" x14ac:dyDescent="0.2">
      <c r="A31" s="56"/>
      <c r="B31" s="57" t="s">
        <v>122</v>
      </c>
      <c r="C31" s="77" t="s">
        <v>130</v>
      </c>
      <c r="D31" s="262">
        <f>D29/(306485694+D29)*100</f>
        <v>8.8551473046249757E-4</v>
      </c>
      <c r="E31" s="263">
        <f t="shared" ref="E31:G31" si="16">E29/(306485694+E29)*100</f>
        <v>3.7293608142786243E-4</v>
      </c>
      <c r="F31" s="328">
        <v>0</v>
      </c>
      <c r="G31" s="263">
        <f t="shared" si="16"/>
        <v>1.2584442071240465E-3</v>
      </c>
      <c r="H31" s="241" t="s">
        <v>2</v>
      </c>
      <c r="I31" s="327">
        <v>0</v>
      </c>
      <c r="J31" s="264">
        <v>0</v>
      </c>
      <c r="K31" s="273">
        <v>0</v>
      </c>
      <c r="L31" s="264">
        <v>0</v>
      </c>
      <c r="M31" s="241" t="s">
        <v>2</v>
      </c>
      <c r="N31" s="265">
        <v>8.8551473046249757E-4</v>
      </c>
      <c r="O31" s="264">
        <v>3.7293608142786243E-4</v>
      </c>
      <c r="P31" s="273">
        <v>0</v>
      </c>
      <c r="Q31" s="264">
        <v>1.2584442071240465E-3</v>
      </c>
      <c r="R31" s="241" t="s">
        <v>2</v>
      </c>
    </row>
    <row r="32" spans="1:20" ht="14.4" customHeight="1" x14ac:dyDescent="0.2">
      <c r="A32" s="396" t="s">
        <v>5</v>
      </c>
      <c r="B32" s="397"/>
      <c r="C32" s="55" t="s">
        <v>123</v>
      </c>
      <c r="D32" s="249">
        <v>1845</v>
      </c>
      <c r="E32" s="250">
        <v>865</v>
      </c>
      <c r="F32" s="269">
        <v>0</v>
      </c>
      <c r="G32" s="250">
        <f>SUM(D32:F32)</f>
        <v>2710</v>
      </c>
      <c r="H32" s="237" t="s">
        <v>4</v>
      </c>
      <c r="I32" s="249">
        <v>0</v>
      </c>
      <c r="J32" s="250">
        <v>0</v>
      </c>
      <c r="K32" s="269">
        <v>0</v>
      </c>
      <c r="L32" s="250">
        <v>0</v>
      </c>
      <c r="M32" s="237" t="s">
        <v>4</v>
      </c>
      <c r="N32" s="252">
        <v>1845</v>
      </c>
      <c r="O32" s="250">
        <v>865</v>
      </c>
      <c r="P32" s="269">
        <v>0</v>
      </c>
      <c r="Q32" s="250">
        <v>2710</v>
      </c>
      <c r="R32" s="237" t="s">
        <v>4</v>
      </c>
    </row>
    <row r="33" spans="1:20" ht="14.4" customHeight="1" thickBot="1" x14ac:dyDescent="0.25">
      <c r="A33" s="400" t="s">
        <v>6</v>
      </c>
      <c r="B33" s="401"/>
      <c r="C33" s="78" t="s">
        <v>124</v>
      </c>
      <c r="D33" s="266">
        <v>869</v>
      </c>
      <c r="E33" s="267">
        <v>278</v>
      </c>
      <c r="F33" s="274">
        <v>0</v>
      </c>
      <c r="G33" s="267">
        <f>SUM(D33:F33)</f>
        <v>1147</v>
      </c>
      <c r="H33" s="242" t="s">
        <v>4</v>
      </c>
      <c r="I33" s="266">
        <v>0</v>
      </c>
      <c r="J33" s="267">
        <v>0</v>
      </c>
      <c r="K33" s="274">
        <v>0</v>
      </c>
      <c r="L33" s="267">
        <v>0</v>
      </c>
      <c r="M33" s="242" t="s">
        <v>4</v>
      </c>
      <c r="N33" s="268">
        <v>869</v>
      </c>
      <c r="O33" s="267">
        <v>278</v>
      </c>
      <c r="P33" s="274">
        <v>0</v>
      </c>
      <c r="Q33" s="267">
        <v>1147</v>
      </c>
      <c r="R33" s="242" t="s">
        <v>4</v>
      </c>
    </row>
    <row r="34" spans="1:20" ht="14.4" customHeight="1" x14ac:dyDescent="0.2">
      <c r="B34" s="50" t="s">
        <v>120</v>
      </c>
      <c r="C34" s="86"/>
    </row>
    <row r="35" spans="1:20" s="31" customFormat="1" ht="14.4" customHeight="1" thickBot="1" x14ac:dyDescent="0.25">
      <c r="A35" s="108" t="s">
        <v>72</v>
      </c>
      <c r="C35" s="87"/>
      <c r="G35" s="48"/>
      <c r="H35" s="48"/>
      <c r="I35" s="48"/>
      <c r="K35" s="243"/>
      <c r="O35" s="49"/>
      <c r="P35" s="49"/>
      <c r="Q35" s="49"/>
      <c r="S35" s="48"/>
      <c r="T35" s="48"/>
    </row>
    <row r="36" spans="1:20" ht="14.4" customHeight="1" x14ac:dyDescent="0.2">
      <c r="A36" s="404" t="s">
        <v>74</v>
      </c>
      <c r="B36" s="405"/>
      <c r="C36" s="405"/>
      <c r="D36" s="410" t="s">
        <v>184</v>
      </c>
      <c r="E36" s="411"/>
      <c r="F36" s="411"/>
      <c r="G36" s="411"/>
      <c r="H36" s="412"/>
      <c r="I36" s="410" t="s">
        <v>185</v>
      </c>
      <c r="J36" s="411"/>
      <c r="K36" s="411"/>
      <c r="L36" s="411"/>
      <c r="M36" s="412"/>
      <c r="N36" s="411" t="s">
        <v>186</v>
      </c>
      <c r="O36" s="411"/>
      <c r="P36" s="411"/>
      <c r="Q36" s="411"/>
      <c r="R36" s="412"/>
    </row>
    <row r="37" spans="1:20" ht="14.4" customHeight="1" x14ac:dyDescent="0.2">
      <c r="A37" s="406"/>
      <c r="B37" s="407"/>
      <c r="C37" s="407"/>
      <c r="D37" s="244" t="s">
        <v>187</v>
      </c>
      <c r="E37" s="245" t="s">
        <v>188</v>
      </c>
      <c r="F37" s="246" t="s">
        <v>189</v>
      </c>
      <c r="G37" s="416" t="s">
        <v>190</v>
      </c>
      <c r="H37" s="417"/>
      <c r="I37" s="244" t="s">
        <v>187</v>
      </c>
      <c r="J37" s="245" t="s">
        <v>188</v>
      </c>
      <c r="K37" s="246" t="s">
        <v>189</v>
      </c>
      <c r="L37" s="416" t="s">
        <v>190</v>
      </c>
      <c r="M37" s="417"/>
      <c r="N37" s="247" t="s">
        <v>187</v>
      </c>
      <c r="O37" s="245" t="s">
        <v>188</v>
      </c>
      <c r="P37" s="246" t="s">
        <v>189</v>
      </c>
      <c r="Q37" s="416" t="s">
        <v>190</v>
      </c>
      <c r="R37" s="417"/>
    </row>
    <row r="38" spans="1:20" ht="14.4" customHeight="1" x14ac:dyDescent="0.2">
      <c r="A38" s="398" t="s">
        <v>0</v>
      </c>
      <c r="B38" s="399"/>
      <c r="C38" s="55" t="s">
        <v>129</v>
      </c>
      <c r="D38" s="249">
        <v>2560628</v>
      </c>
      <c r="E38" s="250">
        <v>1331668</v>
      </c>
      <c r="F38" s="250">
        <v>1049919</v>
      </c>
      <c r="G38" s="250">
        <f>SUM(D38:F38)</f>
        <v>4942215</v>
      </c>
      <c r="H38" s="237" t="s">
        <v>1</v>
      </c>
      <c r="I38" s="249">
        <v>2638128</v>
      </c>
      <c r="J38" s="250">
        <v>1142156</v>
      </c>
      <c r="K38" s="250">
        <v>881728</v>
      </c>
      <c r="L38" s="250">
        <f>SUM(I38:K38)</f>
        <v>4662012</v>
      </c>
      <c r="M38" s="237" t="s">
        <v>1</v>
      </c>
      <c r="N38" s="252">
        <f>D38+I38</f>
        <v>5198756</v>
      </c>
      <c r="O38" s="250">
        <f t="shared" ref="O38" si="17">E38+J38</f>
        <v>2473824</v>
      </c>
      <c r="P38" s="250">
        <f t="shared" ref="P38" si="18">F38+K38</f>
        <v>1931647</v>
      </c>
      <c r="Q38" s="250">
        <f>SUM(N38:P38)</f>
        <v>9604227</v>
      </c>
      <c r="R38" s="275" t="s">
        <v>1</v>
      </c>
    </row>
    <row r="39" spans="1:20" ht="14.4" customHeight="1" x14ac:dyDescent="0.2">
      <c r="A39" s="52"/>
      <c r="B39" s="53" t="s">
        <v>77</v>
      </c>
      <c r="C39" s="75"/>
      <c r="D39" s="253">
        <f>D38/G38*100</f>
        <v>51.811343699130852</v>
      </c>
      <c r="E39" s="257">
        <f>E38/G38*100</f>
        <v>26.944760598233785</v>
      </c>
      <c r="F39" s="257">
        <f>F38/G38*100</f>
        <v>21.243895702635356</v>
      </c>
      <c r="G39" s="254">
        <f>SUM(D39:F39)</f>
        <v>99.999999999999986</v>
      </c>
      <c r="H39" s="238" t="s">
        <v>2</v>
      </c>
      <c r="I39" s="260">
        <f>I38/L38*100</f>
        <v>56.587756530871225</v>
      </c>
      <c r="J39" s="257">
        <f>J38/L38*100</f>
        <v>24.499207638247178</v>
      </c>
      <c r="K39" s="257">
        <f>K38/L38*100</f>
        <v>18.913035830881604</v>
      </c>
      <c r="L39" s="257">
        <f>SUM(I39:K39)</f>
        <v>100</v>
      </c>
      <c r="M39" s="238" t="s">
        <v>2</v>
      </c>
      <c r="N39" s="270">
        <f>N38/Q38*100</f>
        <v>54.129874273067472</v>
      </c>
      <c r="O39" s="257">
        <f>O38/Q38*100</f>
        <v>25.757658580956072</v>
      </c>
      <c r="P39" s="257">
        <f>P38/Q38*100</f>
        <v>20.112467145976453</v>
      </c>
      <c r="Q39" s="257">
        <f>SUM(N39:P39)</f>
        <v>100</v>
      </c>
      <c r="R39" s="238" t="s">
        <v>2</v>
      </c>
    </row>
    <row r="40" spans="1:20" ht="14.4" customHeight="1" x14ac:dyDescent="0.2">
      <c r="A40" s="396" t="s">
        <v>83</v>
      </c>
      <c r="B40" s="397"/>
      <c r="C40" s="55" t="s">
        <v>128</v>
      </c>
      <c r="D40" s="253">
        <f>D38/8900645*100</f>
        <v>28.769016178041028</v>
      </c>
      <c r="E40" s="254">
        <f t="shared" ref="E40:F40" si="19">E38/8900645*100</f>
        <v>14.96147751089949</v>
      </c>
      <c r="F40" s="254">
        <f t="shared" si="19"/>
        <v>11.795987818860318</v>
      </c>
      <c r="G40" s="254">
        <f>G38/8900645*100</f>
        <v>55.526481507800838</v>
      </c>
      <c r="H40" s="238" t="s">
        <v>2</v>
      </c>
      <c r="I40" s="253">
        <f>I38/8343151*100</f>
        <v>31.620283511589324</v>
      </c>
      <c r="J40" s="321">
        <f t="shared" ref="J40:L40" si="20">J38/8343151*100</f>
        <v>13.689743838988411</v>
      </c>
      <c r="K40" s="256">
        <f t="shared" si="20"/>
        <v>10.568285291732105</v>
      </c>
      <c r="L40" s="253">
        <f t="shared" si="20"/>
        <v>55.878312642309844</v>
      </c>
      <c r="M40" s="238" t="s">
        <v>2</v>
      </c>
      <c r="N40" s="256">
        <f>N38/(8900645+8343151)*100</f>
        <v>30.148558936790948</v>
      </c>
      <c r="O40" s="254">
        <f>O38/(8900645+8343151)*100</f>
        <v>14.346168326278042</v>
      </c>
      <c r="P40" s="254">
        <f>P38/(8900645+8343151)*100</f>
        <v>11.201982440525276</v>
      </c>
      <c r="Q40" s="254">
        <f>Q38/(8900645+8343151)*100</f>
        <v>55.696709703594273</v>
      </c>
      <c r="R40" s="238" t="s">
        <v>2</v>
      </c>
    </row>
    <row r="41" spans="1:20" ht="14.4" customHeight="1" x14ac:dyDescent="0.2">
      <c r="A41" s="398" t="s">
        <v>51</v>
      </c>
      <c r="B41" s="399"/>
      <c r="C41" s="55" t="s">
        <v>127</v>
      </c>
      <c r="D41" s="249">
        <v>3343331</v>
      </c>
      <c r="E41" s="250">
        <v>2328105</v>
      </c>
      <c r="F41" s="250">
        <v>1886014</v>
      </c>
      <c r="G41" s="250">
        <f>SUM(D41:F41)</f>
        <v>7557450</v>
      </c>
      <c r="H41" s="237" t="s">
        <v>3</v>
      </c>
      <c r="I41" s="249">
        <v>3329453</v>
      </c>
      <c r="J41" s="250">
        <v>1942759</v>
      </c>
      <c r="K41" s="250">
        <v>1526955</v>
      </c>
      <c r="L41" s="250">
        <f>SUM(I41:K41)</f>
        <v>6799167</v>
      </c>
      <c r="M41" s="237" t="s">
        <v>3</v>
      </c>
      <c r="N41" s="252">
        <f>D41+I41</f>
        <v>6672784</v>
      </c>
      <c r="O41" s="250">
        <f t="shared" ref="O41" si="21">E41+J41</f>
        <v>4270864</v>
      </c>
      <c r="P41" s="250">
        <f t="shared" ref="P41" si="22">F41+K41</f>
        <v>3412969</v>
      </c>
      <c r="Q41" s="250">
        <f>SUM(N41:P41)</f>
        <v>14356617</v>
      </c>
      <c r="R41" s="237" t="s">
        <v>3</v>
      </c>
    </row>
    <row r="42" spans="1:20" ht="14.4" customHeight="1" x14ac:dyDescent="0.2">
      <c r="A42" s="54"/>
      <c r="B42" s="53" t="s">
        <v>77</v>
      </c>
      <c r="C42" s="75"/>
      <c r="D42" s="253">
        <f>D41/G41*100</f>
        <v>44.238876869843665</v>
      </c>
      <c r="E42" s="254">
        <f>E41/G41*100</f>
        <v>30.805430403112162</v>
      </c>
      <c r="F42" s="254">
        <f>F41/G41*100</f>
        <v>24.955692727044173</v>
      </c>
      <c r="G42" s="254">
        <f>SUM(D42:F42)</f>
        <v>100</v>
      </c>
      <c r="H42" s="238" t="s">
        <v>2</v>
      </c>
      <c r="I42" s="260">
        <f>I41/L41*100</f>
        <v>48.968542764135663</v>
      </c>
      <c r="J42" s="257">
        <f>J41/L41*100</f>
        <v>28.573485546097043</v>
      </c>
      <c r="K42" s="257">
        <f>K41/L41*100</f>
        <v>22.457971689767291</v>
      </c>
      <c r="L42" s="257">
        <f>SUM(I42:K42)</f>
        <v>100</v>
      </c>
      <c r="M42" s="238" t="s">
        <v>2</v>
      </c>
      <c r="N42" s="270">
        <f>N41/Q41*100</f>
        <v>46.47880486050439</v>
      </c>
      <c r="O42" s="257">
        <f>O41/Q41*100</f>
        <v>29.748401033474671</v>
      </c>
      <c r="P42" s="257">
        <f>P41/Q41*100</f>
        <v>23.772794106020939</v>
      </c>
      <c r="Q42" s="257">
        <f>SUM(N42:P42)</f>
        <v>100</v>
      </c>
      <c r="R42" s="238" t="s">
        <v>2</v>
      </c>
    </row>
    <row r="43" spans="1:20" ht="14.4" customHeight="1" x14ac:dyDescent="0.2">
      <c r="A43" s="396" t="s">
        <v>84</v>
      </c>
      <c r="B43" s="397"/>
      <c r="C43" s="76" t="s">
        <v>143</v>
      </c>
      <c r="D43" s="253">
        <f>D41/13909793*100</f>
        <v>24.035807003022978</v>
      </c>
      <c r="E43" s="254">
        <f t="shared" ref="E43:F43" si="23">E41/13909793*100</f>
        <v>16.737164959967412</v>
      </c>
      <c r="F43" s="254">
        <f t="shared" si="23"/>
        <v>13.558893363833668</v>
      </c>
      <c r="G43" s="254">
        <f>G41/13909793*100</f>
        <v>54.331865326824058</v>
      </c>
      <c r="H43" s="238" t="s">
        <v>2</v>
      </c>
      <c r="I43" s="253">
        <f>I41/12288143*100</f>
        <v>27.094842564901793</v>
      </c>
      <c r="J43" s="254">
        <f t="shared" ref="J43:L43" si="24">J41/12288143*100</f>
        <v>15.810029228989277</v>
      </c>
      <c r="K43" s="254">
        <f t="shared" si="24"/>
        <v>12.426246992731123</v>
      </c>
      <c r="L43" s="254">
        <f t="shared" si="24"/>
        <v>55.331118786622191</v>
      </c>
      <c r="M43" s="238" t="s">
        <v>2</v>
      </c>
      <c r="N43" s="256">
        <f>N41/(13909793+12288143)*100</f>
        <v>25.470647764007058</v>
      </c>
      <c r="O43" s="254">
        <f>O41/(13909793+12288143)*100</f>
        <v>16.302291905744028</v>
      </c>
      <c r="P43" s="254">
        <f>P41/(13909793+12288143)*100</f>
        <v>13.02762553508032</v>
      </c>
      <c r="Q43" s="254">
        <f>Q41/(13909793+12288143)*100</f>
        <v>54.800565204831408</v>
      </c>
      <c r="R43" s="238" t="s">
        <v>2</v>
      </c>
    </row>
    <row r="44" spans="1:20" ht="14.4" customHeight="1" x14ac:dyDescent="0.2">
      <c r="A44" s="398" t="s">
        <v>119</v>
      </c>
      <c r="B44" s="399"/>
      <c r="C44" s="55" t="s">
        <v>131</v>
      </c>
      <c r="D44" s="272">
        <f>D47+D48-D60</f>
        <v>28887759</v>
      </c>
      <c r="E44" s="259">
        <f>E47+E48-E60</f>
        <v>13110747</v>
      </c>
      <c r="F44" s="259">
        <f t="shared" ref="F44:G44" si="25">F47+F48</f>
        <v>4208786</v>
      </c>
      <c r="G44" s="250">
        <f t="shared" si="25"/>
        <v>46207292</v>
      </c>
      <c r="H44" s="239" t="s">
        <v>4</v>
      </c>
      <c r="I44" s="272">
        <f>I47+I48-I60</f>
        <v>32571513</v>
      </c>
      <c r="J44" s="259">
        <f>J47+J48-J60</f>
        <v>12278628</v>
      </c>
      <c r="K44" s="259">
        <f t="shared" ref="K44:L44" si="26">K47+K48</f>
        <v>3832797</v>
      </c>
      <c r="L44" s="250">
        <f t="shared" si="26"/>
        <v>48682938</v>
      </c>
      <c r="M44" s="239" t="s">
        <v>4</v>
      </c>
      <c r="N44" s="252">
        <f>N47+N48</f>
        <v>61459272</v>
      </c>
      <c r="O44" s="250">
        <f t="shared" ref="O44:Q44" si="27">O47+O48</f>
        <v>25389375</v>
      </c>
      <c r="P44" s="250">
        <f t="shared" si="27"/>
        <v>8041583</v>
      </c>
      <c r="Q44" s="250">
        <f t="shared" si="27"/>
        <v>94890230</v>
      </c>
      <c r="R44" s="239" t="s">
        <v>4</v>
      </c>
    </row>
    <row r="45" spans="1:20" ht="14.4" customHeight="1" x14ac:dyDescent="0.2">
      <c r="A45" s="54"/>
      <c r="B45" s="421" t="s">
        <v>75</v>
      </c>
      <c r="C45" s="399"/>
      <c r="D45" s="278"/>
      <c r="E45" s="279"/>
      <c r="F45" s="279"/>
      <c r="G45" s="279"/>
      <c r="H45" s="238"/>
      <c r="I45" s="278"/>
      <c r="J45" s="279"/>
      <c r="K45" s="279"/>
      <c r="L45" s="279"/>
      <c r="M45" s="238"/>
      <c r="N45" s="280"/>
      <c r="O45" s="279"/>
      <c r="P45" s="279"/>
      <c r="Q45" s="279"/>
      <c r="R45" s="238"/>
    </row>
    <row r="46" spans="1:20" ht="14.4" customHeight="1" x14ac:dyDescent="0.2">
      <c r="A46" s="56"/>
      <c r="B46" s="57" t="s">
        <v>126</v>
      </c>
      <c r="C46" s="77"/>
      <c r="D46" s="262">
        <f>D44/(306485694+D44)*100</f>
        <v>8.6136093186839098</v>
      </c>
      <c r="E46" s="263">
        <f t="shared" ref="E46:G46" si="28">E44/(306485694+E44)*100</f>
        <v>4.1022819149603738</v>
      </c>
      <c r="F46" s="263">
        <f t="shared" si="28"/>
        <v>1.354638164154059</v>
      </c>
      <c r="G46" s="263">
        <f t="shared" si="28"/>
        <v>13.101278969012442</v>
      </c>
      <c r="H46" s="241" t="s">
        <v>2</v>
      </c>
      <c r="I46" s="262">
        <f>I44/(305704187+I44)*100</f>
        <v>9.6286883746009533</v>
      </c>
      <c r="J46" s="263">
        <f t="shared" ref="J46:L46" si="29">J44/(305704187+J44)*100</f>
        <v>3.8614124477135658</v>
      </c>
      <c r="K46" s="263">
        <f t="shared" si="29"/>
        <v>1.2382355576611808</v>
      </c>
      <c r="L46" s="263">
        <f t="shared" si="29"/>
        <v>13.737219714175563</v>
      </c>
      <c r="M46" s="241" t="s">
        <v>2</v>
      </c>
      <c r="N46" s="265">
        <f>N44/(306485694+305704187+N44)*100</f>
        <v>9.1233354523344889</v>
      </c>
      <c r="O46" s="265">
        <f t="shared" ref="O46:Q46" si="30">O44/(306485694+305704187+O44)*100</f>
        <v>3.9821519851957041</v>
      </c>
      <c r="P46" s="265">
        <f t="shared" si="30"/>
        <v>1.2965454780604295</v>
      </c>
      <c r="Q46" s="265">
        <f t="shared" si="30"/>
        <v>13.420011187388639</v>
      </c>
      <c r="R46" s="241" t="s">
        <v>2</v>
      </c>
    </row>
    <row r="47" spans="1:20" ht="14.4" customHeight="1" x14ac:dyDescent="0.2">
      <c r="A47" s="396" t="s">
        <v>5</v>
      </c>
      <c r="B47" s="397"/>
      <c r="C47" s="55" t="s">
        <v>123</v>
      </c>
      <c r="D47" s="249">
        <v>19409692</v>
      </c>
      <c r="E47" s="250">
        <v>9682449</v>
      </c>
      <c r="F47" s="250">
        <v>3159769</v>
      </c>
      <c r="G47" s="250">
        <f>SUM(D47:F47)</f>
        <v>32251910</v>
      </c>
      <c r="H47" s="237" t="s">
        <v>4</v>
      </c>
      <c r="I47" s="249">
        <v>22225067</v>
      </c>
      <c r="J47" s="250">
        <v>9090234</v>
      </c>
      <c r="K47" s="250">
        <v>2886076</v>
      </c>
      <c r="L47" s="250">
        <f>SUM(I47:K47)</f>
        <v>34201377</v>
      </c>
      <c r="M47" s="237" t="s">
        <v>4</v>
      </c>
      <c r="N47" s="252">
        <f>D47+I47</f>
        <v>41634759</v>
      </c>
      <c r="O47" s="250">
        <f t="shared" ref="O47:O48" si="31">E47+J47</f>
        <v>18772683</v>
      </c>
      <c r="P47" s="250">
        <f t="shared" ref="P47:P48" si="32">F47+K47</f>
        <v>6045845</v>
      </c>
      <c r="Q47" s="250">
        <f>SUM(N47:P47)</f>
        <v>66453287</v>
      </c>
      <c r="R47" s="237" t="s">
        <v>4</v>
      </c>
    </row>
    <row r="48" spans="1:20" ht="14.4" customHeight="1" thickBot="1" x14ac:dyDescent="0.25">
      <c r="A48" s="400" t="s">
        <v>6</v>
      </c>
      <c r="B48" s="401"/>
      <c r="C48" s="78" t="s">
        <v>141</v>
      </c>
      <c r="D48" s="266">
        <v>9478067</v>
      </c>
      <c r="E48" s="267">
        <v>3428298</v>
      </c>
      <c r="F48" s="267">
        <v>1049017</v>
      </c>
      <c r="G48" s="267">
        <f>SUM(D48:F48)</f>
        <v>13955382</v>
      </c>
      <c r="H48" s="242" t="s">
        <v>4</v>
      </c>
      <c r="I48" s="266">
        <v>10346446</v>
      </c>
      <c r="J48" s="267">
        <v>3188394</v>
      </c>
      <c r="K48" s="267">
        <v>946721</v>
      </c>
      <c r="L48" s="267">
        <f>SUM(I48:K48)</f>
        <v>14481561</v>
      </c>
      <c r="M48" s="242" t="s">
        <v>4</v>
      </c>
      <c r="N48" s="268">
        <f>D48+I48</f>
        <v>19824513</v>
      </c>
      <c r="O48" s="267">
        <f t="shared" si="31"/>
        <v>6616692</v>
      </c>
      <c r="P48" s="267">
        <f t="shared" si="32"/>
        <v>1995738</v>
      </c>
      <c r="Q48" s="267">
        <f>SUM(N48:P48)</f>
        <v>28436943</v>
      </c>
      <c r="R48" s="242" t="s">
        <v>4</v>
      </c>
    </row>
    <row r="49" spans="4:19" s="98" customFormat="1" ht="17.399999999999999" customHeight="1" x14ac:dyDescent="0.2"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</row>
  </sheetData>
  <mergeCells count="45">
    <mergeCell ref="A20:C22"/>
    <mergeCell ref="A36:C37"/>
    <mergeCell ref="D20:H20"/>
    <mergeCell ref="G21:H22"/>
    <mergeCell ref="D36:H36"/>
    <mergeCell ref="G37:H37"/>
    <mergeCell ref="I20:M20"/>
    <mergeCell ref="L21:M22"/>
    <mergeCell ref="N20:R20"/>
    <mergeCell ref="Q21:R22"/>
    <mergeCell ref="L37:M37"/>
    <mergeCell ref="A43:B43"/>
    <mergeCell ref="B45:C45"/>
    <mergeCell ref="I36:M36"/>
    <mergeCell ref="N36:R36"/>
    <mergeCell ref="Q37:R37"/>
    <mergeCell ref="A16:B16"/>
    <mergeCell ref="A17:B17"/>
    <mergeCell ref="A48:B48"/>
    <mergeCell ref="A41:B41"/>
    <mergeCell ref="A47:B47"/>
    <mergeCell ref="A44:B44"/>
    <mergeCell ref="A23:B23"/>
    <mergeCell ref="A25:B25"/>
    <mergeCell ref="A26:B26"/>
    <mergeCell ref="A28:B28"/>
    <mergeCell ref="A29:B29"/>
    <mergeCell ref="B30:C30"/>
    <mergeCell ref="A32:B32"/>
    <mergeCell ref="A33:B33"/>
    <mergeCell ref="A38:B38"/>
    <mergeCell ref="A40:B40"/>
    <mergeCell ref="A13:B13"/>
    <mergeCell ref="B14:C14"/>
    <mergeCell ref="A10:B10"/>
    <mergeCell ref="A9:B9"/>
    <mergeCell ref="A12:B12"/>
    <mergeCell ref="A7:B7"/>
    <mergeCell ref="N4:R4"/>
    <mergeCell ref="G5:H6"/>
    <mergeCell ref="L5:M6"/>
    <mergeCell ref="Q5:R6"/>
    <mergeCell ref="I4:M4"/>
    <mergeCell ref="A4:C6"/>
    <mergeCell ref="D4:H4"/>
  </mergeCells>
  <phoneticPr fontId="1"/>
  <printOptions horizontalCentered="1" verticalCentered="1"/>
  <pageMargins left="0.51181102362204722" right="0.51181102362204722" top="0.74803149606299213" bottom="0.55118110236220474" header="0.31496062992125984" footer="0.11811023622047245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1"/>
  <sheetViews>
    <sheetView zoomScaleNormal="100" zoomScaleSheetLayoutView="100" workbookViewId="0"/>
  </sheetViews>
  <sheetFormatPr defaultColWidth="8.83203125" defaultRowHeight="15.65" customHeight="1" x14ac:dyDescent="0.2"/>
  <cols>
    <col min="1" max="1" width="4.5" style="184" customWidth="1"/>
    <col min="2" max="2" width="13" style="184" customWidth="1"/>
    <col min="3" max="3" width="8.6640625" style="184" customWidth="1"/>
    <col min="4" max="8" width="8.83203125" style="184" customWidth="1"/>
    <col min="9" max="9" width="3.5" style="184" customWidth="1"/>
    <col min="10" max="11" width="4.4140625" style="184" customWidth="1"/>
    <col min="12" max="14" width="8.83203125" style="184" customWidth="1"/>
    <col min="15" max="15" width="3.5" style="184" customWidth="1"/>
    <col min="16" max="19" width="8.83203125" style="45"/>
    <col min="20" max="20" width="3.5" style="45" customWidth="1"/>
    <col min="21" max="16384" width="8.83203125" style="45"/>
  </cols>
  <sheetData>
    <row r="1" spans="1:15" ht="17.399999999999999" customHeight="1" x14ac:dyDescent="0.2">
      <c r="A1" s="182" t="s">
        <v>156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5" ht="17.399999999999999" customHeigh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5" s="61" customFormat="1" ht="17.399999999999999" customHeight="1" x14ac:dyDescent="0.2">
      <c r="A3" s="186" t="s">
        <v>101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  <c r="N3" s="189"/>
      <c r="O3" s="189"/>
    </row>
    <row r="4" spans="1:15" ht="17.399999999999999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90"/>
    </row>
    <row r="5" spans="1:15" s="61" customFormat="1" ht="17.399999999999999" customHeight="1" thickBot="1" x14ac:dyDescent="0.25">
      <c r="A5" s="191" t="s">
        <v>69</v>
      </c>
      <c r="B5" s="187"/>
      <c r="C5" s="187"/>
      <c r="D5" s="187"/>
      <c r="E5" s="187"/>
      <c r="F5" s="187"/>
      <c r="G5" s="187"/>
      <c r="H5" s="187"/>
      <c r="I5" s="187"/>
      <c r="J5" s="187"/>
      <c r="K5" s="185"/>
      <c r="L5" s="186"/>
      <c r="M5" s="192"/>
      <c r="N5" s="189"/>
      <c r="O5" s="189"/>
    </row>
    <row r="6" spans="1:15" s="61" customFormat="1" ht="17.399999999999999" customHeight="1" x14ac:dyDescent="0.2">
      <c r="A6" s="422" t="s">
        <v>147</v>
      </c>
      <c r="B6" s="423"/>
      <c r="C6" s="193" t="s">
        <v>7</v>
      </c>
      <c r="D6" s="62" t="s">
        <v>10</v>
      </c>
      <c r="E6" s="62" t="s">
        <v>13</v>
      </c>
      <c r="F6" s="62" t="s">
        <v>11</v>
      </c>
      <c r="G6" s="428" t="s">
        <v>15</v>
      </c>
      <c r="H6" s="429"/>
      <c r="I6" s="429"/>
      <c r="J6" s="194"/>
      <c r="K6" s="185"/>
      <c r="L6" s="189"/>
      <c r="M6" s="189"/>
      <c r="N6" s="189"/>
      <c r="O6" s="189"/>
    </row>
    <row r="7" spans="1:15" s="61" customFormat="1" ht="17.399999999999999" customHeight="1" x14ac:dyDescent="0.2">
      <c r="A7" s="424"/>
      <c r="B7" s="425"/>
      <c r="C7" s="195" t="s">
        <v>8</v>
      </c>
      <c r="D7" s="64" t="s">
        <v>11</v>
      </c>
      <c r="E7" s="64" t="s">
        <v>14</v>
      </c>
      <c r="F7" s="64" t="s">
        <v>148</v>
      </c>
      <c r="G7" s="430"/>
      <c r="H7" s="431"/>
      <c r="I7" s="431"/>
      <c r="J7" s="194"/>
      <c r="K7" s="185"/>
      <c r="L7" s="189"/>
      <c r="M7" s="189"/>
      <c r="N7" s="189"/>
      <c r="O7" s="189"/>
    </row>
    <row r="8" spans="1:15" s="61" customFormat="1" ht="17.399999999999999" customHeight="1" x14ac:dyDescent="0.2">
      <c r="A8" s="426"/>
      <c r="B8" s="427"/>
      <c r="C8" s="195" t="s">
        <v>9</v>
      </c>
      <c r="D8" s="64" t="s">
        <v>12</v>
      </c>
      <c r="E8" s="64" t="s">
        <v>20</v>
      </c>
      <c r="F8" s="64" t="s">
        <v>20</v>
      </c>
      <c r="G8" s="432"/>
      <c r="H8" s="433"/>
      <c r="I8" s="433"/>
      <c r="J8" s="194"/>
      <c r="K8" s="186"/>
      <c r="L8" s="189"/>
      <c r="M8" s="189"/>
      <c r="N8" s="189"/>
      <c r="O8" s="189"/>
    </row>
    <row r="9" spans="1:15" s="61" customFormat="1" ht="17.399999999999999" customHeight="1" x14ac:dyDescent="0.2">
      <c r="A9" s="196" t="s">
        <v>16</v>
      </c>
      <c r="B9" s="197"/>
      <c r="C9" s="198"/>
      <c r="D9" s="315">
        <v>1498</v>
      </c>
      <c r="E9" s="315">
        <v>4</v>
      </c>
      <c r="F9" s="315">
        <v>0</v>
      </c>
      <c r="G9" s="386">
        <v>1502</v>
      </c>
      <c r="H9" s="387" t="e">
        <v>#REF!</v>
      </c>
      <c r="I9" s="236" t="s">
        <v>19</v>
      </c>
      <c r="J9" s="200"/>
      <c r="K9" s="201"/>
      <c r="L9" s="189"/>
      <c r="M9" s="189"/>
      <c r="N9" s="189"/>
      <c r="O9" s="189"/>
    </row>
    <row r="10" spans="1:15" s="61" customFormat="1" ht="17.399999999999999" customHeight="1" x14ac:dyDescent="0.2">
      <c r="A10" s="202"/>
      <c r="B10" s="203"/>
      <c r="C10" s="204" t="s">
        <v>76</v>
      </c>
      <c r="D10" s="316">
        <v>99.7</v>
      </c>
      <c r="E10" s="317">
        <v>0.3</v>
      </c>
      <c r="F10" s="317">
        <v>0</v>
      </c>
      <c r="G10" s="388">
        <v>100</v>
      </c>
      <c r="H10" s="389" t="e">
        <v>#REF!</v>
      </c>
      <c r="I10" s="236" t="s">
        <v>165</v>
      </c>
      <c r="J10" s="200"/>
      <c r="K10" s="205"/>
      <c r="L10" s="189"/>
      <c r="M10" s="189"/>
      <c r="N10" s="189"/>
      <c r="O10" s="189"/>
    </row>
    <row r="11" spans="1:15" s="61" customFormat="1" ht="17.399999999999999" customHeight="1" x14ac:dyDescent="0.2">
      <c r="A11" s="196" t="s">
        <v>17</v>
      </c>
      <c r="B11" s="197"/>
      <c r="C11" s="199"/>
      <c r="D11" s="315">
        <v>239</v>
      </c>
      <c r="E11" s="315">
        <v>0</v>
      </c>
      <c r="F11" s="315">
        <v>0</v>
      </c>
      <c r="G11" s="386">
        <v>239</v>
      </c>
      <c r="H11" s="387" t="e">
        <v>#REF!</v>
      </c>
      <c r="I11" s="236" t="s">
        <v>19</v>
      </c>
      <c r="J11" s="200"/>
      <c r="K11" s="201"/>
      <c r="L11" s="189"/>
      <c r="M11" s="189"/>
      <c r="N11" s="189"/>
      <c r="O11" s="189"/>
    </row>
    <row r="12" spans="1:15" s="61" customFormat="1" ht="17.399999999999999" customHeight="1" x14ac:dyDescent="0.2">
      <c r="A12" s="202"/>
      <c r="B12" s="206"/>
      <c r="C12" s="204" t="s">
        <v>76</v>
      </c>
      <c r="D12" s="316">
        <v>100</v>
      </c>
      <c r="E12" s="317">
        <v>0</v>
      </c>
      <c r="F12" s="317">
        <v>0</v>
      </c>
      <c r="G12" s="388">
        <v>100</v>
      </c>
      <c r="H12" s="389" t="e">
        <v>#REF!</v>
      </c>
      <c r="I12" s="236" t="s">
        <v>166</v>
      </c>
      <c r="J12" s="200"/>
      <c r="K12" s="207"/>
      <c r="L12" s="189"/>
      <c r="M12" s="189"/>
      <c r="N12" s="189"/>
      <c r="O12" s="189"/>
    </row>
    <row r="13" spans="1:15" s="61" customFormat="1" ht="17.399999999999999" customHeight="1" x14ac:dyDescent="0.2">
      <c r="A13" s="196" t="s">
        <v>18</v>
      </c>
      <c r="B13" s="197"/>
      <c r="C13" s="199"/>
      <c r="D13" s="318">
        <v>1737</v>
      </c>
      <c r="E13" s="318">
        <v>4</v>
      </c>
      <c r="F13" s="318">
        <v>0</v>
      </c>
      <c r="G13" s="386">
        <v>1741</v>
      </c>
      <c r="H13" s="387" t="e">
        <v>#REF!</v>
      </c>
      <c r="I13" s="236" t="s">
        <v>19</v>
      </c>
      <c r="J13" s="200"/>
      <c r="K13" s="208"/>
      <c r="L13" s="189"/>
      <c r="M13" s="189"/>
      <c r="N13" s="189"/>
      <c r="O13" s="189"/>
    </row>
    <row r="14" spans="1:15" s="61" customFormat="1" ht="17.399999999999999" customHeight="1" thickBot="1" x14ac:dyDescent="0.25">
      <c r="A14" s="209"/>
      <c r="B14" s="210"/>
      <c r="C14" s="211" t="s">
        <v>76</v>
      </c>
      <c r="D14" s="319">
        <v>99.8</v>
      </c>
      <c r="E14" s="319">
        <v>0.2</v>
      </c>
      <c r="F14" s="319">
        <v>0</v>
      </c>
      <c r="G14" s="384">
        <v>100</v>
      </c>
      <c r="H14" s="385" t="e">
        <v>#REF!</v>
      </c>
      <c r="I14" s="212" t="s">
        <v>166</v>
      </c>
      <c r="J14" s="200"/>
      <c r="K14" s="213"/>
      <c r="L14" s="189"/>
      <c r="M14" s="189"/>
      <c r="N14" s="189"/>
      <c r="O14" s="189"/>
    </row>
    <row r="15" spans="1:15" s="61" customFormat="1" ht="15.65" customHeight="1" x14ac:dyDescent="0.2">
      <c r="A15" s="60" t="s">
        <v>73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5" s="61" customFormat="1" ht="15.65" customHeight="1" x14ac:dyDescent="0.2">
      <c r="A16" s="60" t="s">
        <v>182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5" s="61" customFormat="1" ht="15.65" customHeight="1" x14ac:dyDescent="0.2">
      <c r="A17" s="60" t="s">
        <v>180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5" s="61" customFormat="1" ht="15.65" customHeight="1" x14ac:dyDescent="0.2">
      <c r="A18" s="60" t="s">
        <v>183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5" s="61" customFormat="1" ht="15.65" customHeight="1" x14ac:dyDescent="0.2">
      <c r="A19" s="60" t="s">
        <v>54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5" s="61" customFormat="1" ht="17.399999999999999" customHeight="1" x14ac:dyDescent="0.2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89"/>
      <c r="O20" s="189"/>
    </row>
    <row r="21" spans="1:15" ht="17.399999999999999" customHeight="1" x14ac:dyDescent="0.2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</sheetData>
  <mergeCells count="8">
    <mergeCell ref="A6:B8"/>
    <mergeCell ref="G14:H14"/>
    <mergeCell ref="G13:H13"/>
    <mergeCell ref="G12:H12"/>
    <mergeCell ref="G11:H11"/>
    <mergeCell ref="G10:H10"/>
    <mergeCell ref="G9:H9"/>
    <mergeCell ref="G6:I8"/>
  </mergeCells>
  <phoneticPr fontId="1"/>
  <pageMargins left="0.9055118110236221" right="0.9055118110236221" top="0.74803149606299213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T49"/>
  <sheetViews>
    <sheetView zoomScaleNormal="100" zoomScaleSheetLayoutView="100" workbookViewId="0">
      <selection activeCell="B2" sqref="B2"/>
    </sheetView>
  </sheetViews>
  <sheetFormatPr defaultColWidth="8.83203125" defaultRowHeight="15.65" customHeight="1" x14ac:dyDescent="0.2"/>
  <cols>
    <col min="1" max="1" width="4.5" style="50" customWidth="1"/>
    <col min="2" max="2" width="13" style="50" customWidth="1"/>
    <col min="3" max="3" width="8.6640625" style="50" customWidth="1"/>
    <col min="4" max="7" width="9.33203125" style="50" customWidth="1"/>
    <col min="8" max="8" width="3.5" style="50" customWidth="1"/>
    <col min="9" max="12" width="9.33203125" style="50" customWidth="1"/>
    <col min="13" max="13" width="3.5" style="50" customWidth="1"/>
    <col min="14" max="17" width="9.33203125" style="50" customWidth="1"/>
    <col min="18" max="18" width="3.5" style="50" customWidth="1"/>
    <col min="19" max="19" width="4" style="50" bestFit="1" customWidth="1"/>
    <col min="20" max="16384" width="8.83203125" style="50"/>
  </cols>
  <sheetData>
    <row r="1" spans="1:18" ht="15.65" customHeight="1" x14ac:dyDescent="0.2">
      <c r="A1" s="107" t="s">
        <v>136</v>
      </c>
    </row>
    <row r="3" spans="1:18" s="49" customFormat="1" ht="14.4" customHeight="1" thickBot="1" x14ac:dyDescent="0.25">
      <c r="A3" s="93" t="s">
        <v>70</v>
      </c>
      <c r="G3" s="48"/>
      <c r="H3" s="48"/>
      <c r="I3" s="48"/>
      <c r="J3" s="48"/>
      <c r="K3" s="48"/>
      <c r="L3" s="48"/>
      <c r="O3" s="48"/>
      <c r="P3" s="48"/>
    </row>
    <row r="4" spans="1:18" ht="14.4" customHeight="1" x14ac:dyDescent="0.2">
      <c r="A4" s="404" t="s">
        <v>74</v>
      </c>
      <c r="B4" s="405"/>
      <c r="C4" s="405"/>
      <c r="D4" s="410" t="s">
        <v>16</v>
      </c>
      <c r="E4" s="411"/>
      <c r="F4" s="411"/>
      <c r="G4" s="411"/>
      <c r="H4" s="412"/>
      <c r="I4" s="410" t="s">
        <v>146</v>
      </c>
      <c r="J4" s="411"/>
      <c r="K4" s="411"/>
      <c r="L4" s="411"/>
      <c r="M4" s="412"/>
      <c r="N4" s="411" t="s">
        <v>137</v>
      </c>
      <c r="O4" s="411"/>
      <c r="P4" s="411"/>
      <c r="Q4" s="411"/>
      <c r="R4" s="412"/>
    </row>
    <row r="5" spans="1:18" ht="14.4" customHeight="1" x14ac:dyDescent="0.2">
      <c r="A5" s="406"/>
      <c r="B5" s="407"/>
      <c r="C5" s="407"/>
      <c r="D5" s="102" t="s">
        <v>113</v>
      </c>
      <c r="E5" s="97" t="s">
        <v>114</v>
      </c>
      <c r="F5" s="51" t="s">
        <v>115</v>
      </c>
      <c r="G5" s="402" t="s">
        <v>133</v>
      </c>
      <c r="H5" s="413"/>
      <c r="I5" s="101" t="s">
        <v>113</v>
      </c>
      <c r="J5" s="97" t="s">
        <v>114</v>
      </c>
      <c r="K5" s="51" t="s">
        <v>115</v>
      </c>
      <c r="L5" s="402" t="s">
        <v>133</v>
      </c>
      <c r="M5" s="413"/>
      <c r="N5" s="99" t="s">
        <v>113</v>
      </c>
      <c r="O5" s="88" t="s">
        <v>114</v>
      </c>
      <c r="P5" s="51" t="s">
        <v>115</v>
      </c>
      <c r="Q5" s="419" t="s">
        <v>133</v>
      </c>
      <c r="R5" s="420"/>
    </row>
    <row r="6" spans="1:18" ht="14.4" customHeight="1" x14ac:dyDescent="0.2">
      <c r="A6" s="408"/>
      <c r="B6" s="409"/>
      <c r="C6" s="409"/>
      <c r="D6" s="103" t="s">
        <v>116</v>
      </c>
      <c r="E6" s="90" t="s">
        <v>117</v>
      </c>
      <c r="F6" s="51" t="s">
        <v>118</v>
      </c>
      <c r="G6" s="414"/>
      <c r="H6" s="415"/>
      <c r="I6" s="320" t="s">
        <v>116</v>
      </c>
      <c r="J6" s="90" t="s">
        <v>117</v>
      </c>
      <c r="K6" s="51" t="s">
        <v>118</v>
      </c>
      <c r="L6" s="414"/>
      <c r="M6" s="415"/>
      <c r="N6" s="100" t="s">
        <v>116</v>
      </c>
      <c r="O6" s="90" t="s">
        <v>117</v>
      </c>
      <c r="P6" s="51" t="s">
        <v>118</v>
      </c>
      <c r="Q6" s="414"/>
      <c r="R6" s="415"/>
    </row>
    <row r="7" spans="1:18" ht="14.4" customHeight="1" x14ac:dyDescent="0.2">
      <c r="A7" s="398" t="s">
        <v>0</v>
      </c>
      <c r="B7" s="399"/>
      <c r="C7" s="55" t="s">
        <v>129</v>
      </c>
      <c r="D7" s="249">
        <f>992700-D23</f>
        <v>991994</v>
      </c>
      <c r="E7" s="250">
        <f>486404-E23</f>
        <v>486051</v>
      </c>
      <c r="F7" s="250">
        <f>372446-F23</f>
        <v>372446</v>
      </c>
      <c r="G7" s="250">
        <f>SUM(D7:F7)</f>
        <v>1850491</v>
      </c>
      <c r="H7" s="237" t="s">
        <v>1</v>
      </c>
      <c r="I7" s="249">
        <v>1059933</v>
      </c>
      <c r="J7" s="250">
        <v>431063</v>
      </c>
      <c r="K7" s="250">
        <v>312318</v>
      </c>
      <c r="L7" s="250">
        <f>SUM(I7:K7)</f>
        <v>1803314</v>
      </c>
      <c r="M7" s="237" t="s">
        <v>1</v>
      </c>
      <c r="N7" s="252">
        <f>D7+I7</f>
        <v>2051927</v>
      </c>
      <c r="O7" s="250">
        <f t="shared" ref="O7:P7" si="0">E7+J7</f>
        <v>917114</v>
      </c>
      <c r="P7" s="250">
        <f t="shared" si="0"/>
        <v>684764</v>
      </c>
      <c r="Q7" s="250">
        <f>SUM(N7:P7)</f>
        <v>3653805</v>
      </c>
      <c r="R7" s="237" t="s">
        <v>1</v>
      </c>
    </row>
    <row r="8" spans="1:18" ht="14.4" customHeight="1" x14ac:dyDescent="0.2">
      <c r="A8" s="52"/>
      <c r="B8" s="53" t="s">
        <v>77</v>
      </c>
      <c r="C8" s="75"/>
      <c r="D8" s="253">
        <f>D7/G7*100</f>
        <v>53.607069691233299</v>
      </c>
      <c r="E8" s="257">
        <f>E7/G7*100</f>
        <v>26.266055873819433</v>
      </c>
      <c r="F8" s="257">
        <f>F7/G7*100</f>
        <v>20.126874434947265</v>
      </c>
      <c r="G8" s="257">
        <f>SUM(D8:F8)</f>
        <v>100</v>
      </c>
      <c r="H8" s="238" t="s">
        <v>2</v>
      </c>
      <c r="I8" s="260">
        <f>I7/L7*100</f>
        <v>58.776951767689937</v>
      </c>
      <c r="J8" s="257">
        <f>J7/L7*100</f>
        <v>23.903934644770683</v>
      </c>
      <c r="K8" s="257">
        <f>K7/L7*100</f>
        <v>17.319113587539388</v>
      </c>
      <c r="L8" s="257">
        <f>SUM(I8:K8)</f>
        <v>100.00000000000001</v>
      </c>
      <c r="M8" s="238" t="s">
        <v>2</v>
      </c>
      <c r="N8" s="256">
        <f>N7/Q7*100</f>
        <v>56.158634628832139</v>
      </c>
      <c r="O8" s="254">
        <f>O7/Q7*100</f>
        <v>25.100244813283684</v>
      </c>
      <c r="P8" s="254">
        <f>P7/Q7*100</f>
        <v>18.741120557884177</v>
      </c>
      <c r="Q8" s="254">
        <f>SUM(N8:P8)</f>
        <v>100</v>
      </c>
      <c r="R8" s="238" t="s">
        <v>2</v>
      </c>
    </row>
    <row r="9" spans="1:18" ht="14.4" customHeight="1" x14ac:dyDescent="0.2">
      <c r="A9" s="396" t="s">
        <v>83</v>
      </c>
      <c r="B9" s="397"/>
      <c r="C9" s="55" t="s">
        <v>128</v>
      </c>
      <c r="D9" s="253">
        <f>D7/3603173*100</f>
        <v>27.531123262746476</v>
      </c>
      <c r="E9" s="254">
        <f t="shared" ref="E9:G9" si="1">E7/3603173*100</f>
        <v>13.489527147322653</v>
      </c>
      <c r="F9" s="254">
        <f t="shared" si="1"/>
        <v>10.336611647567297</v>
      </c>
      <c r="G9" s="254">
        <f t="shared" si="1"/>
        <v>51.357262057636419</v>
      </c>
      <c r="H9" s="238" t="s">
        <v>2</v>
      </c>
      <c r="I9" s="253">
        <f>I7/3413689*100</f>
        <v>31.049489276849769</v>
      </c>
      <c r="J9" s="254">
        <f t="shared" ref="J9:L9" si="2">J7/3413689*100</f>
        <v>12.627483054255967</v>
      </c>
      <c r="K9" s="254">
        <f t="shared" si="2"/>
        <v>9.1489880888387898</v>
      </c>
      <c r="L9" s="254">
        <f t="shared" si="2"/>
        <v>52.825960419944529</v>
      </c>
      <c r="M9" s="238" t="s">
        <v>2</v>
      </c>
      <c r="N9" s="256">
        <f>N7/(3603173+3413689)*100</f>
        <v>29.242801126771482</v>
      </c>
      <c r="O9" s="254">
        <f t="shared" ref="O9:Q9" si="3">O7/(3603173+3413689)*100</f>
        <v>13.070144460586514</v>
      </c>
      <c r="P9" s="254">
        <f t="shared" si="3"/>
        <v>9.758835217223881</v>
      </c>
      <c r="Q9" s="254">
        <f t="shared" si="3"/>
        <v>52.071780804581877</v>
      </c>
      <c r="R9" s="238" t="s">
        <v>2</v>
      </c>
    </row>
    <row r="10" spans="1:18" ht="14.4" customHeight="1" x14ac:dyDescent="0.2">
      <c r="A10" s="398" t="s">
        <v>51</v>
      </c>
      <c r="B10" s="399"/>
      <c r="C10" s="55" t="s">
        <v>127</v>
      </c>
      <c r="D10" s="249">
        <f>1079497-D26</f>
        <v>1078569</v>
      </c>
      <c r="E10" s="250">
        <f>582652-E26</f>
        <v>581997</v>
      </c>
      <c r="F10" s="250">
        <f>457074-F26</f>
        <v>457074</v>
      </c>
      <c r="G10" s="250">
        <f>SUM(D10:F10)</f>
        <v>2117640</v>
      </c>
      <c r="H10" s="237" t="s">
        <v>3</v>
      </c>
      <c r="I10" s="249">
        <v>1139850</v>
      </c>
      <c r="J10" s="250">
        <v>513327</v>
      </c>
      <c r="K10" s="250">
        <v>388414</v>
      </c>
      <c r="L10" s="250">
        <f>SUM(I10:K10)</f>
        <v>2041591</v>
      </c>
      <c r="M10" s="237" t="s">
        <v>3</v>
      </c>
      <c r="N10" s="252">
        <f>D10+I10</f>
        <v>2218419</v>
      </c>
      <c r="O10" s="250">
        <f t="shared" ref="O10:P10" si="4">E10+J10</f>
        <v>1095324</v>
      </c>
      <c r="P10" s="250">
        <f t="shared" si="4"/>
        <v>845488</v>
      </c>
      <c r="Q10" s="250">
        <f>SUM(N10:P10)</f>
        <v>4159231</v>
      </c>
      <c r="R10" s="237" t="s">
        <v>3</v>
      </c>
    </row>
    <row r="11" spans="1:18" ht="14.4" customHeight="1" x14ac:dyDescent="0.2">
      <c r="A11" s="54"/>
      <c r="B11" s="53" t="s">
        <v>77</v>
      </c>
      <c r="C11" s="75"/>
      <c r="D11" s="253">
        <f>D10/G10*100</f>
        <v>50.93259477531592</v>
      </c>
      <c r="E11" s="254">
        <f>E10/G10*100</f>
        <v>27.483283277610926</v>
      </c>
      <c r="F11" s="254">
        <f>F10/G10*100</f>
        <v>21.584121947073157</v>
      </c>
      <c r="G11" s="254">
        <f>SUM(D11:F11)</f>
        <v>100</v>
      </c>
      <c r="H11" s="238" t="s">
        <v>2</v>
      </c>
      <c r="I11" s="260">
        <f>I10/L10*100</f>
        <v>55.83145693726118</v>
      </c>
      <c r="J11" s="257">
        <f>J10/L10*100</f>
        <v>25.143478786887286</v>
      </c>
      <c r="K11" s="257">
        <f>K10/L10*100</f>
        <v>19.02506427585153</v>
      </c>
      <c r="L11" s="257">
        <f>SUM(I11:K11)</f>
        <v>100</v>
      </c>
      <c r="M11" s="238" t="s">
        <v>2</v>
      </c>
      <c r="N11" s="256">
        <f>N10/Q10*100</f>
        <v>53.337239504129485</v>
      </c>
      <c r="O11" s="254">
        <f>O10/Q10*100</f>
        <v>26.334771980685851</v>
      </c>
      <c r="P11" s="254">
        <f>P10/Q10*100</f>
        <v>20.327988515184657</v>
      </c>
      <c r="Q11" s="254">
        <f>SUM(N11:P11)</f>
        <v>99.999999999999986</v>
      </c>
      <c r="R11" s="238" t="s">
        <v>2</v>
      </c>
    </row>
    <row r="12" spans="1:18" ht="14.4" customHeight="1" x14ac:dyDescent="0.2">
      <c r="A12" s="396" t="s">
        <v>84</v>
      </c>
      <c r="B12" s="397"/>
      <c r="C12" s="76" t="s">
        <v>144</v>
      </c>
      <c r="D12" s="253">
        <f>D10/4262788*100</f>
        <v>25.301962002332743</v>
      </c>
      <c r="E12" s="254">
        <f t="shared" ref="E12:G12" si="5">E10/4262788*100</f>
        <v>13.652966086983447</v>
      </c>
      <c r="F12" s="254">
        <f t="shared" si="5"/>
        <v>10.722419224226023</v>
      </c>
      <c r="G12" s="254">
        <f t="shared" si="5"/>
        <v>49.677347313542221</v>
      </c>
      <c r="H12" s="238" t="s">
        <v>2</v>
      </c>
      <c r="I12" s="253">
        <f>I10/3934937*100</f>
        <v>28.96742692449714</v>
      </c>
      <c r="J12" s="254">
        <f t="shared" ref="J12:L12" si="6">J10/3934937*100</f>
        <v>13.045367689495411</v>
      </c>
      <c r="K12" s="254">
        <f t="shared" si="6"/>
        <v>9.8709077172010637</v>
      </c>
      <c r="L12" s="254">
        <f t="shared" si="6"/>
        <v>51.883702331193618</v>
      </c>
      <c r="M12" s="238" t="s">
        <v>2</v>
      </c>
      <c r="N12" s="256">
        <f>N10/(4262788+3934937)*100</f>
        <v>27.061398131798764</v>
      </c>
      <c r="O12" s="254">
        <f t="shared" ref="O12:Q12" si="7">O10/(4262788+3934937)*100</f>
        <v>13.361316706769255</v>
      </c>
      <c r="P12" s="254">
        <f t="shared" si="7"/>
        <v>10.313690688575184</v>
      </c>
      <c r="Q12" s="254">
        <f t="shared" si="7"/>
        <v>50.736405527143205</v>
      </c>
      <c r="R12" s="238" t="s">
        <v>2</v>
      </c>
    </row>
    <row r="13" spans="1:18" ht="14.4" customHeight="1" x14ac:dyDescent="0.2">
      <c r="A13" s="398" t="s">
        <v>119</v>
      </c>
      <c r="B13" s="399"/>
      <c r="C13" s="55" t="s">
        <v>131</v>
      </c>
      <c r="D13" s="272">
        <f>D16+D17-D29</f>
        <v>10309991</v>
      </c>
      <c r="E13" s="259">
        <f>E16+E17-E29</f>
        <v>3889315</v>
      </c>
      <c r="F13" s="259">
        <f t="shared" ref="F13:G13" si="8">F16+F17</f>
        <v>1216270</v>
      </c>
      <c r="G13" s="250">
        <f t="shared" si="8"/>
        <v>15434072</v>
      </c>
      <c r="H13" s="239" t="s">
        <v>4</v>
      </c>
      <c r="I13" s="272">
        <f>I16+I17-I29</f>
        <v>12401633</v>
      </c>
      <c r="J13" s="259">
        <f>J16+J17-J29</f>
        <v>3916771</v>
      </c>
      <c r="K13" s="259">
        <f t="shared" ref="K13:L13" si="9">K16+K17</f>
        <v>1154523</v>
      </c>
      <c r="L13" s="250">
        <f t="shared" si="9"/>
        <v>17472927</v>
      </c>
      <c r="M13" s="239" t="s">
        <v>4</v>
      </c>
      <c r="N13" s="252">
        <f>N16+N17</f>
        <v>22724813</v>
      </c>
      <c r="O13" s="250">
        <f t="shared" ref="O13:Q13" si="10">O16+O17</f>
        <v>7811393</v>
      </c>
      <c r="P13" s="250">
        <f t="shared" si="10"/>
        <v>2370793</v>
      </c>
      <c r="Q13" s="250">
        <f t="shared" si="10"/>
        <v>32906999</v>
      </c>
      <c r="R13" s="239" t="s">
        <v>4</v>
      </c>
    </row>
    <row r="14" spans="1:18" ht="14.4" customHeight="1" x14ac:dyDescent="0.2">
      <c r="A14" s="54"/>
      <c r="B14" s="421" t="s">
        <v>75</v>
      </c>
      <c r="C14" s="399"/>
      <c r="D14" s="278"/>
      <c r="E14" s="279"/>
      <c r="F14" s="279"/>
      <c r="G14" s="279"/>
      <c r="H14" s="238"/>
      <c r="I14" s="272"/>
      <c r="J14" s="259"/>
      <c r="K14" s="259"/>
      <c r="L14" s="259"/>
      <c r="M14" s="238"/>
      <c r="N14" s="261"/>
      <c r="O14" s="259"/>
      <c r="P14" s="259"/>
      <c r="Q14" s="259"/>
      <c r="R14" s="238"/>
    </row>
    <row r="15" spans="1:18" ht="14.4" customHeight="1" x14ac:dyDescent="0.2">
      <c r="A15" s="56"/>
      <c r="B15" s="57" t="s">
        <v>126</v>
      </c>
      <c r="C15" s="77"/>
      <c r="D15" s="262">
        <f>D13/(105744914+D13)*100</f>
        <v>8.8837184434384735</v>
      </c>
      <c r="E15" s="263">
        <f t="shared" ref="E15:G15" si="11">E13/(105744914+E13)*100</f>
        <v>3.5475371473629829</v>
      </c>
      <c r="F15" s="263">
        <f t="shared" si="11"/>
        <v>1.1371134410778398</v>
      </c>
      <c r="G15" s="263">
        <f t="shared" si="11"/>
        <v>12.736591144606541</v>
      </c>
      <c r="H15" s="240" t="s">
        <v>2</v>
      </c>
      <c r="I15" s="262">
        <f>I13/(111657628+I13)*100</f>
        <v>9.9965394764039424</v>
      </c>
      <c r="J15" s="329">
        <f t="shared" ref="J15:L15" si="12">J13/(111657628+J13)*100</f>
        <v>3.3889607334233247</v>
      </c>
      <c r="K15" s="329">
        <f t="shared" si="12"/>
        <v>1.0234030552258506</v>
      </c>
      <c r="L15" s="324">
        <f t="shared" si="12"/>
        <v>13.531210332055027</v>
      </c>
      <c r="M15" s="241" t="s">
        <v>2</v>
      </c>
      <c r="N15" s="265">
        <f>N13/(105744914+111657628+N13)*100</f>
        <v>9.4636502367670676</v>
      </c>
      <c r="O15" s="265">
        <f t="shared" ref="O15:P15" si="13">O13/(105744914+111657628+O13)*100</f>
        <v>3.4684323596583839</v>
      </c>
      <c r="P15" s="265">
        <f t="shared" si="13"/>
        <v>1.078744607483888</v>
      </c>
      <c r="Q15" s="264">
        <f>Q13/(105744914+111657628+Q13)*100</f>
        <v>13.146522049672891</v>
      </c>
      <c r="R15" s="241" t="s">
        <v>2</v>
      </c>
    </row>
    <row r="16" spans="1:18" ht="14.4" customHeight="1" x14ac:dyDescent="0.2">
      <c r="A16" s="396" t="s">
        <v>5</v>
      </c>
      <c r="B16" s="397"/>
      <c r="C16" s="55" t="s">
        <v>123</v>
      </c>
      <c r="D16" s="249">
        <f>7599690-D32</f>
        <v>7591893</v>
      </c>
      <c r="E16" s="250">
        <f>2920465-E32</f>
        <v>2916896</v>
      </c>
      <c r="F16" s="250">
        <f>924423-F32</f>
        <v>924423</v>
      </c>
      <c r="G16" s="250">
        <f>SUM(D16:F16)</f>
        <v>11433212</v>
      </c>
      <c r="H16" s="237" t="s">
        <v>4</v>
      </c>
      <c r="I16" s="249">
        <v>9932362</v>
      </c>
      <c r="J16" s="250">
        <v>3194289</v>
      </c>
      <c r="K16" s="250">
        <v>953594</v>
      </c>
      <c r="L16" s="250">
        <f>SUM(I16:K16)</f>
        <v>14080245</v>
      </c>
      <c r="M16" s="237" t="s">
        <v>4</v>
      </c>
      <c r="N16" s="252">
        <f>D16+I16</f>
        <v>17524255</v>
      </c>
      <c r="O16" s="250">
        <f t="shared" ref="O16:P17" si="14">E16+J16</f>
        <v>6111185</v>
      </c>
      <c r="P16" s="250">
        <f t="shared" si="14"/>
        <v>1878017</v>
      </c>
      <c r="Q16" s="250">
        <f>SUM(N16:P16)</f>
        <v>25513457</v>
      </c>
      <c r="R16" s="237" t="s">
        <v>4</v>
      </c>
    </row>
    <row r="17" spans="1:20" ht="14.4" customHeight="1" thickBot="1" x14ac:dyDescent="0.25">
      <c r="A17" s="400" t="s">
        <v>6</v>
      </c>
      <c r="B17" s="401"/>
      <c r="C17" s="78" t="s">
        <v>124</v>
      </c>
      <c r="D17" s="266">
        <f>2736679-D33</f>
        <v>2731287</v>
      </c>
      <c r="E17" s="267">
        <f>979464-E33</f>
        <v>977726</v>
      </c>
      <c r="F17" s="267">
        <f>291847-F33</f>
        <v>291847</v>
      </c>
      <c r="G17" s="267">
        <f>SUM(D17:F17)</f>
        <v>4000860</v>
      </c>
      <c r="H17" s="242" t="s">
        <v>4</v>
      </c>
      <c r="I17" s="266">
        <v>2469271</v>
      </c>
      <c r="J17" s="267">
        <v>722482</v>
      </c>
      <c r="K17" s="267">
        <v>200929</v>
      </c>
      <c r="L17" s="267">
        <f>SUM(I17:K17)</f>
        <v>3392682</v>
      </c>
      <c r="M17" s="242" t="s">
        <v>4</v>
      </c>
      <c r="N17" s="268">
        <f>D17+I17</f>
        <v>5200558</v>
      </c>
      <c r="O17" s="267">
        <f t="shared" si="14"/>
        <v>1700208</v>
      </c>
      <c r="P17" s="267">
        <f t="shared" si="14"/>
        <v>492776</v>
      </c>
      <c r="Q17" s="267">
        <f>SUM(N17:P17)</f>
        <v>7393542</v>
      </c>
      <c r="R17" s="242" t="s">
        <v>4</v>
      </c>
    </row>
    <row r="18" spans="1:20" s="45" customFormat="1" ht="14.4" customHeight="1" x14ac:dyDescent="0.2">
      <c r="I18" s="49"/>
      <c r="J18" s="49"/>
    </row>
    <row r="19" spans="1:20" s="49" customFormat="1" ht="14.4" customHeight="1" thickBot="1" x14ac:dyDescent="0.25">
      <c r="A19" s="108" t="s">
        <v>71</v>
      </c>
      <c r="B19" s="31"/>
      <c r="C19" s="31"/>
      <c r="D19" s="31"/>
      <c r="E19" s="31"/>
      <c r="F19" s="31"/>
      <c r="G19" s="48"/>
      <c r="H19" s="48"/>
      <c r="I19" s="48"/>
      <c r="J19" s="243"/>
      <c r="K19" s="243"/>
      <c r="L19" s="31"/>
      <c r="M19" s="31"/>
      <c r="N19" s="31"/>
      <c r="O19" s="31"/>
      <c r="P19" s="31"/>
      <c r="Q19" s="31"/>
      <c r="R19" s="31"/>
      <c r="S19" s="48"/>
      <c r="T19" s="48"/>
    </row>
    <row r="20" spans="1:20" ht="14.4" customHeight="1" x14ac:dyDescent="0.2">
      <c r="A20" s="404" t="s">
        <v>74</v>
      </c>
      <c r="B20" s="405"/>
      <c r="C20" s="405"/>
      <c r="D20" s="410" t="s">
        <v>184</v>
      </c>
      <c r="E20" s="411"/>
      <c r="F20" s="411"/>
      <c r="G20" s="411"/>
      <c r="H20" s="412"/>
      <c r="I20" s="410" t="s">
        <v>185</v>
      </c>
      <c r="J20" s="411"/>
      <c r="K20" s="411"/>
      <c r="L20" s="411"/>
      <c r="M20" s="412"/>
      <c r="N20" s="411" t="s">
        <v>186</v>
      </c>
      <c r="O20" s="411"/>
      <c r="P20" s="411"/>
      <c r="Q20" s="411"/>
      <c r="R20" s="412"/>
    </row>
    <row r="21" spans="1:20" ht="14.4" customHeight="1" x14ac:dyDescent="0.2">
      <c r="A21" s="406"/>
      <c r="B21" s="407"/>
      <c r="C21" s="407"/>
      <c r="D21" s="102" t="s">
        <v>187</v>
      </c>
      <c r="E21" s="97" t="s">
        <v>188</v>
      </c>
      <c r="F21" s="51" t="s">
        <v>189</v>
      </c>
      <c r="G21" s="402" t="s">
        <v>190</v>
      </c>
      <c r="H21" s="413"/>
      <c r="I21" s="102" t="s">
        <v>187</v>
      </c>
      <c r="J21" s="97" t="s">
        <v>188</v>
      </c>
      <c r="K21" s="51" t="s">
        <v>189</v>
      </c>
      <c r="L21" s="402" t="s">
        <v>190</v>
      </c>
      <c r="M21" s="413"/>
      <c r="N21" s="99" t="s">
        <v>187</v>
      </c>
      <c r="O21" s="97" t="s">
        <v>188</v>
      </c>
      <c r="P21" s="51" t="s">
        <v>189</v>
      </c>
      <c r="Q21" s="402" t="s">
        <v>190</v>
      </c>
      <c r="R21" s="413"/>
    </row>
    <row r="22" spans="1:20" ht="14.4" customHeight="1" x14ac:dyDescent="0.2">
      <c r="A22" s="408"/>
      <c r="B22" s="409"/>
      <c r="C22" s="409"/>
      <c r="D22" s="103" t="s">
        <v>191</v>
      </c>
      <c r="E22" s="90" t="s">
        <v>192</v>
      </c>
      <c r="F22" s="51" t="s">
        <v>26</v>
      </c>
      <c r="G22" s="414"/>
      <c r="H22" s="415"/>
      <c r="I22" s="103" t="s">
        <v>191</v>
      </c>
      <c r="J22" s="90" t="s">
        <v>192</v>
      </c>
      <c r="K22" s="51" t="s">
        <v>26</v>
      </c>
      <c r="L22" s="414"/>
      <c r="M22" s="415"/>
      <c r="N22" s="100" t="s">
        <v>191</v>
      </c>
      <c r="O22" s="90" t="s">
        <v>192</v>
      </c>
      <c r="P22" s="51" t="s">
        <v>26</v>
      </c>
      <c r="Q22" s="414"/>
      <c r="R22" s="415"/>
    </row>
    <row r="23" spans="1:20" ht="14.4" customHeight="1" x14ac:dyDescent="0.2">
      <c r="A23" s="398" t="s">
        <v>0</v>
      </c>
      <c r="B23" s="399"/>
      <c r="C23" s="55" t="s">
        <v>129</v>
      </c>
      <c r="D23" s="249">
        <v>706</v>
      </c>
      <c r="E23" s="250">
        <v>353</v>
      </c>
      <c r="F23" s="269">
        <v>0</v>
      </c>
      <c r="G23" s="250">
        <f>SUM(D23:F23)</f>
        <v>1059</v>
      </c>
      <c r="H23" s="237" t="s">
        <v>1</v>
      </c>
      <c r="I23" s="249">
        <v>0</v>
      </c>
      <c r="J23" s="250">
        <v>0</v>
      </c>
      <c r="K23" s="269">
        <v>0</v>
      </c>
      <c r="L23" s="250">
        <v>0</v>
      </c>
      <c r="M23" s="237" t="s">
        <v>1</v>
      </c>
      <c r="N23" s="252">
        <v>706</v>
      </c>
      <c r="O23" s="250">
        <v>353</v>
      </c>
      <c r="P23" s="269">
        <v>0</v>
      </c>
      <c r="Q23" s="250">
        <v>1059</v>
      </c>
      <c r="R23" s="237" t="s">
        <v>1</v>
      </c>
    </row>
    <row r="24" spans="1:20" ht="14.4" customHeight="1" x14ac:dyDescent="0.2">
      <c r="A24" s="52"/>
      <c r="B24" s="53" t="s">
        <v>77</v>
      </c>
      <c r="C24" s="75"/>
      <c r="D24" s="253">
        <f>D23/G23*100</f>
        <v>66.666666666666657</v>
      </c>
      <c r="E24" s="254">
        <f>E23/G23*100</f>
        <v>33.333333333333329</v>
      </c>
      <c r="F24" s="269">
        <v>0</v>
      </c>
      <c r="G24" s="254">
        <v>100</v>
      </c>
      <c r="H24" s="238" t="s">
        <v>2</v>
      </c>
      <c r="I24" s="253">
        <v>0</v>
      </c>
      <c r="J24" s="254">
        <v>0</v>
      </c>
      <c r="K24" s="271">
        <v>0</v>
      </c>
      <c r="L24" s="254">
        <v>0</v>
      </c>
      <c r="M24" s="238" t="s">
        <v>2</v>
      </c>
      <c r="N24" s="270">
        <v>66.666666666666657</v>
      </c>
      <c r="O24" s="257">
        <v>33.333333333333329</v>
      </c>
      <c r="P24" s="271">
        <v>0</v>
      </c>
      <c r="Q24" s="254">
        <v>100</v>
      </c>
      <c r="R24" s="238" t="s">
        <v>2</v>
      </c>
    </row>
    <row r="25" spans="1:20" ht="14.4" customHeight="1" x14ac:dyDescent="0.2">
      <c r="A25" s="396" t="s">
        <v>83</v>
      </c>
      <c r="B25" s="397"/>
      <c r="C25" s="55" t="s">
        <v>128</v>
      </c>
      <c r="D25" s="253">
        <f>D23/3603173*100</f>
        <v>1.9593841317083582E-2</v>
      </c>
      <c r="E25" s="254">
        <f t="shared" ref="E25:G25" si="15">E23/3603173*100</f>
        <v>9.7969206585417912E-3</v>
      </c>
      <c r="F25" s="269">
        <v>0</v>
      </c>
      <c r="G25" s="254">
        <f t="shared" si="15"/>
        <v>2.9390761975625374E-2</v>
      </c>
      <c r="H25" s="238" t="s">
        <v>2</v>
      </c>
      <c r="I25" s="253">
        <v>0</v>
      </c>
      <c r="J25" s="254">
        <v>0</v>
      </c>
      <c r="K25" s="271">
        <v>0</v>
      </c>
      <c r="L25" s="254">
        <v>0</v>
      </c>
      <c r="M25" s="238" t="s">
        <v>2</v>
      </c>
      <c r="N25" s="256">
        <v>1.9593841317083582E-2</v>
      </c>
      <c r="O25" s="254">
        <v>9.7969206585417912E-3</v>
      </c>
      <c r="P25" s="269">
        <v>0</v>
      </c>
      <c r="Q25" s="254">
        <v>2.9390761975625374E-2</v>
      </c>
      <c r="R25" s="238" t="s">
        <v>2</v>
      </c>
    </row>
    <row r="26" spans="1:20" ht="14.4" customHeight="1" x14ac:dyDescent="0.2">
      <c r="A26" s="398" t="s">
        <v>51</v>
      </c>
      <c r="B26" s="399"/>
      <c r="C26" s="55" t="s">
        <v>127</v>
      </c>
      <c r="D26" s="249">
        <v>928</v>
      </c>
      <c r="E26" s="250">
        <v>655</v>
      </c>
      <c r="F26" s="269">
        <v>0</v>
      </c>
      <c r="G26" s="250">
        <f>SUM(D26:F26)</f>
        <v>1583</v>
      </c>
      <c r="H26" s="237" t="s">
        <v>3</v>
      </c>
      <c r="I26" s="249">
        <v>0</v>
      </c>
      <c r="J26" s="250">
        <v>0</v>
      </c>
      <c r="K26" s="271">
        <v>0</v>
      </c>
      <c r="L26" s="250">
        <v>0</v>
      </c>
      <c r="M26" s="237" t="s">
        <v>3</v>
      </c>
      <c r="N26" s="252">
        <v>928</v>
      </c>
      <c r="O26" s="250">
        <v>655</v>
      </c>
      <c r="P26" s="269">
        <v>0</v>
      </c>
      <c r="Q26" s="250">
        <v>1583</v>
      </c>
      <c r="R26" s="237" t="s">
        <v>3</v>
      </c>
    </row>
    <row r="27" spans="1:20" ht="14.4" customHeight="1" x14ac:dyDescent="0.2">
      <c r="A27" s="54"/>
      <c r="B27" s="53" t="s">
        <v>77</v>
      </c>
      <c r="C27" s="75"/>
      <c r="D27" s="253">
        <f>D26/G26*100</f>
        <v>58.622867972204673</v>
      </c>
      <c r="E27" s="257">
        <f>E26/G26*100</f>
        <v>41.377132027795327</v>
      </c>
      <c r="F27" s="271">
        <v>0</v>
      </c>
      <c r="G27" s="257">
        <v>100</v>
      </c>
      <c r="H27" s="238" t="s">
        <v>2</v>
      </c>
      <c r="I27" s="253">
        <v>0</v>
      </c>
      <c r="J27" s="254">
        <v>0</v>
      </c>
      <c r="K27" s="271">
        <v>0</v>
      </c>
      <c r="L27" s="254">
        <v>0</v>
      </c>
      <c r="M27" s="238" t="s">
        <v>2</v>
      </c>
      <c r="N27" s="270">
        <v>58.622867972204673</v>
      </c>
      <c r="O27" s="257">
        <v>41.377132027795327</v>
      </c>
      <c r="P27" s="271">
        <v>0</v>
      </c>
      <c r="Q27" s="257">
        <v>100</v>
      </c>
      <c r="R27" s="238" t="s">
        <v>2</v>
      </c>
    </row>
    <row r="28" spans="1:20" ht="14.4" customHeight="1" x14ac:dyDescent="0.2">
      <c r="A28" s="396" t="s">
        <v>84</v>
      </c>
      <c r="B28" s="397"/>
      <c r="C28" s="76" t="s">
        <v>144</v>
      </c>
      <c r="D28" s="253">
        <f>D26/4262788*100</f>
        <v>2.176979009981261E-2</v>
      </c>
      <c r="E28" s="254">
        <f t="shared" ref="E28:G28" si="16">E26/4262788*100</f>
        <v>1.5365530727777221E-2</v>
      </c>
      <c r="F28" s="271">
        <v>0</v>
      </c>
      <c r="G28" s="254">
        <f t="shared" si="16"/>
        <v>3.7135320827589829E-2</v>
      </c>
      <c r="H28" s="238" t="s">
        <v>2</v>
      </c>
      <c r="I28" s="253">
        <v>0</v>
      </c>
      <c r="J28" s="254">
        <v>0</v>
      </c>
      <c r="K28" s="269">
        <v>0</v>
      </c>
      <c r="L28" s="254">
        <v>0</v>
      </c>
      <c r="M28" s="238" t="s">
        <v>2</v>
      </c>
      <c r="N28" s="256">
        <v>2.176979009981261E-2</v>
      </c>
      <c r="O28" s="254">
        <v>1.5365530727777221E-2</v>
      </c>
      <c r="P28" s="269">
        <v>0</v>
      </c>
      <c r="Q28" s="254">
        <v>3.7135320827589829E-2</v>
      </c>
      <c r="R28" s="238" t="s">
        <v>2</v>
      </c>
    </row>
    <row r="29" spans="1:20" ht="14.4" customHeight="1" x14ac:dyDescent="0.2">
      <c r="A29" s="398" t="s">
        <v>119</v>
      </c>
      <c r="B29" s="399"/>
      <c r="C29" s="55" t="s">
        <v>132</v>
      </c>
      <c r="D29" s="272">
        <f>SUM(D32:D33)</f>
        <v>13189</v>
      </c>
      <c r="E29" s="259">
        <f>SUM(E32:E33)</f>
        <v>5307</v>
      </c>
      <c r="F29" s="271">
        <v>0</v>
      </c>
      <c r="G29" s="259">
        <f>SUM(G32:G33)</f>
        <v>18496</v>
      </c>
      <c r="H29" s="239" t="s">
        <v>4</v>
      </c>
      <c r="I29" s="272">
        <v>0</v>
      </c>
      <c r="J29" s="259">
        <v>0</v>
      </c>
      <c r="K29" s="271">
        <v>0</v>
      </c>
      <c r="L29" s="259">
        <v>0</v>
      </c>
      <c r="M29" s="239" t="s">
        <v>4</v>
      </c>
      <c r="N29" s="252">
        <v>13189</v>
      </c>
      <c r="O29" s="250">
        <v>5307</v>
      </c>
      <c r="P29" s="269">
        <v>0</v>
      </c>
      <c r="Q29" s="250">
        <v>18496</v>
      </c>
      <c r="R29" s="239" t="s">
        <v>4</v>
      </c>
    </row>
    <row r="30" spans="1:20" ht="14.4" customHeight="1" x14ac:dyDescent="0.2">
      <c r="A30" s="54"/>
      <c r="B30" s="421" t="s">
        <v>75</v>
      </c>
      <c r="C30" s="399"/>
      <c r="D30" s="278"/>
      <c r="E30" s="279"/>
      <c r="F30" s="282"/>
      <c r="G30" s="279"/>
      <c r="H30" s="238"/>
      <c r="I30" s="272"/>
      <c r="J30" s="259"/>
      <c r="K30" s="271"/>
      <c r="L30" s="259"/>
      <c r="M30" s="238"/>
      <c r="N30" s="261"/>
      <c r="O30" s="259"/>
      <c r="P30" s="271"/>
      <c r="Q30" s="259"/>
      <c r="R30" s="238"/>
    </row>
    <row r="31" spans="1:20" ht="14.4" customHeight="1" x14ac:dyDescent="0.2">
      <c r="A31" s="56"/>
      <c r="B31" s="57" t="s">
        <v>126</v>
      </c>
      <c r="C31" s="77"/>
      <c r="D31" s="262">
        <f>D29/(105744914+D29)*100</f>
        <v>1.2470912039713873E-2</v>
      </c>
      <c r="E31" s="263">
        <f t="shared" ref="E31:G31" si="17">E29/(105744914+E29)*100</f>
        <v>5.018429228625442E-3</v>
      </c>
      <c r="F31" s="273">
        <v>0</v>
      </c>
      <c r="G31" s="263">
        <f t="shared" si="17"/>
        <v>1.7488089689997703E-2</v>
      </c>
      <c r="H31" s="241" t="s">
        <v>2</v>
      </c>
      <c r="I31" s="327">
        <v>0</v>
      </c>
      <c r="J31" s="264">
        <v>0</v>
      </c>
      <c r="K31" s="273">
        <v>0</v>
      </c>
      <c r="L31" s="264">
        <v>0</v>
      </c>
      <c r="M31" s="241" t="s">
        <v>2</v>
      </c>
      <c r="N31" s="265">
        <v>1.2470912039713873E-2</v>
      </c>
      <c r="O31" s="264">
        <v>5.018429228625442E-3</v>
      </c>
      <c r="P31" s="273">
        <v>0</v>
      </c>
      <c r="Q31" s="264">
        <v>1.7488089689997703E-2</v>
      </c>
      <c r="R31" s="241" t="s">
        <v>2</v>
      </c>
    </row>
    <row r="32" spans="1:20" ht="14.4" customHeight="1" x14ac:dyDescent="0.2">
      <c r="A32" s="396" t="s">
        <v>5</v>
      </c>
      <c r="B32" s="397"/>
      <c r="C32" s="55" t="s">
        <v>123</v>
      </c>
      <c r="D32" s="249">
        <v>7797</v>
      </c>
      <c r="E32" s="250">
        <v>3569</v>
      </c>
      <c r="F32" s="269">
        <v>0</v>
      </c>
      <c r="G32" s="250">
        <f>SUM(D32:F32)</f>
        <v>11366</v>
      </c>
      <c r="H32" s="237" t="s">
        <v>4</v>
      </c>
      <c r="I32" s="249">
        <v>0</v>
      </c>
      <c r="J32" s="250">
        <v>0</v>
      </c>
      <c r="K32" s="269">
        <v>0</v>
      </c>
      <c r="L32" s="250">
        <v>0</v>
      </c>
      <c r="M32" s="237" t="s">
        <v>4</v>
      </c>
      <c r="N32" s="252">
        <v>7797</v>
      </c>
      <c r="O32" s="250">
        <v>3569</v>
      </c>
      <c r="P32" s="269">
        <v>0</v>
      </c>
      <c r="Q32" s="250">
        <v>11366</v>
      </c>
      <c r="R32" s="237" t="s">
        <v>4</v>
      </c>
    </row>
    <row r="33" spans="1:20" ht="14.4" customHeight="1" thickBot="1" x14ac:dyDescent="0.25">
      <c r="A33" s="400" t="s">
        <v>6</v>
      </c>
      <c r="B33" s="401"/>
      <c r="C33" s="78" t="s">
        <v>124</v>
      </c>
      <c r="D33" s="266">
        <v>5392</v>
      </c>
      <c r="E33" s="267">
        <v>1738</v>
      </c>
      <c r="F33" s="274">
        <v>0</v>
      </c>
      <c r="G33" s="267">
        <f>SUM(D33:F33)</f>
        <v>7130</v>
      </c>
      <c r="H33" s="242" t="s">
        <v>4</v>
      </c>
      <c r="I33" s="266">
        <v>0</v>
      </c>
      <c r="J33" s="267">
        <v>0</v>
      </c>
      <c r="K33" s="274">
        <v>0</v>
      </c>
      <c r="L33" s="267">
        <v>0</v>
      </c>
      <c r="M33" s="242" t="s">
        <v>4</v>
      </c>
      <c r="N33" s="268">
        <v>5392</v>
      </c>
      <c r="O33" s="267">
        <v>1738</v>
      </c>
      <c r="P33" s="274">
        <v>0</v>
      </c>
      <c r="Q33" s="267">
        <v>7130</v>
      </c>
      <c r="R33" s="242" t="s">
        <v>4</v>
      </c>
    </row>
    <row r="34" spans="1:20" ht="14.4" customHeight="1" x14ac:dyDescent="0.2">
      <c r="B34" s="50" t="s">
        <v>120</v>
      </c>
      <c r="C34" s="86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</row>
    <row r="35" spans="1:20" s="31" customFormat="1" ht="14.4" customHeight="1" thickBot="1" x14ac:dyDescent="0.25">
      <c r="A35" s="108" t="s">
        <v>72</v>
      </c>
      <c r="C35" s="87"/>
      <c r="G35" s="48"/>
      <c r="H35" s="48"/>
      <c r="I35" s="48"/>
      <c r="K35" s="243"/>
      <c r="O35" s="49"/>
      <c r="P35" s="49"/>
      <c r="Q35" s="49"/>
      <c r="S35" s="48"/>
      <c r="T35" s="48"/>
    </row>
    <row r="36" spans="1:20" ht="14.4" customHeight="1" x14ac:dyDescent="0.2">
      <c r="A36" s="404" t="s">
        <v>74</v>
      </c>
      <c r="B36" s="405"/>
      <c r="C36" s="405"/>
      <c r="D36" s="410" t="s">
        <v>184</v>
      </c>
      <c r="E36" s="411"/>
      <c r="F36" s="411"/>
      <c r="G36" s="411"/>
      <c r="H36" s="412"/>
      <c r="I36" s="410" t="s">
        <v>185</v>
      </c>
      <c r="J36" s="411"/>
      <c r="K36" s="411"/>
      <c r="L36" s="411"/>
      <c r="M36" s="412"/>
      <c r="N36" s="411" t="s">
        <v>186</v>
      </c>
      <c r="O36" s="411"/>
      <c r="P36" s="411"/>
      <c r="Q36" s="411"/>
      <c r="R36" s="412"/>
    </row>
    <row r="37" spans="1:20" ht="14.4" customHeight="1" x14ac:dyDescent="0.2">
      <c r="A37" s="406"/>
      <c r="B37" s="407"/>
      <c r="C37" s="407"/>
      <c r="D37" s="244" t="s">
        <v>187</v>
      </c>
      <c r="E37" s="245" t="s">
        <v>188</v>
      </c>
      <c r="F37" s="246" t="s">
        <v>189</v>
      </c>
      <c r="G37" s="416" t="s">
        <v>190</v>
      </c>
      <c r="H37" s="417"/>
      <c r="I37" s="244" t="s">
        <v>187</v>
      </c>
      <c r="J37" s="245" t="s">
        <v>188</v>
      </c>
      <c r="K37" s="246" t="s">
        <v>189</v>
      </c>
      <c r="L37" s="416" t="s">
        <v>190</v>
      </c>
      <c r="M37" s="417"/>
      <c r="N37" s="247" t="s">
        <v>187</v>
      </c>
      <c r="O37" s="245" t="s">
        <v>188</v>
      </c>
      <c r="P37" s="246" t="s">
        <v>189</v>
      </c>
      <c r="Q37" s="416" t="s">
        <v>190</v>
      </c>
      <c r="R37" s="417"/>
    </row>
    <row r="38" spans="1:20" ht="14.4" customHeight="1" x14ac:dyDescent="0.2">
      <c r="A38" s="398" t="s">
        <v>0</v>
      </c>
      <c r="B38" s="399"/>
      <c r="C38" s="55" t="s">
        <v>129</v>
      </c>
      <c r="D38" s="249">
        <v>992700</v>
      </c>
      <c r="E38" s="250">
        <v>486404</v>
      </c>
      <c r="F38" s="250">
        <v>372446</v>
      </c>
      <c r="G38" s="250">
        <f>SUM(D38:F38)</f>
        <v>1851550</v>
      </c>
      <c r="H38" s="237" t="s">
        <v>1</v>
      </c>
      <c r="I38" s="249">
        <v>1059933</v>
      </c>
      <c r="J38" s="250">
        <v>431063</v>
      </c>
      <c r="K38" s="250">
        <v>312318</v>
      </c>
      <c r="L38" s="250">
        <f>SUM(I38:K38)</f>
        <v>1803314</v>
      </c>
      <c r="M38" s="237" t="s">
        <v>1</v>
      </c>
      <c r="N38" s="252">
        <f>D38+I38</f>
        <v>2052633</v>
      </c>
      <c r="O38" s="250">
        <f t="shared" ref="O38:P38" si="18">E38+J38</f>
        <v>917467</v>
      </c>
      <c r="P38" s="250">
        <f t="shared" si="18"/>
        <v>684764</v>
      </c>
      <c r="Q38" s="250">
        <f>SUM(N38:P38)</f>
        <v>3654864</v>
      </c>
      <c r="R38" s="237" t="s">
        <v>1</v>
      </c>
    </row>
    <row r="39" spans="1:20" ht="14.4" customHeight="1" x14ac:dyDescent="0.2">
      <c r="A39" s="52"/>
      <c r="B39" s="53" t="s">
        <v>77</v>
      </c>
      <c r="C39" s="75"/>
      <c r="D39" s="253">
        <f>D38/G38*100</f>
        <v>53.614539169884686</v>
      </c>
      <c r="E39" s="257">
        <f>E38/G38*100</f>
        <v>26.270098025978232</v>
      </c>
      <c r="F39" s="257">
        <f>F38/G38*100</f>
        <v>20.115362804137074</v>
      </c>
      <c r="G39" s="257">
        <f>SUM(D39:F39)</f>
        <v>100</v>
      </c>
      <c r="H39" s="238" t="s">
        <v>2</v>
      </c>
      <c r="I39" s="260">
        <f>I38/L38*100</f>
        <v>58.776951767689937</v>
      </c>
      <c r="J39" s="257">
        <f>J38/L38*100</f>
        <v>23.903934644770683</v>
      </c>
      <c r="K39" s="257">
        <f>K38/L38*100</f>
        <v>17.319113587539388</v>
      </c>
      <c r="L39" s="257">
        <f>SUM(I39:K39)</f>
        <v>100.00000000000001</v>
      </c>
      <c r="M39" s="238" t="s">
        <v>2</v>
      </c>
      <c r="N39" s="270">
        <f>N38/Q38*100</f>
        <v>56.161679340188854</v>
      </c>
      <c r="O39" s="257">
        <f>O38/Q38*100</f>
        <v>25.1026303577917</v>
      </c>
      <c r="P39" s="257">
        <f>P38/Q38*100</f>
        <v>18.735690302019446</v>
      </c>
      <c r="Q39" s="257">
        <f>SUM(N39:P39)</f>
        <v>100</v>
      </c>
      <c r="R39" s="238" t="s">
        <v>2</v>
      </c>
    </row>
    <row r="40" spans="1:20" ht="14.4" customHeight="1" x14ac:dyDescent="0.2">
      <c r="A40" s="396" t="s">
        <v>83</v>
      </c>
      <c r="B40" s="397"/>
      <c r="C40" s="55" t="s">
        <v>128</v>
      </c>
      <c r="D40" s="253">
        <f>D38/3603173*100</f>
        <v>27.550717104063555</v>
      </c>
      <c r="E40" s="254">
        <f t="shared" ref="E40:G40" si="19">E38/3603173*100</f>
        <v>13.499324067981194</v>
      </c>
      <c r="F40" s="254">
        <f t="shared" si="19"/>
        <v>10.336611647567297</v>
      </c>
      <c r="G40" s="254">
        <f t="shared" si="19"/>
        <v>51.386652819612046</v>
      </c>
      <c r="H40" s="238" t="s">
        <v>2</v>
      </c>
      <c r="I40" s="253">
        <f>I38/3413689*100</f>
        <v>31.049489276849769</v>
      </c>
      <c r="J40" s="254">
        <f t="shared" ref="J40:L40" si="20">J38/3413689*100</f>
        <v>12.627483054255967</v>
      </c>
      <c r="K40" s="254">
        <f t="shared" si="20"/>
        <v>9.1489880888387898</v>
      </c>
      <c r="L40" s="254">
        <f t="shared" si="20"/>
        <v>52.825960419944529</v>
      </c>
      <c r="M40" s="238" t="s">
        <v>2</v>
      </c>
      <c r="N40" s="256">
        <f>N38/(3603173+3413689)*100</f>
        <v>29.252862604394959</v>
      </c>
      <c r="O40" s="254">
        <f t="shared" ref="O40:Q40" si="21">O38/(3603173+3413689)*100</f>
        <v>13.075175199398251</v>
      </c>
      <c r="P40" s="254">
        <f t="shared" si="21"/>
        <v>9.758835217223881</v>
      </c>
      <c r="Q40" s="254">
        <f t="shared" si="21"/>
        <v>52.086873021017091</v>
      </c>
      <c r="R40" s="238" t="s">
        <v>2</v>
      </c>
    </row>
    <row r="41" spans="1:20" ht="14.4" customHeight="1" x14ac:dyDescent="0.2">
      <c r="A41" s="398" t="s">
        <v>51</v>
      </c>
      <c r="B41" s="399"/>
      <c r="C41" s="55" t="s">
        <v>127</v>
      </c>
      <c r="D41" s="249">
        <v>1079497</v>
      </c>
      <c r="E41" s="250">
        <v>582652</v>
      </c>
      <c r="F41" s="250">
        <v>457074</v>
      </c>
      <c r="G41" s="250">
        <f>SUM(D41:F41)</f>
        <v>2119223</v>
      </c>
      <c r="H41" s="237" t="s">
        <v>3</v>
      </c>
      <c r="I41" s="249">
        <v>1139850</v>
      </c>
      <c r="J41" s="250">
        <v>513327</v>
      </c>
      <c r="K41" s="250">
        <v>388414</v>
      </c>
      <c r="L41" s="250">
        <f>SUM(I41:K41)</f>
        <v>2041591</v>
      </c>
      <c r="M41" s="237" t="s">
        <v>3</v>
      </c>
      <c r="N41" s="252">
        <f>D41+I41</f>
        <v>2219347</v>
      </c>
      <c r="O41" s="250">
        <f t="shared" ref="O41:P41" si="22">E41+J41</f>
        <v>1095979</v>
      </c>
      <c r="P41" s="250">
        <f t="shared" si="22"/>
        <v>845488</v>
      </c>
      <c r="Q41" s="250">
        <f>SUM(N41:P41)</f>
        <v>4160814</v>
      </c>
      <c r="R41" s="237" t="s">
        <v>3</v>
      </c>
    </row>
    <row r="42" spans="1:20" ht="14.4" customHeight="1" x14ac:dyDescent="0.2">
      <c r="A42" s="54"/>
      <c r="B42" s="53" t="s">
        <v>77</v>
      </c>
      <c r="C42" s="75"/>
      <c r="D42" s="253">
        <f>D41/G41*100</f>
        <v>50.938339193185421</v>
      </c>
      <c r="E42" s="254">
        <f>E41/G41*100</f>
        <v>27.49366159200801</v>
      </c>
      <c r="F42" s="254">
        <f>F41/G41*100</f>
        <v>21.567999214806559</v>
      </c>
      <c r="G42" s="254">
        <f>SUM(D42:F42)</f>
        <v>99.999999999999986</v>
      </c>
      <c r="H42" s="238" t="s">
        <v>2</v>
      </c>
      <c r="I42" s="260">
        <f>I41/L41*100</f>
        <v>55.83145693726118</v>
      </c>
      <c r="J42" s="257">
        <f>J41/L41*100</f>
        <v>25.143478786887286</v>
      </c>
      <c r="K42" s="257">
        <f>K41/L41*100</f>
        <v>19.02506427585153</v>
      </c>
      <c r="L42" s="257">
        <f>SUM(I42:K42)</f>
        <v>100</v>
      </c>
      <c r="M42" s="238" t="s">
        <v>2</v>
      </c>
      <c r="N42" s="270">
        <f>N41/Q41*100</f>
        <v>53.3392504447447</v>
      </c>
      <c r="O42" s="257">
        <f>O41/Q41*100</f>
        <v>26.340494912774282</v>
      </c>
      <c r="P42" s="257">
        <f>P41/Q41*100</f>
        <v>20.320254642481014</v>
      </c>
      <c r="Q42" s="257">
        <f>SUM(N42:P42)</f>
        <v>100</v>
      </c>
      <c r="R42" s="238" t="s">
        <v>2</v>
      </c>
    </row>
    <row r="43" spans="1:20" ht="14.4" customHeight="1" x14ac:dyDescent="0.2">
      <c r="A43" s="396" t="s">
        <v>84</v>
      </c>
      <c r="B43" s="397"/>
      <c r="C43" s="76" t="s">
        <v>144</v>
      </c>
      <c r="D43" s="253">
        <f>D41/4262788*100</f>
        <v>25.323731792432557</v>
      </c>
      <c r="E43" s="254">
        <f t="shared" ref="E43:G43" si="23">E41/4262788*100</f>
        <v>13.668331617711226</v>
      </c>
      <c r="F43" s="254">
        <f t="shared" si="23"/>
        <v>10.722419224226023</v>
      </c>
      <c r="G43" s="254">
        <f t="shared" si="23"/>
        <v>49.714482634369809</v>
      </c>
      <c r="H43" s="238" t="s">
        <v>2</v>
      </c>
      <c r="I43" s="253">
        <f>I41/3934937*100</f>
        <v>28.96742692449714</v>
      </c>
      <c r="J43" s="254">
        <f t="shared" ref="J43:L43" si="24">J41/3934937*100</f>
        <v>13.045367689495411</v>
      </c>
      <c r="K43" s="254">
        <f t="shared" si="24"/>
        <v>9.8709077172010637</v>
      </c>
      <c r="L43" s="254">
        <f t="shared" si="24"/>
        <v>51.883702331193618</v>
      </c>
      <c r="M43" s="238" t="s">
        <v>2</v>
      </c>
      <c r="N43" s="256">
        <f>N41/(4262788+3934937)*100</f>
        <v>27.072718345638574</v>
      </c>
      <c r="O43" s="256">
        <f t="shared" ref="O43:Q43" si="25">O41/(4262788+3934937)*100</f>
        <v>13.369306728391109</v>
      </c>
      <c r="P43" s="256">
        <f t="shared" si="25"/>
        <v>10.313690688575184</v>
      </c>
      <c r="Q43" s="256">
        <f t="shared" si="25"/>
        <v>50.755715762604872</v>
      </c>
      <c r="R43" s="238" t="s">
        <v>2</v>
      </c>
    </row>
    <row r="44" spans="1:20" ht="14.4" customHeight="1" x14ac:dyDescent="0.2">
      <c r="A44" s="398" t="s">
        <v>119</v>
      </c>
      <c r="B44" s="399"/>
      <c r="C44" s="55" t="s">
        <v>131</v>
      </c>
      <c r="D44" s="272">
        <f>D47+D48-D60</f>
        <v>10336369</v>
      </c>
      <c r="E44" s="259">
        <f>E47+E48-E60</f>
        <v>3899929</v>
      </c>
      <c r="F44" s="259">
        <f t="shared" ref="F44:G44" si="26">F47+F48</f>
        <v>1216270</v>
      </c>
      <c r="G44" s="250">
        <f t="shared" si="26"/>
        <v>15452568</v>
      </c>
      <c r="H44" s="239" t="s">
        <v>4</v>
      </c>
      <c r="I44" s="272">
        <f>I47+I48-I60</f>
        <v>12401633</v>
      </c>
      <c r="J44" s="259">
        <f>J47+J48-J60</f>
        <v>3916771</v>
      </c>
      <c r="K44" s="259">
        <f t="shared" ref="K44:L44" si="27">K47+K48</f>
        <v>1154523</v>
      </c>
      <c r="L44" s="250">
        <f t="shared" si="27"/>
        <v>17472927</v>
      </c>
      <c r="M44" s="239" t="s">
        <v>4</v>
      </c>
      <c r="N44" s="252">
        <f>N47+N48</f>
        <v>22738002</v>
      </c>
      <c r="O44" s="250">
        <f t="shared" ref="O44:Q44" si="28">O47+O48</f>
        <v>7816700</v>
      </c>
      <c r="P44" s="250">
        <f t="shared" si="28"/>
        <v>2370793</v>
      </c>
      <c r="Q44" s="250">
        <f t="shared" si="28"/>
        <v>32925495</v>
      </c>
      <c r="R44" s="239" t="s">
        <v>4</v>
      </c>
    </row>
    <row r="45" spans="1:20" ht="14.4" customHeight="1" x14ac:dyDescent="0.2">
      <c r="A45" s="54"/>
      <c r="B45" s="421" t="s">
        <v>75</v>
      </c>
      <c r="C45" s="399"/>
      <c r="D45" s="278"/>
      <c r="E45" s="279"/>
      <c r="F45" s="279"/>
      <c r="G45" s="279"/>
      <c r="H45" s="238"/>
      <c r="I45" s="272"/>
      <c r="J45" s="259"/>
      <c r="K45" s="259"/>
      <c r="L45" s="259"/>
      <c r="M45" s="238"/>
      <c r="N45" s="261"/>
      <c r="O45" s="259"/>
      <c r="P45" s="259"/>
      <c r="Q45" s="259"/>
      <c r="R45" s="238"/>
    </row>
    <row r="46" spans="1:20" ht="14.4" customHeight="1" x14ac:dyDescent="0.2">
      <c r="A46" s="56"/>
      <c r="B46" s="57" t="s">
        <v>126</v>
      </c>
      <c r="C46" s="77"/>
      <c r="D46" s="262">
        <f>D44/(105744914+D44)*100</f>
        <v>8.9044234633416313</v>
      </c>
      <c r="E46" s="263">
        <f t="shared" ref="E46:G46" si="29">E44/(105744914+E44)*100</f>
        <v>3.5568740793399645</v>
      </c>
      <c r="F46" s="263">
        <f t="shared" si="29"/>
        <v>1.1371134410778398</v>
      </c>
      <c r="G46" s="263">
        <f t="shared" si="29"/>
        <v>12.749908451068315</v>
      </c>
      <c r="H46" s="241" t="s">
        <v>2</v>
      </c>
      <c r="I46" s="262">
        <f>I44/(111657628+I44)*100</f>
        <v>9.9965394764039424</v>
      </c>
      <c r="J46" s="329">
        <f t="shared" ref="J46:L46" si="30">J44/(111657628+J44)*100</f>
        <v>3.3889607334233247</v>
      </c>
      <c r="K46" s="329">
        <f t="shared" si="30"/>
        <v>1.0234030552258506</v>
      </c>
      <c r="L46" s="324">
        <f t="shared" si="30"/>
        <v>13.531210332055027</v>
      </c>
      <c r="M46" s="241" t="s">
        <v>2</v>
      </c>
      <c r="N46" s="265">
        <f>N44/(105744914+111657628+N44)*100</f>
        <v>9.4686226745617752</v>
      </c>
      <c r="O46" s="264">
        <f t="shared" ref="O46:Q46" si="31">O44/(105744914+111657628+O44)*100</f>
        <v>3.4707070011362529</v>
      </c>
      <c r="P46" s="264">
        <f t="shared" si="31"/>
        <v>1.078744607483888</v>
      </c>
      <c r="Q46" s="264">
        <f t="shared" si="31"/>
        <v>13.152939396876267</v>
      </c>
      <c r="R46" s="241" t="s">
        <v>2</v>
      </c>
    </row>
    <row r="47" spans="1:20" ht="14.4" customHeight="1" x14ac:dyDescent="0.2">
      <c r="A47" s="396" t="s">
        <v>5</v>
      </c>
      <c r="B47" s="397"/>
      <c r="C47" s="55" t="s">
        <v>123</v>
      </c>
      <c r="D47" s="249">
        <v>7599690</v>
      </c>
      <c r="E47" s="250">
        <v>2920465</v>
      </c>
      <c r="F47" s="250">
        <v>924423</v>
      </c>
      <c r="G47" s="250">
        <f>SUM(D47:F47)</f>
        <v>11444578</v>
      </c>
      <c r="H47" s="237" t="s">
        <v>4</v>
      </c>
      <c r="I47" s="249">
        <v>9932362</v>
      </c>
      <c r="J47" s="250">
        <v>3194289</v>
      </c>
      <c r="K47" s="250">
        <v>953594</v>
      </c>
      <c r="L47" s="250">
        <f>SUM(I47:K47)</f>
        <v>14080245</v>
      </c>
      <c r="M47" s="237" t="s">
        <v>4</v>
      </c>
      <c r="N47" s="252">
        <f>D47+I47</f>
        <v>17532052</v>
      </c>
      <c r="O47" s="250">
        <f t="shared" ref="O47:P48" si="32">E47+J47</f>
        <v>6114754</v>
      </c>
      <c r="P47" s="250">
        <f t="shared" si="32"/>
        <v>1878017</v>
      </c>
      <c r="Q47" s="250">
        <f>SUM(N47:P47)</f>
        <v>25524823</v>
      </c>
      <c r="R47" s="237" t="s">
        <v>4</v>
      </c>
    </row>
    <row r="48" spans="1:20" ht="14.4" customHeight="1" thickBot="1" x14ac:dyDescent="0.25">
      <c r="A48" s="400" t="s">
        <v>6</v>
      </c>
      <c r="B48" s="401"/>
      <c r="C48" s="78" t="s">
        <v>142</v>
      </c>
      <c r="D48" s="266">
        <v>2736679</v>
      </c>
      <c r="E48" s="267">
        <v>979464</v>
      </c>
      <c r="F48" s="267">
        <v>291847</v>
      </c>
      <c r="G48" s="267">
        <f>SUM(D48:F48)</f>
        <v>4007990</v>
      </c>
      <c r="H48" s="242" t="s">
        <v>4</v>
      </c>
      <c r="I48" s="266">
        <v>2469271</v>
      </c>
      <c r="J48" s="267">
        <v>722482</v>
      </c>
      <c r="K48" s="267">
        <v>200929</v>
      </c>
      <c r="L48" s="267">
        <f>SUM(I48:K48)</f>
        <v>3392682</v>
      </c>
      <c r="M48" s="242" t="s">
        <v>4</v>
      </c>
      <c r="N48" s="268">
        <f>D48+I48</f>
        <v>5205950</v>
      </c>
      <c r="O48" s="267">
        <f t="shared" si="32"/>
        <v>1701946</v>
      </c>
      <c r="P48" s="267">
        <f t="shared" si="32"/>
        <v>492776</v>
      </c>
      <c r="Q48" s="267">
        <f>SUM(N48:P48)</f>
        <v>7400672</v>
      </c>
      <c r="R48" s="242" t="s">
        <v>4</v>
      </c>
    </row>
    <row r="49" s="98" customFormat="1" ht="17.399999999999999" customHeight="1" x14ac:dyDescent="0.2"/>
  </sheetData>
  <mergeCells count="45">
    <mergeCell ref="A20:C22"/>
    <mergeCell ref="A36:C37"/>
    <mergeCell ref="D20:H20"/>
    <mergeCell ref="G21:H22"/>
    <mergeCell ref="D36:H36"/>
    <mergeCell ref="G37:H37"/>
    <mergeCell ref="I36:M36"/>
    <mergeCell ref="N36:R36"/>
    <mergeCell ref="Q37:R37"/>
    <mergeCell ref="I20:M20"/>
    <mergeCell ref="L21:M22"/>
    <mergeCell ref="N20:R20"/>
    <mergeCell ref="Q21:R22"/>
    <mergeCell ref="L37:M37"/>
    <mergeCell ref="A41:B41"/>
    <mergeCell ref="A47:B47"/>
    <mergeCell ref="A44:B44"/>
    <mergeCell ref="A48:B48"/>
    <mergeCell ref="B45:C45"/>
    <mergeCell ref="A43:B43"/>
    <mergeCell ref="A40:B40"/>
    <mergeCell ref="A38:B38"/>
    <mergeCell ref="A23:B23"/>
    <mergeCell ref="A25:B25"/>
    <mergeCell ref="A26:B26"/>
    <mergeCell ref="A28:B28"/>
    <mergeCell ref="A29:B29"/>
    <mergeCell ref="B30:C30"/>
    <mergeCell ref="A32:B32"/>
    <mergeCell ref="A33:B33"/>
    <mergeCell ref="A17:B17"/>
    <mergeCell ref="A16:B16"/>
    <mergeCell ref="A12:B12"/>
    <mergeCell ref="A9:B9"/>
    <mergeCell ref="A13:B13"/>
    <mergeCell ref="B14:C14"/>
    <mergeCell ref="A10:B10"/>
    <mergeCell ref="A7:B7"/>
    <mergeCell ref="N4:R4"/>
    <mergeCell ref="G5:H6"/>
    <mergeCell ref="L5:M6"/>
    <mergeCell ref="Q5:R6"/>
    <mergeCell ref="I4:M4"/>
    <mergeCell ref="A4:C6"/>
    <mergeCell ref="D4:H4"/>
  </mergeCells>
  <phoneticPr fontId="1"/>
  <printOptions horizontalCentered="1" verticalCentered="1"/>
  <pageMargins left="0.51181102362204722" right="0.51181102362204722" top="0.74803149606299213" bottom="0.55118110236220474" header="0.31496062992125984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第2表1(1)</vt:lpstr>
      <vt:lpstr>第2表1(2)</vt:lpstr>
      <vt:lpstr>第2表1(3)</vt:lpstr>
      <vt:lpstr>第2表2(1)</vt:lpstr>
      <vt:lpstr>第2表2(1)(つづき)</vt:lpstr>
      <vt:lpstr>第2表2(2)</vt:lpstr>
      <vt:lpstr>第2表2(2)(つづき)</vt:lpstr>
      <vt:lpstr>第2表2(3)</vt:lpstr>
      <vt:lpstr>第2表2(3)(つづき)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小酒井　洋平(908473)</dc:creator>
  <cp:lastModifiedBy>高山　直木</cp:lastModifiedBy>
  <cp:lastPrinted>2020-02-14T08:00:15Z</cp:lastPrinted>
  <dcterms:created xsi:type="dcterms:W3CDTF">2005-11-29T12:58:15Z</dcterms:created>
  <dcterms:modified xsi:type="dcterms:W3CDTF">2022-04-04T10:52:50Z</dcterms:modified>
</cp:coreProperties>
</file>